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480" yWindow="2232" windowWidth="17280" windowHeight="8880" firstSheet="3" activeTab="7"/>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Export Option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<sst xmlns="http://schemas.openxmlformats.org/spreadsheetml/2006/main" count="29057" uniqueCount="8265">
  <si>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</si>
  <si>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</si>
  <si>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</si>
  <si>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</si>
  <si>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</si>
  <si>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</si>
  <si>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</si>
  <si>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</si>
  <si>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</si>
  <si>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</si>
  <si>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</si>
  <si>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</si>
  <si>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</si>
  <si>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</si>
  <si>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</si>
  <si>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</si>
  <si>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</si>
  <si>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</si>
  <si>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</si>
  <si>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</si>
  <si>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</si>
  <si>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</si>
  <si>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</si>
  <si>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</si>
  <si>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</si>
  <si>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</si>
  <si>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</si>
  <si>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</si>
  <si>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</si>
  <si>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</si>
  <si>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</si>
  <si>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</si>
  <si>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</si>
  <si>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</si>
  <si>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</si>
  <si>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</si>
  <si>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</si>
  <si>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</si>
  <si>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</si>
  <si>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</si>
  <si>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</si>
  <si>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</si>
  <si>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</si>
  <si>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</si>
  <si>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</si>
  <si>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</si>
  <si>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</si>
  <si>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</si>
  <si>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</si>
  <si>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</si>
  <si>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</si>
  <si>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</si>
  <si>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</si>
  <si>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</si>
  <si>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</si>
  <si>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</si>
  <si>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</si>
  <si>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</si>
  <si>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</si>
  <si>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</si>
  <si>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</si>
  <si>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</si>
  <si>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</si>
  <si>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</si>
  <si>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</si>
  <si>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</si>
  <si>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</si>
  <si>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</si>
  <si>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</si>
  <si>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</si>
  <si>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</si>
  <si>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</si>
  <si>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</si>
  <si>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</si>
  <si>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</si>
  <si>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</si>
  <si>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</si>
  <si>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</si>
  <si>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</si>
  <si>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</si>
  <si>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</si>
  <si>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</si>
  <si>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</si>
  <si>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</si>
  <si>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</si>
  <si>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</si>
  <si>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</si>
  <si>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</si>
  <si>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</si>
  <si>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</si>
  <si>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</si>
  <si>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</si>
  <si>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</si>
  <si>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</si>
  <si>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</si>
  <si>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</si>
  <si>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</si>
  <si>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</si>
  <si>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</si>
  <si>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</si>
  <si>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</si>
  <si>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</si>
  <si>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</si>
  <si>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</si>
  <si>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</si>
  <si>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</si>
  <si>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</si>
  <si>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</si>
  <si>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</si>
  <si>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</si>
  <si>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</si>
  <si>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</si>
  <si>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</si>
  <si>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</si>
  <si>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</si>
  <si>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</si>
  <si>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</si>
  <si>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</si>
  <si>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</si>
  <si>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</si>
  <si>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</si>
  <si>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</si>
  <si>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</si>
  <si>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</si>
  <si>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</si>
  <si>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</si>
  <si>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</si>
  <si>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</si>
  <si>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</si>
  <si>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</si>
  <si>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</si>
  <si>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</si>
  <si>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</si>
  <si>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</si>
  <si>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</si>
  <si>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</si>
  <si>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</si>
  <si>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</si>
  <si>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</si>
  <si>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</si>
  <si>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</si>
  <si>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</si>
  <si>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</si>
  <si>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</si>
  <si>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</si>
  <si>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</si>
  <si>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</si>
  <si>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</si>
  <si>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</si>
  <si>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</si>
  <si>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</si>
  <si>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</si>
  <si>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</si>
  <si>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</si>
  <si>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</si>
  <si>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</si>
  <si>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</si>
  <si>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</si>
  <si>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</si>
  <si>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</si>
  <si>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</si>
  <si>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</si>
  <si>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</si>
  <si>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</si>
  <si>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</si>
  <si>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</si>
  <si>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</si>
  <si>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</si>
  <si>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</si>
  <si>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</si>
  <si>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</si>
  <si>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</si>
  <si>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</si>
  <si>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</si>
  <si>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</si>
  <si>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</si>
  <si>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</si>
  <si>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</si>
  <si>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</si>
  <si>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</si>
  <si>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</si>
  <si>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</si>
  <si>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</si>
  <si>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</si>
  <si>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</si>
  <si>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</si>
  <si>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</si>
  <si>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</si>
  <si>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</si>
  <si>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</si>
  <si>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</si>
  <si>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</si>
  <si>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</si>
  <si>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</si>
  <si>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</si>
  <si>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</si>
  <si>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</si>
  <si>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</si>
  <si>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</si>
  <si>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</si>
  <si>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</si>
  <si>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</si>
  <si>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</si>
  <si>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</si>
  <si>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</si>
  <si>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</si>
  <si>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</si>
  <si>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</si>
  <si>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</si>
  <si>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</si>
  <si>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</si>
  <si>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</si>
  <si>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</si>
  <si>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</si>
  <si>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</si>
  <si>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</si>
  <si>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</si>
  <si>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</si>
  <si>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</si>
  <si>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</si>
  <si>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</si>
  <si>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</si>
  <si>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</si>
  <si>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</si>
  <si>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webanalytics_ag</t>
  </si>
  <si>
    <t>chavan_pranoti</t>
  </si>
  <si>
    <t>sivaramaiah2008</t>
  </si>
  <si>
    <t>emranhrbr</t>
  </si>
  <si>
    <t>carolinebombart</t>
  </si>
  <si>
    <t>jobsplane</t>
  </si>
  <si>
    <t>chandra_sekhare</t>
  </si>
  <si>
    <t>nnaya_a</t>
  </si>
  <si>
    <t>bbozuteru</t>
  </si>
  <si>
    <t>the_rad_zone</t>
  </si>
  <si>
    <t>sivashanker_26</t>
  </si>
  <si>
    <t>1stchoicerec</t>
  </si>
  <si>
    <t>uxjobs_imea</t>
  </si>
  <si>
    <t>webguruawards</t>
  </si>
  <si>
    <t>webpageland</t>
  </si>
  <si>
    <t>designbrandind</t>
  </si>
  <si>
    <t>racjac23</t>
  </si>
  <si>
    <t>connor182010</t>
  </si>
  <si>
    <t>followupthen</t>
  </si>
  <si>
    <t>dprian____</t>
  </si>
  <si>
    <t>taedodekoo</t>
  </si>
  <si>
    <t>mehkaadams</t>
  </si>
  <si>
    <t>barnabywass</t>
  </si>
  <si>
    <t>dpanshugahlaut</t>
  </si>
  <si>
    <t>coopsgreenteam</t>
  </si>
  <si>
    <t>rameshdudala</t>
  </si>
  <si>
    <t>mahasri25080194</t>
  </si>
  <si>
    <t>goodfirms</t>
  </si>
  <si>
    <t>sumanthch</t>
  </si>
  <si>
    <t>fcmtaryn</t>
  </si>
  <si>
    <t>bizitflint</t>
  </si>
  <si>
    <t>mackphason</t>
  </si>
  <si>
    <t>whichwdc</t>
  </si>
  <si>
    <t>mulasailaja</t>
  </si>
  <si>
    <t>superrjoint</t>
  </si>
  <si>
    <t>ameetchaudhry</t>
  </si>
  <si>
    <t>pantherassoc</t>
  </si>
  <si>
    <t>topdevelopersco</t>
  </si>
  <si>
    <t>employmennews24</t>
  </si>
  <si>
    <t>evanevsthedude</t>
  </si>
  <si>
    <t>slidesource</t>
  </si>
  <si>
    <t>karmaceejay</t>
  </si>
  <si>
    <t>nexus8846</t>
  </si>
  <si>
    <t>lady_machel</t>
  </si>
  <si>
    <t>chetanasforum</t>
  </si>
  <si>
    <t>webpage_tips</t>
  </si>
  <si>
    <t>fountainkricket</t>
  </si>
  <si>
    <t>irjobline</t>
  </si>
  <si>
    <t>dnl_o</t>
  </si>
  <si>
    <t>laura_logic</t>
  </si>
  <si>
    <t>paul_melman</t>
  </si>
  <si>
    <t>aquaalec</t>
  </si>
  <si>
    <t>writeupcafe</t>
  </si>
  <si>
    <t>nishaadweta</t>
  </si>
  <si>
    <t>tamhaneclinic</t>
  </si>
  <si>
    <t>kalungigroup</t>
  </si>
  <si>
    <t>youroq</t>
  </si>
  <si>
    <t>anithapujya</t>
  </si>
  <si>
    <t>softwarefindr_</t>
  </si>
  <si>
    <t>wendy97053587</t>
  </si>
  <si>
    <t>karmawork</t>
  </si>
  <si>
    <t>artworksbyshana</t>
  </si>
  <si>
    <t>bootstrap4eva</t>
  </si>
  <si>
    <t>enggjobsindia</t>
  </si>
  <si>
    <t>tristanpej</t>
  </si>
  <si>
    <t>dushyant_pimple</t>
  </si>
  <si>
    <t>lostboyraskal</t>
  </si>
  <si>
    <t>amadahamy</t>
  </si>
  <si>
    <t>mpchekuri</t>
  </si>
  <si>
    <t>jetrubyagency</t>
  </si>
  <si>
    <t>sravanthiboyapa</t>
  </si>
  <si>
    <t>naziyamalik22</t>
  </si>
  <si>
    <t>iris_crm</t>
  </si>
  <si>
    <t>dreamsofskies</t>
  </si>
  <si>
    <t>writingjobs_in</t>
  </si>
  <si>
    <t>inovies</t>
  </si>
  <si>
    <t>oviedojc</t>
  </si>
  <si>
    <t>growthmktconf</t>
  </si>
  <si>
    <t>internetjer</t>
  </si>
  <si>
    <t>oviyamchetna</t>
  </si>
  <si>
    <t>develop4u_co</t>
  </si>
  <si>
    <t>indbcclassified</t>
  </si>
  <si>
    <t>hyderabadblogs</t>
  </si>
  <si>
    <t>bootstraptags</t>
  </si>
  <si>
    <t>kevreem</t>
  </si>
  <si>
    <t>ia_uxjobs</t>
  </si>
  <si>
    <t>jayantisrao</t>
  </si>
  <si>
    <t>newbabyfly</t>
  </si>
  <si>
    <t>alisovino</t>
  </si>
  <si>
    <t>aim_pvsk</t>
  </si>
  <si>
    <t>jobspotz</t>
  </si>
  <si>
    <t>indywoodifc</t>
  </si>
  <si>
    <t>allifrye123</t>
  </si>
  <si>
    <t>azahar_shaik</t>
  </si>
  <si>
    <t>m4moazam</t>
  </si>
  <si>
    <t>namanas</t>
  </si>
  <si>
    <t>mandavilli</t>
  </si>
  <si>
    <t>farooqdesigns</t>
  </si>
  <si>
    <t>designernewsbot</t>
  </si>
  <si>
    <t>byles_digital</t>
  </si>
  <si>
    <t>notshebjammin</t>
  </si>
  <si>
    <t>dc_dreamsevents</t>
  </si>
  <si>
    <t>redbookfilms</t>
  </si>
  <si>
    <t>codeitwright</t>
  </si>
  <si>
    <t>bullrushapp</t>
  </si>
  <si>
    <t>martintenvoorde</t>
  </si>
  <si>
    <t>rkbhaai</t>
  </si>
  <si>
    <t>bfriedle</t>
  </si>
  <si>
    <t>sandy_gile</t>
  </si>
  <si>
    <t>suiciderecovery</t>
  </si>
  <si>
    <t>modern_webz</t>
  </si>
  <si>
    <t>procharitynews</t>
  </si>
  <si>
    <t>breathinuari</t>
  </si>
  <si>
    <t>fairsoftguntur</t>
  </si>
  <si>
    <t>tanner_mosier</t>
  </si>
  <si>
    <t>kkaverill</t>
  </si>
  <si>
    <t>crkonline</t>
  </si>
  <si>
    <t>placementfloor</t>
  </si>
  <si>
    <t>seeklogo</t>
  </si>
  <si>
    <t>jcbisaak</t>
  </si>
  <si>
    <t>bizoforceinc</t>
  </si>
  <si>
    <t>rafi1227</t>
  </si>
  <si>
    <t>tsm_b2b</t>
  </si>
  <si>
    <t>india_jobsearch</t>
  </si>
  <si>
    <t>freshjobupdates</t>
  </si>
  <si>
    <t>thriveagency</t>
  </si>
  <si>
    <t>leveronline</t>
  </si>
  <si>
    <t>benannabakery</t>
  </si>
  <si>
    <t>jobsin_india</t>
  </si>
  <si>
    <t>shanebruwer</t>
  </si>
  <si>
    <t>valeriaordaz00</t>
  </si>
  <si>
    <t>writtenbyhanna</t>
  </si>
  <si>
    <t>careerage</t>
  </si>
  <si>
    <t>markkyyymark</t>
  </si>
  <si>
    <t>lapsiluco</t>
  </si>
  <si>
    <t>evontech</t>
  </si>
  <si>
    <t>indywoodfilm</t>
  </si>
  <si>
    <t>vfreshers</t>
  </si>
  <si>
    <t>brainleafit</t>
  </si>
  <si>
    <t>jobpatrika</t>
  </si>
  <si>
    <t>dbmwebmarketing</t>
  </si>
  <si>
    <t>getgeekrelief</t>
  </si>
  <si>
    <t>narenadarswaero</t>
  </si>
  <si>
    <t>saitelugumovies</t>
  </si>
  <si>
    <t>thaz32</t>
  </si>
  <si>
    <t>suryakotianu</t>
  </si>
  <si>
    <t>jameslbrower2</t>
  </si>
  <si>
    <t>filycamara681</t>
  </si>
  <si>
    <t>net_comms</t>
  </si>
  <si>
    <t>garcias_jmichel</t>
  </si>
  <si>
    <t>laurieciss</t>
  </si>
  <si>
    <t>altereco_</t>
  </si>
  <si>
    <t>marinasalad</t>
  </si>
  <si>
    <t>rebrandlybuzz</t>
  </si>
  <si>
    <t>jobminerin</t>
  </si>
  <si>
    <t>stcstudios</t>
  </si>
  <si>
    <t>twibs</t>
  </si>
  <si>
    <t>iistefka</t>
  </si>
  <si>
    <t>indianjobtalkss</t>
  </si>
  <si>
    <t>nodebb</t>
  </si>
  <si>
    <t>alljobs4u_com</t>
  </si>
  <si>
    <t>fuckthisdude2</t>
  </si>
  <si>
    <t>jwjobssms</t>
  </si>
  <si>
    <t>sandijobs</t>
  </si>
  <si>
    <t>mfcnovo</t>
  </si>
  <si>
    <t>cinemaspecial</t>
  </si>
  <si>
    <t>excoecariamedia</t>
  </si>
  <si>
    <t>binabindu</t>
  </si>
  <si>
    <t>cssnectar</t>
  </si>
  <si>
    <t>smontelimar</t>
  </si>
  <si>
    <t>mguruz</t>
  </si>
  <si>
    <t>bob_thompson</t>
  </si>
  <si>
    <t>bluformiga</t>
  </si>
  <si>
    <t>shittyscotty</t>
  </si>
  <si>
    <t>tgjobalert</t>
  </si>
  <si>
    <t>jobs_board</t>
  </si>
  <si>
    <t>gvalan</t>
  </si>
  <si>
    <t>inovies1</t>
  </si>
  <si>
    <t>its_me_mahii</t>
  </si>
  <si>
    <t>oncemanu</t>
  </si>
  <si>
    <t>defindia</t>
  </si>
  <si>
    <t>entwistletx</t>
  </si>
  <si>
    <t>360ie</t>
  </si>
  <si>
    <t>willowassist</t>
  </si>
  <si>
    <t>twitpulse_in</t>
  </si>
  <si>
    <t>zerocoollatte</t>
  </si>
  <si>
    <t>expertjobsorg</t>
  </si>
  <si>
    <t>darbeputtur</t>
  </si>
  <si>
    <t>therealfrankson</t>
  </si>
  <si>
    <t>varahipackage</t>
  </si>
  <si>
    <t>c_randieri</t>
  </si>
  <si>
    <t>exploremyjobs</t>
  </si>
  <si>
    <t>wiergeezy</t>
  </si>
  <si>
    <t>jobsposot_in</t>
  </si>
  <si>
    <t>srikanth55557</t>
  </si>
  <si>
    <t>lexkuhne</t>
  </si>
  <si>
    <t>peopleperhour</t>
  </si>
  <si>
    <t>ghmconline</t>
  </si>
  <si>
    <t>monroeconsult</t>
  </si>
  <si>
    <t>robertdowneyjr</t>
  </si>
  <si>
    <t>thegregorye</t>
  </si>
  <si>
    <t>hockeywoodkings</t>
  </si>
  <si>
    <t>nawabmalikncp</t>
  </si>
  <si>
    <t>finreluk</t>
  </si>
  <si>
    <t>t0nyh0ran</t>
  </si>
  <si>
    <t>virtuoso_qa</t>
  </si>
  <si>
    <t>fmidesign</t>
  </si>
  <si>
    <t>willburge</t>
  </si>
  <si>
    <t>ashleydufner</t>
  </si>
  <si>
    <t>choisansatan</t>
  </si>
  <si>
    <t>swiftymorgan</t>
  </si>
  <si>
    <t>johngow</t>
  </si>
  <si>
    <t>jeremyscrivens</t>
  </si>
  <si>
    <t>smokingchili</t>
  </si>
  <si>
    <t>ipfconline1</t>
  </si>
  <si>
    <t>customerthink</t>
  </si>
  <si>
    <t>bloggerplugins</t>
  </si>
  <si>
    <t>christinkardos</t>
  </si>
  <si>
    <t>convince</t>
  </si>
  <si>
    <t>roja_inovies</t>
  </si>
  <si>
    <t>quovantis</t>
  </si>
  <si>
    <t>redwerk</t>
  </si>
  <si>
    <t>skynet_tv</t>
  </si>
  <si>
    <t>intexsoft</t>
  </si>
  <si>
    <t>improvingmx</t>
  </si>
  <si>
    <t>star_knowledge</t>
  </si>
  <si>
    <t>square63</t>
  </si>
  <si>
    <t>digitbazar</t>
  </si>
  <si>
    <t>nichetechsol</t>
  </si>
  <si>
    <t>worryfreelabs</t>
  </si>
  <si>
    <t>goodworklabs</t>
  </si>
  <si>
    <t>dom_and_tom</t>
  </si>
  <si>
    <t>rocketinsights</t>
  </si>
  <si>
    <t>miamitechsperts</t>
  </si>
  <si>
    <t>barbatosrasiel</t>
  </si>
  <si>
    <t>hagodhem2</t>
  </si>
  <si>
    <t>familymobile</t>
  </si>
  <si>
    <t>shes_the_mann1</t>
  </si>
  <si>
    <t>commissionrghmc</t>
  </si>
  <si>
    <t>ktrtrs</t>
  </si>
  <si>
    <t>fabiorabin</t>
  </si>
  <si>
    <t>pquestiono</t>
  </si>
  <si>
    <t>skotwaldron</t>
  </si>
  <si>
    <t>rankvisibility</t>
  </si>
  <si>
    <t>pinterest</t>
  </si>
  <si>
    <t>eenadu</t>
  </si>
  <si>
    <t>upskillyourlife</t>
  </si>
  <si>
    <t>aadeshrawal</t>
  </si>
  <si>
    <t>codie_sanchez</t>
  </si>
  <si>
    <t>joshqharris</t>
  </si>
  <si>
    <t>telanganacops</t>
  </si>
  <si>
    <t>indianewsnetwk</t>
  </si>
  <si>
    <t>mashable</t>
  </si>
  <si>
    <t>development_web</t>
  </si>
  <si>
    <t>iamjordan</t>
  </si>
  <si>
    <t>zcohencnn</t>
  </si>
  <si>
    <t>evanperez</t>
  </si>
  <si>
    <t>natashabertrand</t>
  </si>
  <si>
    <t>katiebolillis</t>
  </si>
  <si>
    <t>jeremyherb</t>
  </si>
  <si>
    <t>samuraipreneur</t>
  </si>
  <si>
    <t>httpster_</t>
  </si>
  <si>
    <t>bhatticlp</t>
  </si>
  <si>
    <t>revanth_anumula</t>
  </si>
  <si>
    <t>mhdfaran</t>
  </si>
  <si>
    <t>hridoyreh</t>
  </si>
  <si>
    <t>shellypalmer</t>
  </si>
  <si>
    <t>yourstoryco</t>
  </si>
  <si>
    <t>linkedin</t>
  </si>
  <si>
    <t>hydcitypolice</t>
  </si>
  <si>
    <t>paypal</t>
  </si>
  <si>
    <t>missionambedkar</t>
  </si>
  <si>
    <t>sfi_arjun</t>
  </si>
  <si>
    <t>bedasampath</t>
  </si>
  <si>
    <t>mnaveenssu</t>
  </si>
  <si>
    <t>maddiletibanda4</t>
  </si>
  <si>
    <t>pv_sunil_kumar</t>
  </si>
  <si>
    <t>nithin_bussa</t>
  </si>
  <si>
    <t>amarbyagari</t>
  </si>
  <si>
    <t>quiffboy</t>
  </si>
  <si>
    <t>neilpatel</t>
  </si>
  <si>
    <t>elonmusk</t>
  </si>
  <si>
    <t>sherazfarooqi_</t>
  </si>
  <si>
    <t>thecolourmoon</t>
  </si>
  <si>
    <t>switchsoft</t>
  </si>
  <si>
    <t>tvishat</t>
  </si>
  <si>
    <t>navaratantech</t>
  </si>
  <si>
    <t>nethues</t>
  </si>
  <si>
    <t>mr_blackog</t>
  </si>
  <si>
    <t>ranaayyub</t>
  </si>
  <si>
    <t>ethanewebtech</t>
  </si>
  <si>
    <t>perfect_search</t>
  </si>
  <si>
    <t>straightnorth</t>
  </si>
  <si>
    <t>digitlresource</t>
  </si>
  <si>
    <t>digivate</t>
  </si>
  <si>
    <t>dashtwo</t>
  </si>
  <si>
    <t>natsecjeff</t>
  </si>
  <si>
    <t>allblacks9926</t>
  </si>
  <si>
    <t>thhyderabad</t>
  </si>
  <si>
    <t>rsmgears</t>
  </si>
  <si>
    <t>cricclubs</t>
  </si>
  <si>
    <t>nandi_tyres</t>
  </si>
  <si>
    <t>rodney_mcleod4</t>
  </si>
  <si>
    <t>eagles</t>
  </si>
  <si>
    <t>wendyvandepoll</t>
  </si>
  <si>
    <t>goasirvia</t>
  </si>
  <si>
    <t>sharethis</t>
  </si>
  <si>
    <t>missaaubree</t>
  </si>
  <si>
    <t>mattcino1</t>
  </si>
  <si>
    <t>iddelf</t>
  </si>
  <si>
    <t>sunarc_tech</t>
  </si>
  <si>
    <t>octalitsolution</t>
  </si>
  <si>
    <t>softwaredevin</t>
  </si>
  <si>
    <t>promatics</t>
  </si>
  <si>
    <t>phoenix_bizz</t>
  </si>
  <si>
    <t>ripenappstech</t>
  </si>
  <si>
    <t>a1future</t>
  </si>
  <si>
    <t>tonycompton</t>
  </si>
  <si>
    <t>pennylanevideos</t>
  </si>
  <si>
    <t>av_tms</t>
  </si>
  <si>
    <t>rspraveenswaero</t>
  </si>
  <si>
    <t>eaglaboratories</t>
  </si>
  <si>
    <t>cerballiance</t>
  </si>
  <si>
    <t>gabrielattal</t>
  </si>
  <si>
    <t>lci</t>
  </si>
  <si>
    <t>agindre</t>
  </si>
  <si>
    <t>biogroup_labo</t>
  </si>
  <si>
    <t>labobiopyrenees</t>
  </si>
  <si>
    <t>vamsikaka</t>
  </si>
  <si>
    <t>w3webdesign_in</t>
  </si>
  <si>
    <t>vladobotsvadze</t>
  </si>
  <si>
    <t>lamontilienne26</t>
  </si>
  <si>
    <t>coacheloquence</t>
  </si>
  <si>
    <t>at_graphisme</t>
  </si>
  <si>
    <t>avisproduitweb</t>
  </si>
  <si>
    <t>besson1258</t>
  </si>
  <si>
    <t>rhonevallee</t>
  </si>
  <si>
    <t>nguyen56712041</t>
  </si>
  <si>
    <t>superpromo2o18</t>
  </si>
  <si>
    <t>nsahuc</t>
  </si>
  <si>
    <t>shiatsudomontel</t>
  </si>
  <si>
    <t>marie_veille</t>
  </si>
  <si>
    <t>successlake</t>
  </si>
  <si>
    <t>manthanaward</t>
  </si>
  <si>
    <t>shaandelhite</t>
  </si>
  <si>
    <t>pnburrows</t>
  </si>
  <si>
    <t>espn</t>
  </si>
  <si>
    <t>Mentions</t>
  </si>
  <si>
    <t>Replies to</t>
  </si>
  <si>
    <t>MentionsInReplyTo</t>
  </si>
  <si>
    <t>MentionsInQuote</t>
  </si>
  <si>
    <t>Quote</t>
  </si>
  <si>
    <t>MentionsInQuoteReply</t>
  </si>
  <si>
    <t>Retweet</t>
  </si>
  <si>
    <t>Inovies Wins IES ?Excellence Award? &amp;amp;amp;amp; Nagendra Bommasani conferred ?Udyog Rattan Award #inovies https://t.co/XiY8iRZzG5</t>
  </si>
  <si>
    <t>Inovies Wins IES ?Excellence Award? &amp;amp;amp;amp; Nagendra Bommasani conferred ?Udyog Rattan Award #inovies https://t.co/QGm6TNoRO1</t>
  </si>
  <si>
    <t>Inovies Wins IES ?Excellence Award? &amp;amp;amp;amp; Nagendra Bommasani conferred ?Udyog Rattan Award #inovies https://t.co/bDH6MZe733</t>
  </si>
  <si>
    <t>Inovies Wins IES ?Excellence Award? &amp;amp;amp;amp; Nagendra Bommasani conferred ?Udyog Rattan Award #inovies https://t.co/YXW8uWLeCc</t>
  </si>
  <si>
    <t>Inovies web design A larger online space even for your smaller business needs #web https://t.co/wAQUMgozRP</t>
  </si>
  <si>
    <t>@GHMCOnline drainage water overflow since 2 months now. No permanent solution undertaken even after repeated complains. Entire area is stinking. Inovies street, patrika nagar near max cure hospital https://t.co/cFQ6nSypry</t>
  </si>
  <si>
    <t>Inovies looking for Fresher B.Tech / MBA / MCA / Graduate (Any stream) - 2010 Batch http://goo.gl/fb/udTU3</t>
  </si>
  <si>
    <t>Immediate openings for Research and content Writers: hyderabad, TS Inovies Excellent writing/editing skills, with… https://t.co/5RmhFewukq</t>
  </si>
  <si>
    <t>@MonroeConsult @successmethod_ @Inovies - Hi! Happy to have you in my community :)</t>
  </si>
  <si>
    <t>Hiring Technical Documentation Writer @ Inovies Girls Only(Fresher&amp;amp;Exp) at Inovies http://t.co/2qBvIRO9 #freshers</t>
  </si>
  <si>
    <t>@Inovies #StandByPVSunilKumarIPS</t>
  </si>
  <si>
    <t>Vin Diesel is always inovies that are cheesy but you still want to watch it and see what crazy thing will happen next. I Stan</t>
  </si>
  <si>
    <t>@HockeywoodKings @TheGregoryE @RobertDowneyJr RDJ himself has said those barely qualify as acting, he was inovies, sure, but no acting muscles were flexed</t>
  </si>
  <si>
    <t>The amount of people inovies who have lighter fluid laying around their house seems unrealistic. I can't think of a single person I know who has lighter fluid, let alone a lighter that would need it.</t>
  </si>
  <si>
    <t>@nawabmalikncp Inovies they show police as hero's. Outside they give a damn to department . Ye Kya logic Hain sir</t>
  </si>
  <si>
    <t>Thank you for the follow! @CameronFirefish @t0nyh0ran @pure_banners @finreluk @Inovies @crystalprosky #FridayFeeling</t>
  </si>
  <si>
    <t>#uxjobs (#India) UI Designer and graphic designers - inovies consulting pvt ltd - Hyderabad, Telangana https://t.co/hHo5A4zd7b</t>
  </si>
  <si>
    <t>#uxjobs (#India) UI Designer - INOVIES CONSULTING PVT LTD - Hyderabad, Andhra Pradesh https://t.co/Bs8p3keEOO</t>
  </si>
  <si>
    <t>#uxjobs (#India) UI/UX Developer cum Designer - inovies - Madhapur, Hyderabad, Telangana https://t.co/lXLhLdkrC6</t>
  </si>
  <si>
    <t>Check  our previous #winners of this particular Date &amp;amp; Month 19 #May 
https://t.co/napOv1pnvW 
#19May #19May2015 #19May2016 #19May2017 #19May2018 #19May2019 #19May2020 #19May2021 #19May2022 #Webguruawards #Throwback 
@Inovies @Virtuoso_QA https://t.co/1jU6knqzwa</t>
  </si>
  <si>
    <t>The latest Webpage development Daily! https://t.co/6hEuZ7pmRL #inovies</t>
  </si>
  <si>
    <t>The Web Design for your business Daily is out! https://t.co/fXlSLZQUCf Stories via @minipea @Inovies @fmidesign</t>
  </si>
  <si>
    <t>The latest The Web Design for your business Daily! https://t.co/rApEaOQcay #webdesign #inovies</t>
  </si>
  <si>
    <t>@WillBurge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</si>
  <si>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</si>
  <si>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@Inovies Start using FollowUpThen with our unlimited free plan. https://t.co/M3XtXuOXGt</t>
  </si>
  <si>
    <t>@vlucianav LA CONXHA TUYA LUCIANA igual siempre novies nunca inovies dulzura ;))))?)</t>
  </si>
  <si>
    <t>she’s so cute shes so cute inovies gahhssdddf</t>
  </si>
  <si>
    <t>RT https://t.co/ihg0FcpYCd Best Digital Marketing Consulting Company in Hyderabad-@Inovies see more&amp;gt;https://t.co/phGzagIvst #Best #DigitalMarketing #consulting #company #Hyderabad #inovies #S… https://t.co/TCdfc7yzzs</t>
  </si>
  <si>
    <t>Thanks for the follow @ipfconline1 @Inovies @inspiredlywrit @SmokingChili   @JeremyScrivens @johngow @SwiftyMorgan. Happy to connect!</t>
  </si>
  <si>
    <t>Will you become one with #GrowthHacker marketing? by @inovies https://t.co/zgUGO2RDH2 via @CustomerThink</t>
  </si>
  <si>
    <t>Hey Inovies thanks for following me. Make it a great day @Inovies !</t>
  </si>
  <si>
    <t>Inovies Careers - Job apply for Web Application Tester and QA Analyst  http://t.co/mKyXBoCJl0 via @bloggerplugins</t>
  </si>
  <si>
    <t>Inovies Careers via @bloggerplugins</t>
  </si>
  <si>
    <t>Ubuntu smartphone won't be as 'open' as they say  http://t.co/f7Bt1QEXE5 via @inovies</t>
  </si>
  <si>
    <t>Cisco, partners to build world's largest global intercloud  http://t.co/Rk6fliswc0 via @inovies</t>
  </si>
  <si>
    <t>Microsoft Cuts Azure Pricing  http://t.co/Minq8q6MHD via @inovies</t>
  </si>
  <si>
    <t>Ubuntu smartphone won't be as 'open' as they say http://t.co/Sj1hAtIdht via @Inovies</t>
  </si>
  <si>
    <t>Following are the 8 amazing operating systems, Getting to know them! http://t.co/Jx40obyXXE via @Inovies</t>
  </si>
  <si>
    <t>Cyber attacks against Indian Government and financial organizations witness more than 100 percent ju http://t.co/VPYM3sqSW2 via @Inovies</t>
  </si>
  <si>
    <t>ramesh test via @Inovies</t>
  </si>
  <si>
    <t>SMBs' Favorite Sources for Sales Leads http://t.co/xpepFjISwr via @Inovies</t>
  </si>
  <si>
    <t>cloud storage is empowering a new breed of Indian digital service companies http://t.co/irE6eIzWqn via @Inovies</t>
  </si>
  <si>
    <t>India's cloud-growth lessons http://t.co/Gv3CxmvHgU via @Inovies</t>
  </si>
  <si>
    <t>What will the Web look like in 2025? http://t.co/0mvUoutZSN via @Inovies</t>
  </si>
  <si>
    <t>Microsoft Cuts Azure Pricing http://t.co/XeRYodqLEJ via @Inovies</t>
  </si>
  <si>
    <t>10 Tips for Improving Your IT Team’s Productivity http://t.co/iwNgwEiTSK via @Inovies</t>
  </si>
  <si>
    <t>5 ways to redefine the economics of your storage architecture http://t.co/uq47Tb7haF via @Inovies</t>
  </si>
  <si>
    <t>Microsoft makes Windows free for small devices http://t.co/nviIQY63hV via @Inovies</t>
  </si>
  <si>
    <t>India's cloud-growth lessons  http://t.co/Gv3CxmvHgU via @Inovies</t>
  </si>
  <si>
    <t>Following are the 8 amazing operating systems, Getting to know them!  http://t.co/Jx40obyXXE via @Inovies</t>
  </si>
  <si>
    <t>Microsoft Cuts Azure Pricing  http://t.co/XeRYodqLEJ via @Inovies</t>
  </si>
  <si>
    <t>Microsoft makes Windows free for small devices  http://t.co/nviIQY63hV via @Inovies</t>
  </si>
  <si>
    <t>Andromeda - a software defined network underlying its cloud, by Google  http://t.co/e6nrruRkAd via @Inovies</t>
  </si>
  <si>
    <t>SMBs' Favorite Sources for Sales Leads  http://t.co/xpepFjISwr via @Inovies</t>
  </si>
  <si>
    <t>  http://t.co/wwj5GQ6OlQ via @Inovies</t>
  </si>
  <si>
    <t>India's cloud-growth lessons  http://t.co/Pnp3aQ0Db5 via @inovies</t>
  </si>
  <si>
    <t>Microsoft makes Windows free for small devices  http://t.co/SR24TWz5XP via @inovies</t>
  </si>
  <si>
    <t>Following are the 8 amazing operating systems, Getting to know them!  http://t.co/rC6hyqlFYy via @inovies</t>
  </si>
  <si>
    <t>5 ways to redefine the economics of your storage architecture  sdhttp://www.inovies.com/inovies_news.php?id=14 via @inovies</t>
  </si>
  <si>
    <t>A 'Crisis' in Online Ads: One-Third of Traffic Is Fake  http://t.co/WJ5qQhB6ft via @inovies</t>
  </si>
  <si>
    <t>cloud storage is empowering a new breed of Indian digital service companies  http://t.co/rweewV78zR via @inovies</t>
  </si>
  <si>
    <t>5 ways to redefine the economics of your storage architecture  http://t.co/ae5qidIuEQ via @inovies</t>
  </si>
  <si>
    <t>Discover Better Ways To Create Documents  via @inovies</t>
  </si>
  <si>
    <t>Andromeda - a software defined network underlying its cloud, by Google  http://t.co/8xuaXz49Qh via @inovies</t>
  </si>
  <si>
    <t>@Inovies gerg</t>
  </si>
  <si>
    <t>#digital_marketing_agency 
#Hyderabad
#digitamarketing_company 
https://t.co/IWF12uZepy Inovies it is digital marketing agency in Hyderabad providing SEO, PPC and Local SEO, search engine optimization services. It’s an online service company. https://t.co/BNCAQweBA9</t>
  </si>
  <si>
    <t>inovies digital marketing agency�in Hyderabad https://t.co/ZqjwqfaJiH</t>
  </si>
  <si>
    <t>#Best_digital_marketing 
#agency 
#seo_company 
#Hyderabad
https://t.co/NqNK2GaZDg Digital promoting is one in every of the most effective essential promoting strategy for your business. Digital aspects and supply measurable results.Inovies providing Digital marketing Services.</t>
  </si>
  <si>
    <t>https://t.co/Ky35yAel8G
Inovies providing the best Digital marketing Services in Hyderabad, SEO and PPC services in Hyderabad, Local SEO services in Hyderabad, Search engine optimization services. https://t.co/WJnMVGHFJe</t>
  </si>
  <si>
    <t>A client said @Inovies has ability &amp;amp; reliability factor on @GoodFirms
https://t.co/lLMMr12bWm
#GoodFirms #Reviews #MobileAppDevelopment https://t.co/6T2V0tKIfH</t>
  </si>
  <si>
    <t>@Inovies No.</t>
  </si>
  <si>
    <t>#SHARETHELOVE @convince @ChristinKardos @Roja_Inovies have a great day :)</t>
  </si>
  <si>
    <t>"INOVIES" Recruits FRESHERS : Technical Documentation Writer http://goo.gl/fb/WBFTi</t>
  </si>
  <si>
    <t> nice http://t.co/029pYK8R0r via @Inovies</t>
  </si>
  <si>
    <t>View inovies's most recent project on WWDC   http://t.co/kRHyvEoKzf #webdesign</t>
  </si>
  <si>
    <t>inovies has just added MediCova as their client http://t.co/kRHyvEoKzf #website</t>
  </si>
  <si>
    <t>inovies has just added pallibatani as their client http://t.co/kRHyvEoKzf #website</t>
  </si>
  <si>
    <t>inovies  has just gained Bronze member status - congratulations! http://t.co/SkDoBNYcFu</t>
  </si>
  <si>
    <t>inovies  has just signed up to WWDC - welcome! http://t.co/SkDoBNYcFu #tech</t>
  </si>
  <si>
    <t>@Inovies Vaadu hero kaadu, street rowdy…
https://t.co/wt5Y7MH436</t>
  </si>
  <si>
    <t>Shower sex is just....no...only looks good inovies or whatever...</t>
  </si>
  <si>
    <t>WALK IN @ INOVIES FOR TECHNICAL DOCUMENTATION WRITERS - FRESHERS - 2012 PASSED OUTS : On 8TH JUNE &amp;amp; 9TH JUNE,2013... http://t.co/MUsqHWnyjX</t>
  </si>
  <si>
    <t>Hey Inovies thanks for the follow! Have you tried out our FREE SEO audit service? https://t.co/k1zqxwJAnb</t>
  </si>
  <si>
    <t>List of Competitive #AppDevelopment firms- 2021
@Star_Knowledge @nichetechsol @ImprovingMx @Inovies @Digitbazar @square63 @intexsoft @Skynet_TV @redwerk @Quovantis_xD83D__xDC49_ https://t.co/IveDMh5C7z
#AppDevelopmentAgencies #AppDevelopers #AppDevelopmentCompanies #AppDevelopment #AppDev https://t.co/1z0AWWWg46</t>
  </si>
  <si>
    <t>Top Mobile #AppDevelopment Companies of 2020
@MiamiTechsperts @rocketinsights @Dom_and_Tom @GoodWorkLabs @worryfreelabs @nichetechsol @Inovies @Digitbazar @square63 _xD83D__xDC49_ https://t.co/oCLWWIEIU9
#AppDevelopers #AppDevelopmentCompanies #AppDevelopmentAgencies #MobileAppDevelopment https://t.co/pVZj2abwcE</t>
  </si>
  <si>
    <t>Inovies Recruits Freshers http://goo.gl/fb/Zbrfw</t>
  </si>
  <si>
    <t>When I breathe in my lungs make that high pitched whistle noise they always use inovies after a flashbang or emp. God I love being sick</t>
  </si>
  <si>
    <t>@Inovies Welcome! Hope you find the tweets we share useful.</t>
  </si>
  <si>
    <t>RT @Inovies: #Wikipedia reverted the article on #DawoodIbrahim  just now
#inovies https://t.co/OAJe8N669i https://t.co/eEWIpnmlQL</t>
  </si>
  <si>
    <t>@hagodhem2 @BarbatosRasiel Yes, and that's fine.
Theres been an uptick in final battles in vacant grey wastelands inovies though and they're getting boring. Obviously reserve final judgement for the film, but it's concerning.</t>
  </si>
  <si>
    <t>Thought that shit only occured inovies.</t>
  </si>
  <si>
    <t>(FRESHERS) 'INOVIES' : Walk-In : Trainee Technical Writers : On 22-25 Dec 2014 @ Hyderabad :
http://t.co/kFK61f79qB http://t.co/x95ca00Lad</t>
  </si>
  <si>
    <t>(FRESHERS) Walk-In @ 'INOVIES' : Trainee Technical Writers : On 5-6 Dec 2014 @ Hyderabad :
http://t.co/XuiL7cQnwR http://t.co/GbPETAqX5U</t>
  </si>
  <si>
    <t>(FRESHERS) Walk-In @ 'INOVIES' : Trainee Technical Writers : On 4 December 2014 @ Hyderabad :
http://t.co/UuiI3MbpU7 http://t.co/pxdm9uvUQc</t>
  </si>
  <si>
    <t>The latest The Web development Daily! https://t.co/dJ5tAee2D8 #inovies</t>
  </si>
  <si>
    <t>@FamilyMobile a2: I usually pick because everyone knows I have great taste inovies. OR were watching whatever's scariest #CatchMoreData</t>
  </si>
  <si>
    <t>New Job in India, FRESHERS JOBS @ INOVIES : Technical Document Writer : Hyderabad - http://bit.ly/iTawQL</t>
  </si>
  <si>
    <t>FRESHERS JOBS @ INOVIES : Technical Document Writer : Hyderabad: Company : INOVIES Job… http://goo.gl/fb/5liWb</t>
  </si>
  <si>
    <t>New Job in India, FRESHERS JOBS @ INOVIES : Technical Document Writer : Hyderabad - http://bit.ly/jF3DOb</t>
  </si>
  <si>
    <t>New blog posting, FRESHERS JOBS @ INOVIES : Technical Documentation Writer : Hyderabad - http://tinyurl.com/6bjdb57</t>
  </si>
  <si>
    <t>New blog posting, FRESHERS JOBS @ INOVIES : Technical Documentation Writer : Hyderabad - http://tinyurl.com/4j9dku9</t>
  </si>
  <si>
    <t>New blog posting, FRESHERS JOBS @ INOVIES : Technical Documentation Writer : Hyderabad - http://tinyurl.com/4vrcf78</t>
  </si>
  <si>
    <t>New blog posting, FRESHERS JOBS @ INOVIES : Technical Documentation Writer : Hyderabad - http://tinyurl.com/5tmsy5e</t>
  </si>
  <si>
    <t>Swagg is inovies</t>
  </si>
  <si>
    <t>@Inovies Thank you for the follow! :)</t>
  </si>
  <si>
    <t>@shes_the_maNN1 But like, SpongeBob has a landline phone. Surely they must have seen them inovies and shows and such</t>
  </si>
  <si>
    <t>Pssst
A lot of stuff inovies nowadays is computer animated. Still looks godlike.
Imma move along with my day and let the fans enjoy what they will thanks._xD83D__xDC4D_</t>
  </si>
  <si>
    <t>SEO Service by Inovies Company https://t.co/o4ZwzkHPCA https://t.co/Nn7Ni6bCmO</t>
  </si>
  <si>
    <t>Affordable SEO Services Company Inovies https://t.co/MhCwXaDnMY</t>
  </si>
  <si>
    <t>Inovies On Page Optimization https://t.co/6tvp3AHTWL https://t.co/FnqgWrMy4D</t>
  </si>
  <si>
    <t>Inovies is top most best web development company based in Hyderabad India https://t.co/ZGXYC3e69Z https://t.co/mzGQEqWdAw</t>
  </si>
  <si>
    <t>Inovies Responsive Website Design Agency https://t.co/Lg8TO7S5eT</t>
  </si>
  <si>
    <t>Inovies Content Marketing https://t.co/tzz0kDcDBc https://t.co/pdDZcjJJuT</t>
  </si>
  <si>
    <t>Inovies is a best social media marketing agency in hyderabad https://t.co/0eTUAFJ4O5 https://t.co/s1g6kbkfD1</t>
  </si>
  <si>
    <t>Inovies Digital Marketing Agency https://t.co/oe33sm9nYJ https://t.co/j7Wsh2XLxM</t>
  </si>
  <si>
    <t>Inovies is Best SEO company in Hyderabad,Vijayawada and Dubai. https://t.co/BpnA98QbtO https://t.co/sNSvmUSnMV</t>
  </si>
  <si>
    <t>Inovies is PPC advertising company in Hyderabad With search engine optimization social media and Email marketing. https://t.co/DMV1PN0Dpa https://t.co/RDz3peXP95</t>
  </si>
  <si>
    <t>Inovies is Best Digital Marketing Services in Hyderabad With search engine optimization social media and email marketing. https://t.co/eJLGkM9djk https://t.co/5kvNdDaHtA</t>
  </si>
  <si>
    <t>Creative and Custom Web Design Services by Inovies https://t.co/JjrTwhB1cC https://t.co/7aqhsI1qdd</t>
  </si>
  <si>
    <t>Web Development Company | Get in Touch Today | Inovies https://t.co/eUvKQprplF https://t.co/ywH6hyfrW8</t>
  </si>
  <si>
    <t>Inovies is a Content Marketing Services Company in hyderabad https://t.co/0RjrOUz1ZL https://t.co/N9ufrCpLbW</t>
  </si>
  <si>
    <t>Inovies is a Content Marketing Services Company in hyderabad https://t.co/uIhBPjC591 https://t.co/oDRffEcyT6</t>
  </si>
  <si>
    <t>Inovies Pay Per Click Management Service https://t.co/7AFIBhyJ3l https://t.co/ne0LrQlKUb</t>
  </si>
  <si>
    <t>Inovies is a Content Marketing Strategy Company in hyderabad https://t.co/L9KvBSjN26 https://t.co/wTCo7uzJiI</t>
  </si>
  <si>
    <t>Inovies Web Design and Development Company https://t.co/tUKX3PxqEX https://t.co/Pti79FmR7Z</t>
  </si>
  <si>
    <t>Inovies is a Digital Marketing Agency in Hyderabad -2020 https://t.co/LvtOcjeHzU https://t.co/WwgQWZYEk4</t>
  </si>
  <si>
    <t>Inovies Web Development Company https://t.co/cWGlNIusO3 https://t.co/SUsKY7yKlp</t>
  </si>
  <si>
    <t>Inovies ia a Social Media Marketing (SMM) Service Company in Hyderabad – 2020 https://t.co/WlHagQmda4 https://t.co/6rnxrAhRyh</t>
  </si>
  <si>
    <t>Inovies SEO services company based in Hyderabad India https://t.co/tFy0uA7SmE https://t.co/rvivLvlsq9</t>
  </si>
  <si>
    <t>Inovies is a content marketing solutions and digital marketing agencies in Hyderabad https://t.co/CYAAc4RBCn https://t.co/QCLgseTTEV</t>
  </si>
  <si>
    <t>Inovies Web Development Service – Hyd https://t.co/JrwfdZVoMj https://t.co/5X6HRSeX5g</t>
  </si>
  <si>
    <t>Inovies Social Media Marketing Agency https://t.co/BEJE3AYUbp https://t.co/trFUAEL2np</t>
  </si>
  <si>
    <t>Best Website Design Services in Hyderabad – Inovies https://t.co/gOra34ACAW https://t.co/3nlSkQekWI</t>
  </si>
  <si>
    <t>Advertising agencies for Business Sales – Inovies https://t.co/fjrv12kEnp https://t.co/pruFgjkkea</t>
  </si>
  <si>
    <t>Inovies is one of the best Website Content Writing Services in Hyderabad https://t.co/Ena1FosXCR https://t.co/ppP9FPErXG</t>
  </si>
  <si>
    <t>Inovies is Best Digital Marketing Agency, SEO, SEM Services in Hyderabad https://t.co/iNvXaIgw0l https://t.co/a7ls5p9Huq</t>
  </si>
  <si>
    <t>Inovies is Best Website Design Company https://t.co/zODVfvpnev https://t.co/Bb9w3ZctRY</t>
  </si>
  <si>
    <t>Inovies is Best Digital Marketing Services in Hyderabad https://t.co/vxuE2jH2AI https://t.co/XyzAfGrsFY</t>
  </si>
  <si>
    <t>Inovies is Best Website Design Company https://t.co/dRPwHNAGwY https://t.co/t74emfK1BQ</t>
  </si>
  <si>
    <t>Inovies is Top Digital Marketing Agency in Hyderabad https://t.co/M6Oetwljxa https://t.co/GdbYOKIwI2</t>
  </si>
  <si>
    <t>Inovies is top most best web designing company based in Hyderabad India https://t.co/TgLmHYVeud https://t.co/hWn9Ybs0CL</t>
  </si>
  <si>
    <t>Digital Marketing – SEO Service Inovies https://t.co/7rB6YmtAOE https://t.co/srt848Ot2K</t>
  </si>
  <si>
    <t>Top Digital Marketing Companies in Hyderabad
Inovies is  Digital Marketing Agency in Hyderabad &amp;amp; provide custom solutions and experts in Search Engine Marketing &amp;amp; Social Media Marketing.For more visit https://t.co/fdiRbJZmzy 
#DigitalMarketingServices</t>
  </si>
  <si>
    <t>FRESHERS JOBS @ INOVIES : Technical Document Writer : Hyderabad http://p.ost.im/p/3uPgH</t>
  </si>
  <si>
    <t>FRESHERS JOBS @ INOVIES : Technical Document Writer : Hyderabad http://t.co/yo9Bjnj9</t>
  </si>
  <si>
    <t>FRESHERS JOBS @ INOVIES : Technical Document Writer : Hyderabad http://p.ost.im/p/T5rUg</t>
  </si>
  <si>
    <t>FRESHERS JOBS @ INOVIES : Technical Documentation Writer : Hyderabad http://f.ast.ly/4fMf5</t>
  </si>
  <si>
    <t>FRESHERS JOBS @ INOVIES : Technical Documentation Writer : Hyderabad http://f.ast.ly/4UGvk</t>
  </si>
  <si>
    <t>FRESHERS JOBS @ INOVIES : Technical Documentation Writer : Hyderabad http://f.ast.ly/XHr7B</t>
  </si>
  <si>
    <t>@Inovies feels great to be followed by you find out more about me here https://t.co/pcbwvsrmKU via https://t.co/oVnhkyrDBz</t>
  </si>
  <si>
    <t>FRESHERS JOBS @ INOVIES : Technical Document Writer : Hyderabad: FRESHERS JOBS @ INOVIES : Technical Document Wr... http://bit.ly/m6OrqS</t>
  </si>
  <si>
    <t>Inovies is one of the leading responsive web design company,ecommerce website design services,ecommerce website design company,web design packages,responsive web design https://t.co/W1oyHWkNR1 now +040 40273049.For more visit  https://t.co/LeFBUePNLk
#webdevelopment #webdev https://t.co/jBxvlCoSWB</t>
  </si>
  <si>
    <t>Inovies is one of the leading website designers in hyderabad ,best web designing services in hyderabad,website designers in hyderabad. contact now +040 40273049.For more visit https://t.co/6KyePweWLJ
#webdesign #websitedesign #webdevelopment #Website #web #websitedevelopment https://t.co/voo9sxmdyy</t>
  </si>
  <si>
    <t>Inovies well known best website designing company in hyderabad,top web designing companies in hyderabad,web designing companies in hyderabad,phn:-040 40273049.For more visit our website  https://t.co/ZRSKHdBqFI 
#webdesign #websitedevelopment #websitedesign #website #webdeveloper https://t.co/6DkCvGv86H</t>
  </si>
  <si>
    <t>Inovies is a Content Marketing Service Provider Agency specialized in content strategy, development, promotion in organic search to engage the target audience. Call us on 040 40273049For more visit our website 
https://t.co/ZQgUsg3M97
#Inoviescontentmarketing https://t.co/3kPSvjqVHG</t>
  </si>
  <si>
    <t>We Inovies build custom content marketing solutions for the clients having immense trust on your products and services that connect them to targeted customers.phn:-040 40273049.For more visit our website https://t.co/pssWqzvaSp
#contentwritingservices https://t.co/ayvMNIvdAT</t>
  </si>
  <si>
    <t>Inovies is a Digital Marketing Agency based out of Hyderabad &amp;amp; provide custom solutions and experts in Search Engine Marketing &amp;amp; Social Media Marketing.phn:-040 40273049.For more visit our website https://t.co/5K519Tqf8W
#Inoviesdigitalmarketingcompany https://t.co/z1UvcZv1YM</t>
  </si>
  <si>
    <t>Inovies is a leading social media management company in hyderabad that helps businesses grow online. We help increase leads and sales for businesses through social media.phn:-040 40273049.For more visit our website https://t.co/H6gxUUBer7 #Inoviessocialmediamarketingservices https://t.co/vmsSLnas9h</t>
  </si>
  <si>
    <t>Inovies is the Best social media marketing Agency in Hyderabad.phn:-040 40273049.For more visit our website https://t.co/H6gxUUBer7 
#socialmediamarketingservices https://t.co/eCh12VDW8f</t>
  </si>
  <si>
    <t>Inovies is one of the top Digital Marketing Companies in Hyderabad, offering content marketing and end-to-end solutions combining art, technology. Call us on 040 40273049.
https://t.co/BUs0nXYuZb #inoviescontentmarketing https://t.co/wDansMdPPR</t>
  </si>
  <si>
    <t>Inovies content writing services and talented content writers.order high-quality content for your website with our professional writing services.Get content that drives results today..call us on 040 40273049.
https://t.co/pssWqzvaSp
#inoviescontentmarketing https://t.co/IwRo61F0Sp</t>
  </si>
  <si>
    <t>Inovies SEO Agency provides best SEO services to leading companies to enhance websites ranking in search results. call us on 040 40273049.
https://t.co/QjqSRgsP41 
#InoviesSEOservices https://t.co/vxQDDZRliV</t>
  </si>
  <si>
    <t>Inovies is One of the Best Website Designing Services and Solutions Company in Hyderabad, India. Our Services - web design and development, responsive web design, e-commerce.https://t.co/uEepwFQ6SM #WebDesignCompany</t>
  </si>
  <si>
    <t>Inovies is the Best Website Design Company in Hyderabad offering an excellent web design &amp;amp; development services as per client expectations and beyond at affordable prices.phn:-040 40273049.
https://t.co/1HwkrhvCTS #BestWebsiteDesignCompany https://t.co/QYYqd2MH0E</t>
  </si>
  <si>
    <t>Inovies is Best Digital Marketing Services in Hyderabad.Don't miss your customers from Online.Expertise in Branding &amp;amp; Lead generation.500+ Satisfied Clients.Quality Results.ROI Focus.Phn:-040 40273049.
https://t.co/RqvkDTIMVc #bestdigitalmarketingservicesinhyderabad https://t.co/qEHV2gIYSk</t>
  </si>
  <si>
    <t>Best website design company
Inovies is Best Web Design and Web Development Company in Hyderabad with creative &amp;amp; professional approach to each clients.phn:-040 40273049.For more visit https://t.co/6KyePweWLJ
#webservicesinhyderabad https://t.co/WVlRj6FFZl</t>
  </si>
  <si>
    <t>Best Digital Marketing Agency in Hyderabad
Inovies is Best Digital Marketing Services in Hyderabad &amp;amp; provide custom solutions and experts in Search Engine Marketing &amp;amp; Social Media Marketing.For more visit https://t.co/5K519Tqf8W #digitalmarketingagency https://t.co/VgLLV8oTvL</t>
  </si>
  <si>
    <t>Best Web Design Company
Inovies is one of The Best Experienced Web Designing company and Development company in Hyderabad. Fast, Secure And Reliable Websites.phn:-040 40273049.For more visit https://t.co/6KyePweWLJ
#webdevelopmentcompany https://t.co/WtgOwWCA4b</t>
  </si>
  <si>
    <t>Inovies well known web designing services in hyderabad  2020, top website development company, best eCommerce development company.phn:-040 40273049.For more visit our website https://t.co/6KyePweWLJ
#webdesign #webdesigner #Webdesigncourse #webdeveloper https://t.co/3AzZjq8WRF</t>
  </si>
  <si>
    <t>Inovies well known top web designing companies in hyderabad  2020, top website development company, best eCommerce development company, best dynamic application development company.phn:-040 40273049.For more visit our website https://t.co/ZRSKHdBqFI
#webdesigningcompanies https://t.co/btV8EHJm5r</t>
  </si>
  <si>
    <t>Inovies well known top web designing companies in hyderabad  2020, top website development company, best eCommerce development company, best dynamic application development company.phn:-040 40273049.For more visit our website https://t.co/ZRSKHdBqFI</t>
  </si>
  <si>
    <t>Inovies is one of the leading ecommerce website development company 2020,ecommerce website development services.For more visit https://t.co/LeFBUePNLk https://t.co/yqLGEVilE7</t>
  </si>
  <si>
    <t>Inovies well known as web designing services in hyderabad 2020, top website development company, best eCommerce development company, best dynamic application development company and best mobile apps.For more visit our website https://t.co/6KyePweWLJ</t>
  </si>
  <si>
    <t>Inovies well known best web designing company in hyderabad 2020, top website development company, best eCommerce development company, best dynamic application development company.phn:-040 40273049.For more visit our website https://t.co/ZRSKHdBqFI https://t.co/5pasmMJju5</t>
  </si>
  <si>
    <t>Inovies well known as website designers in hyderabad 2020, top website development company, best eCommerce development company, best dynamic application development company and best mobile apps development company based in Hyderabad India.https://t.co/6KyePvXlUb
#websitedesigner https://t.co/1TCF43w0ke</t>
  </si>
  <si>
    <t>Inovies well known as website designing company in hyderabad 2020, top website development company,best eCommerce development company, best dynamic application development company and best mobile apps development company based in Hyderabad India.https://t.co/ZRSKHdBqFI
#webdesign https://t.co/45VkRnjPu8</t>
  </si>
  <si>
    <t>Inovies well known best web designing company in hyderabad,top web designing companies in hyderabad,website designing company in hyderabad.phn:-040 40273049.For more visit our website  https://t.co/ZRSKHdBqFI 
#webdesign #websitedevelopment #WebsiteDesign #Website #WebsiteInfo https://t.co/vvz68I1FI4</t>
  </si>
  <si>
    <t>Inovies is one of the leading best website designers in hyderabad,best website designers in hyderabad. contact now +040 40273049.For more visit https://t.co/6KyePweWLJ
#WebsiteDesign #websitedevelopment #webdesigner #websites #WebsiteInfo #WebsiteReviews #Website https://t.co/x2daLYAgHp</t>
  </si>
  <si>
    <t>Inovies is one of the leading best website designers in hyderabad,best website designers in hyderabad ,best web designing services in hyderabad 2020. contact now +040 40273049.For more visit https://t.co/6KyePweWLJ
#WebsiteDevelopment #Webdesigner #WebsiteDesign #webdeveloper https://t.co/vrHiGe9Z96</t>
  </si>
  <si>
    <t>Inovies is one of the leading ecommerce website design company,web design packages contact now +040 40273049.For more visit https://t.co/RVzjYAD8Js 
#ecommercebusiness #ecommercewebsitedesign #webdevelopment #webdevelopment #webdeveloper #webdeveloper #websitedesign https://t.co/uZQgb6Zoyu</t>
  </si>
  <si>
    <t>Inovies is one of the leading web design packages,responsive web design company,ecommerce website design services in https://t.co/Rl9xXcmhm9 now +040 40273049.For more visit https://t.co/RVzjYAD8Js 
#webdevelopment #webdesigner #webdeveloper #webdesign #websitedesign https://t.co/iMoutVVm9j</t>
  </si>
  <si>
    <t>Inovies is one of the leading responsive web design company,ecommerce website design services in 2020,ecommerce website development company.+040 40273049.For more visit https://t.co/sK6fWZUSg2
#webdevelopment #Webdesigner #webdeveloper #webdevelopers #webdeveloper #Website https://t.co/DSfixhl8s0</t>
  </si>
  <si>
    <t>Inovies is one of the leading best web designing services in hyderabad 2020 ,ecommerce website design company in 2020,contact now +040 40273049.For more visit https://t.co/6KyePvXlUb
#Webdesign #websitedevelopment #webservices #webdevelopment #webdevelopment https://t.co/fBXfYM49zD</t>
  </si>
  <si>
    <t>Inovies is one of the leading best website designers in hyderabad 2020 ,ecommerce website design company in 2020,ecommerce website development services 040 40273049.For more visit https://t.co/6KyePweWLJ
#webdesign #ecommerce #ecommercebusiness #webdesigner #websitedesign https://t.co/u7QNIXj8ic</t>
  </si>
  <si>
    <t>Inovies well known Best responsive web design company 2020, top website development company, best eCommerce development companyphn:-040 40273049.For more visit our website  https://t.co/sK6fWZUSg2
#responsivewebdesign #webdesign #webdevelopment #Webdesigner</t>
  </si>
  <si>
    <t>Inovies is one of the leading website designers in hyderabad 2020 ,ecommerce website design company in 2020,ecommerce website development services. contact now +040 40273049.https://t.co/6KyePweWLJ
#webdesign #webdevelopment #webdeveloper #webdevelopers #webdevelopers https://t.co/00fsNksMBP</t>
  </si>
  <si>
    <t>Inovies is one of the leading ecommerce website design company in 2020,ecommerce website development services 040 40273049.For more visit https://t.co/LeFBUePNLk
#webdesign #ecommercewebdesign #webdesigner #websitedesign #websitedevelopment #WebsiteInfo https://t.co/ZKzlgHzlTW</t>
  </si>
  <si>
    <t>Inovies well known web design packages,best web designing company in hyderabad india,web designing services in hyderabad  2020.phn:-040 40273049. https://t.co/RVzjYAD8Js  
#webdesign #webdevelopment #webdeveloper #webdevelopers https://t.co/IfKXp8LZbq</t>
  </si>
  <si>
    <t>Inovies is one of the leading ecommerce website design services   ,ecommerce website design company in 2020,ecommerce website development services, website designing and web development company in Hyderabad. contact now +040 40273049.https://t.co/LeFBUePNLk
#ecommercewebdesign https://t.co/1ZvbfE9MRx</t>
  </si>
  <si>
    <t>Inovies well known as best web development company, top website development company, best eCommerce development company based in Hyderabad India.phn:-040 40273049.For more visit our website https://t.co/aRykn1MdHq
#Inovieswebdevelopmentcompany https://t.co/7Zib50RO5B</t>
  </si>
  <si>
    <t>Our website designs (crafted by inovies website designers) breathe excellence and bring a new oomph to your business | website designers in Hyderabad, India.phn:-040 40273049.For more visit our website https://t.co/3lGxzcX14d #websitedesigncompany https://t.co/NlAEyciWvT</t>
  </si>
  <si>
    <t>"Inovies worked as enduring marketing strategy with our excellence in SMM and lend great support to promote and advertise your brand products on digital,mobile,social".phn:-040 40273049.For more visit https://t.co/H6gxUUBer7 #socialmediamarketingagency https://t.co/ryPJSWLc6D</t>
  </si>
  <si>
    <t>Inovies is the SEO companies in Hyderabad.Our Services - web design and development and sem,smm,ppc,.phn:-040 40273049.For more visit https://t.co/QjqSRgsP41 #SEocompaniesinHyderabad https://t.co/082PVyD7Dv</t>
  </si>
  <si>
    <t>Inovies is PPC advertising company.Take advantage of our years of experience in the online world and let us help you improve your results!Phn:-040 40273049.For more Details visit https://t.co/Pyg3snnofV #payperclickmanagementservices https://t.co/PgeO2DmZJz</t>
  </si>
  <si>
    <t>Inovies is top web designing companies in hyderabad,Vijayawada and Dubai.
https://t.co/6KyePweWLJ
#webdesigningservicesinhyderabad https://t.co/KOEVNusaCg</t>
  </si>
  <si>
    <t>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</si>
  <si>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Hey @Inovies, Thank you for the follow!</t>
  </si>
  <si>
    <t>Hi @Inovies.</t>
  </si>
  <si>
    <t>Thanks "Inovies" For Following me !!! https://t.co/Q8Nwc4A6e6</t>
  </si>
  <si>
    <t>Inovies is now following me on Twitter! https://t.co/r8HOx587Ra https://t.co/uQZlDMTHnQ</t>
  </si>
  <si>
    <t>@Inovies I'd love to connect with you on #LinkedIn. Can you add me? Find me here: https://t.co/Qnl06STCBM</t>
  </si>
  <si>
    <t>@Inovies I thought you might like this post I wrote about #ContentPromotion tactics. Take a look: https://t.co/AWaRjKO7da</t>
  </si>
  <si>
    <t>Inovies Inovies makes an ideal partner for organizations looking at transformational IT sol… https://t.co/eovi4dgmCT https://t.co/Ny6rddgi1D</t>
  </si>
  <si>
    <t>MANAGER- Marketing &amp;Sales (5-10years) INDUSTRIAL PRODUCTS / CONSUMABLE at Inovies Consulting: Job Description:... http://t.co/OdIk7qh0</t>
  </si>
  <si>
    <t>We're having an awkward moment where media has picked up that people want more diverse casts inovies, but everything has to be based on previous media from the age when media was less diverse.</t>
  </si>
  <si>
    <t>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</si>
  <si>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Normalize guns not being inovies.</t>
  </si>
  <si>
    <t>@PQuestiono @Limadireitabr @fabiorabin Boa, li tmb que ela já quitou a dívida com a caixa.
Só quem ainda não deu explicações é a Micheque então e o Bozo com os inovies em moeda corrente…
Obrigada. https://t.co/Jpzr0A58vw</t>
  </si>
  <si>
    <t>Gland Packing: we(Inovies) offer a wide range of products such as C/Graphited Cotton gland packing rope, metalli... http://t.co/bN17xFoR</t>
  </si>
  <si>
    <t>@RankVisibility @Inovies @skotwaldron - Thanks for being new top engaged this week :)</t>
  </si>
  <si>
    <t>"INOVIES" Recruits FRESHERS : Technical Documentation Writer: Inovies, a new generation… http://goo.gl/fb/gbGsX</t>
  </si>
  <si>
    <t>"INOVIES" Recruits FRESHERS : Technical Documentation Writer http://nblo.gs/ickuX</t>
  </si>
  <si>
    <t>You are so cute even now inovies on stage india wale show you are really adorable</t>
  </si>
  <si>
    <t>Lead Generation Company based in Hyderabad India : Inovies: Lead generation is the… https://t.co/3xo5RebN8s #SalesEfficiency #salestips #crm https://t.co/IRYhvc7BNt</t>
  </si>
  <si>
    <t>@Idiom_blue And yeah, a narrative flashback is also a kind of plot device used inovies and books all the time... so there's probably a lot of accidental comflation between the two, in the heads that are unfamiliar.</t>
  </si>
  <si>
    <t>Freshers - Technical Documentation Writer Posi: Inovies - Writing Jobs in India #WritingJobs #Freelance #Writing #Jobs  http://bit.ly/jTqDCo</t>
  </si>
  <si>
    <t>Fresher Technical Documentation writers 2010 p: Inovies - Writing Jobs in India #WritingJobs #Freelance #Writing #Jobs  http://t.co/Hm2HrC01</t>
  </si>
  <si>
    <t>inovies web development http://t.co/N093gP3K via @pinterest</t>
  </si>
  <si>
    <t>When Eetaram @Eenadu Finds Inovies Lively #websitedesigningcompany https://t.co/QRoxTf770E</t>
  </si>
  <si>
    <t>@UpSkillYourLife If you are idle, people play 99 mind games not 9</t>
  </si>
  <si>
    <t>@AadeshRawal Wait till elections, every single note will come out</t>
  </si>
  <si>
    <t>@Codie_Sanchez Interbell</t>
  </si>
  <si>
    <t>@joshqharris Exclusive job portal for teachers</t>
  </si>
  <si>
    <t>#Nominee for #GOTD #vote now:
Web Design Agency
By @inovies from India
https://t.co/oUONLCkzvO
#WebGuru #WebGuruAwards #Customized #Application #Development #digital #marketing #Technical #Writing #client #Hyderabad #business #International #companies #Global #Statistics #india https://t.co/4vF5iNeAgh</t>
  </si>
  <si>
    <t>Check out  previous #winners of this particular Date &amp;amp; Month 19 #May
https://t.co/cO7WnqYBPj
#19May #19May2015 #19May2016 #19May2017 #19May2018 #19May2019 #19May2020 #19May2021 #WebGuruAwards #Throwback 
@Inovies https://t.co/K3rDsi0F9Z</t>
  </si>
  <si>
    <t>Guru of the Day
May 19 2018
Web Design Agency
By @inovies from India
https://t.co/oUONLC2Y7e
#WebGuru #WebGuruAwards #Customized #Application #Development #digital #marketing #Technical #client #Hyderabad #International #Global #Statistics #Competitors #segments #india https://t.co/F3VLcxM78r</t>
  </si>
  <si>
    <t>@webguruawards @Inovies https://t.co/lurZ3RpWnI</t>
  </si>
  <si>
    <t>The mission for a #DrugFreeTelangana: @TelanganaCOPs launched a crackdown on pubs and bars in #Hyderabad last night. Police conducted searches with sniffer dogs in #JubileeHills.
Let's unite for a safer community. #HyderabadPolice #SayNoToDrugs #Inovies https://t.co/U5XsXqP6r6</t>
  </si>
  <si>
    <t>Cabinet approves Memorandum of Cooperation
signed between #India and the Kingdom of #SaudiArabia on cooperation in the field of #Digitization and #ElectronicManufacturing #Inovies #UAE @IndiaNewsNetwk https://t.co/iqPTyqLf8s</t>
  </si>
  <si>
    <t>@Inovies send me a blank email to info@kirubu.com to send you a more detailed description.</t>
  </si>
  <si>
    <t>@Inovies hello i'm interestesd in further information for multiple clients on regards of mobile apps, what do you guys have to offer</t>
  </si>
  <si>
    <t>@oviedojc ; hi ya 
We are into web design &amp;amp; dev, custom app Dev, content writing &amp;amp; mobile apps dev. Plz brief ur req to detail U accordingly</t>
  </si>
  <si>
    <t>10 Simple ways to drive better quality leads from your Website 
http://t.co/cpcW3jFWKu
@mashable</t>
  </si>
  <si>
    <t>10 Simple ways to drive better quality leads from your Website 
http://t.co/cpcW3jFWKu
@development_web</t>
  </si>
  <si>
    <t>@iamjordan Sell your products/services for FREE _xD83E__xDD23_</t>
  </si>
  <si>
    <t>The mystery of the missing binder: How a collection of raw Russian intelligence disappeared under Trump https://t.co/zDZttXM1J3…  Extraordinary reporting from
@JeremyHerb @Inovies  @KatieBoLillis #USA  @NatashaBertrand @evanperez @ZcohenCNN</t>
  </si>
  <si>
    <t>@samuraipreneur it's just one more tool for technical SEO with an imaginative interactive touch.</t>
  </si>
  <si>
    <t>@httpster_ #submission
URL: https://t.co/OAJe8N669i
Credits: #inovies #digitalmarketingagency</t>
  </si>
  <si>
    <t>A big salute to @revanth_anumula Sir on his inauguration as the new Chief Minister of Telangana!  May your leadership bring boundless progress and prosperity to #Telangana state.
Heartfelt congratulations to Deputy CM @BhattiCLP Sir _xD83D__xDC90_ Exciting times ahead! #Inovies</t>
  </si>
  <si>
    <t>@mhdfaran I don't think so _xD83E__xDD14_</t>
  </si>
  <si>
    <t>@hridoyreh Impressive 28-day stats! _xD83D__xDC4F_ Curious to see the bigger picture. How about sharing a 90-day report? It not only amplifies your success story but also adds an extra layer of trust to the already remarkable journey you're on! _xD83D__xDE80_ #DigitalMarketing #DataInsights #seo #inovies</t>
  </si>
  <si>
    <t>"Chipping People: Are You Ready?" https://t.co/V7ZtzmveWc by @shellypalmer on @LinkedIn</t>
  </si>
  <si>
    <t>I would love to turn ODDS to my FAVOR https://t.co/m1m249c0Fi via @YourStoryCo</t>
  </si>
  <si>
    <t>"It’s Time To Raise Your Web Design Rates" on @LinkedIn https://t.co/J3Z7eE3s0X</t>
  </si>
  <si>
    <t>"Prospective Vs Retrospective Website Clients" on @LinkedIn https://t.co/ck586AMlMv</t>
  </si>
  <si>
    <t>@hydcitypolice Nice timings - thoughtful</t>
  </si>
  <si>
    <t>Nagendra Bommasani @Inovies has made in to top 5 on Leaderboard of @PayPal https://t.co/3xo5WaEZcy … #PayPalEntrepreneurContest</t>
  </si>
  <si>
    <t>@MissionAmbedkar https://t.co/wAIJo7WXbF</t>
  </si>
  <si>
    <t>@BedaSampath @sfi_arjun https://t.co/OouJER5jyB</t>
  </si>
  <si>
    <t>@Mogilipaka1 @RSPraveenSwaero https://t.co/OouJER5jyB</t>
  </si>
  <si>
    <t>@MaddiletiBanda4 https://t.co/OouJER5jyB</t>
  </si>
  <si>
    <t>@nithin_bussa @PV_Sunil_Kumar https://t.co/OouJER5jyB</t>
  </si>
  <si>
    <t>@AmarByagari https://t.co/OouJER5jyB</t>
  </si>
  <si>
    <t>@quiffboy https://t.co/sHR7uMcpkn</t>
  </si>
  <si>
    <t>@neilpatel Yes, visual merchandising/planogramming, and retail psychology are used to influence consumer behavior.
Hey @neilpatel, a deep dive into connecting consumer behavior in retail with online search patterns could provide valuable insights for digital marketers.</t>
  </si>
  <si>
    <t>Historic milestone: #NASA's Deep Space #Optical #Communications sent back an ultra-HD video featuring Taters the cat from an astounding 19 million miles away.
_xD83D__xDEF0_️This laser communication breakthrough paves the way for #future interplanetary missions! _xD83D__xDE80_   
#inovies @elonmusk https://t.co/zUXuGU3Ys0</t>
  </si>
  <si>
    <t>@elonmusk Yes, free speech _xD83D__xDDE3_️, a global cornerstone of democracy, is currently facing challenges worldwide, often entangled in political drama. 
Let's celebrate our right to express ourselves, but also remember the responsibility it carries. #FreeSpeech #Democracy #ResponsibleExpression</t>
  </si>
  <si>
    <t>@Inovies we published a post about creating a framework for rapid growth. I think you'd like it: https://t.co/aQDFokYyrg</t>
  </si>
  <si>
    <t>@SherazFarooqi_ @crystallniicole Is computer animated, move along with your day.</t>
  </si>
  <si>
    <t>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</si>
  <si>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Are you Looking for #Top Mobile App Development Companies in #Hyderabad, India? then here is the #list of top #Mobileapp development #companies 
For More: https://t.co/YH704dGVoU
@impressicodigi 
@Inovies 
@nethues 
@navaratantech 
@TvishaT 
@SwitchSoft 
@thecolourmoon</t>
  </si>
  <si>
    <t>#classifiedads Gland Packing: we(Inovies) offer a wide range of products such as C/Graphited Cotton... http://t.co/hIq0uzjn #classifieds</t>
  </si>
  <si>
    <t>inovies – web development company hyderabad http://t.co/cR6NkZcoYl</t>
  </si>
  <si>
    <t>web designers hyderabad – inovies http://t.co/sLl6xphHh7</t>
  </si>
  <si>
    <t>Inovies Inovies makes an ideal partner for organizations looking at transformational IT sol… … https://t.co/YvWZhV3bmW</t>
  </si>
  <si>
    <t>@MrBlackOG Kevin hart but in interviews not inovies and stand-ups.</t>
  </si>
  <si>
    <t>#uxjobs (India) UI Designer - inovies - Hyderabad, Andhra Pradesh https://t.co/6J7NFtVgJd</t>
  </si>
  <si>
    <t>@RanaAyyub he plays like an interesting Indian but u only noticed his religion inovies . isn't it disgusting?</t>
  </si>
  <si>
    <t>Unlikely Allies Sticker Pre-order! Get your Misraaks and glittery Starhorse stickers. Pre-order open until midnight  est Sept. 10th. Fill out the form, Inovies will go out Sept. 11. Eta 10-14 days production time. 
Form Here: https://t.co/oQwHvacpeG https://t.co/6PgfgegaqS</t>
  </si>
  <si>
    <t>RT BarnabyWass: Thanks for the follow ipfconline1 Inovies inspiredlywrit SmokingChili   JeremyScrivens johngow SwiftyMorgan. Happy to conne…</t>
  </si>
  <si>
    <t>Get career tips too/ Inovies Walk-in Drive for #Freshers - On 14th to 16th May 2015 http://t.co/0TmPKfVRn3 #walkins</t>
  </si>
  <si>
    <t>Congratulations Inovies Consulting Pvt. Ltd. being awarded with #Indywood_IT_Excellence_Award for Excellence in Web Development and Digital Marketing.
#Indywood #ITExcellenceAward #Inovies #WebDevelopment #DigitalMarketing
@Inovies https://t.co/SX2nIDNofr</t>
  </si>
  <si>
    <t>ThriveAgency: @TopDevelopersCo @leveronline @dashtwo @Inovies @digivate @DigitlResource @StraightNorth @Perfect_Search @gexton @ethanewebtech Thank you!</t>
  </si>
  <si>
    <t>@Inovies #StandWithPVsunilkumarIPS</t>
  </si>
  <si>
    <t>@pali_mayank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</si>
  <si>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Inovies Website Designing Company in Hyderabad @ https://t.co/yotEl1GsZW</t>
  </si>
  <si>
    <t>Inovies Website Designers in Hyderabad @ https://t.co/CAaRrh3Qbc</t>
  </si>
  <si>
    <t>PPC Services in Hyderabad - Inovies @ https://t.co/Z1Zngv3snN</t>
  </si>
  <si>
    <t>Creating a Tagline for your Business | Inovies Company @ https://t.co/wTAqpNlmbn</t>
  </si>
  <si>
    <t>What is Meta Description | Inovies Company @ https://t.co/7DK15fBlMI</t>
  </si>
  <si>
    <t>Inovies provides best ppc landing page best practices @ https://t.co/drHIzGZCy8</t>
  </si>
  <si>
    <t>Inovies - Creating a Tagline for your Business @ https://t.co/1Q5Zn3kERk</t>
  </si>
  <si>
    <t>Inovies web designing company in hyderabad @ https://t.co/oRC5FuUMzc</t>
  </si>
  <si>
    <t>@GHMCOnline Why is this road (Inovies St, Madhapur) being dug up? Pls specify reasons &amp;amp; the plan to restore this neatly laid road going bad. https://t.co/Tl0AYbqo9D</t>
  </si>
  <si>
    <t>@Inovies Which are the best colleges in Hyderabad where i could learn web application design , responsive page design app designs etc?</t>
  </si>
  <si>
    <t>Inovies Digital Marketing Company #discussion https://t.co/LFRJ0gpsiD</t>
  </si>
  <si>
    <t>@IntellMarketer 12 hours / week</t>
  </si>
  <si>
    <t>@Inovies That's a few! _xD83D__xDE0E_ 
I'm guessing that's for clients though?</t>
  </si>
  <si>
    <t>And this is so real because I hate having to watch her inovies. She gives nothing _xD83D__xDE2D_ watching Savages is a fucking chore because she's the love interest. You know how hard it is to make me not wana watch Aaron Taylor-Johnson be unnecessarily hot?!</t>
  </si>
  <si>
    <t>#7hsportsevents #tcpl #tv5 @NANDI_TYRES @Inovies #eliteacademy #hoteljubilleridge @cricclubs @RSMGEARS @THHyderabad  #cricket #Corporate #Hyderabad #Telangana 
Grab your free passes for TCPL - Seasons 2 on 
https://t.co/VxgeZdWk2H https://t.co/4S7A7UlOBk</t>
  </si>
  <si>
    <t>@Inovies Hey thanks for following, let me know a bit more about what you do... https://t.co/zFn4jVXFw0</t>
  </si>
  <si>
    <t>Thanks top new followers this week @crimebooks01 @TobiMapsOffice @Inovies Happy to connect :)</t>
  </si>
  <si>
    <t>#HappyMonday @crimebooks01 @TobiMapsOffice @Inovies thanks for being top new followers - have a great week :)</t>
  </si>
  <si>
    <t>@Inovies How much money did you loose already without even knowing? https://t.co/VZJZIdHeMY</t>
  </si>
  <si>
    <t>Marketing - Optimise Leadership (145) - Think effectively with SEO and brand building strategies via @Inovies https://t.co/AI7arBynFv</t>
  </si>
  <si>
    <t>Inovies Hyderabad Walkin for Technical Documentation Writers - Female Only - Sandi Jobs http://t.co/kGv3jdjiuJ</t>
  </si>
  <si>
    <t>Hey Inovies ! Thank you for the follow. Glad to have you here, and hope to make it worth your time. Cheers https://t.co/KVxhB65kCf</t>
  </si>
  <si>
    <t>@Eagles @Rodney_McLeod4 bill murry sandyisses u   why aren't u inovies</t>
  </si>
  <si>
    <t>@GoAsirvia @wendyvandepoll @Roja_Inovies - Happy to connect, have a great day :) Thought this #book would interest you https://t.co/IqEOMWFTFH</t>
  </si>
  <si>
    <t>#FollowFriday @GoAsirvia @wendyvandepoll @Roja_Inovies thanks for being top new followers this week :)</t>
  </si>
  <si>
    <t>Inovies Thanks for following us ! https://t.co/QDp2la83mp</t>
  </si>
  <si>
    <t>Inovies Do you want to learn how to achieve online success without burning money on ads? Free Webinar: https://t.co/MCM6PCqmZZ</t>
  </si>
  <si>
    <t>Hi @Inovies Thanks for following! Pre-register for PROnounce here https://t.co/ylkO9QiwYN via https://t.co/urNtwGDfT5</t>
  </si>
  <si>
    <t>why r people inovies always eating chinese food_xD83D__xDE02_</t>
  </si>
  <si>
    <t>Fair Soft Solutions inovies quality #web #design and #web #development agency in Hyderabad, India. https://t.co/ayiCzxrFV2</t>
  </si>
  <si>
    <t>Fair Soft Solutions inovies quality #web #design and #web #development agency in Hyderabad, India. https://t.co/xJEHrVJyKY</t>
  </si>
  <si>
    <t>I like inovies how when the main character mysteriously shows up at someones house they act like nothing happened and just go on</t>
  </si>
  <si>
    <t>Isn't funny how Hollywood is against NRA, but sp many of them play inovies w prop guns, that can turn up deadly!</t>
  </si>
  <si>
    <t>Inovies Hyderabad Walkin for Technical Documentation Writers - Female Only - Sandi Jobs http://t.co/65WTYEwBM2 via @sharethis</t>
  </si>
  <si>
    <t>Inovies looking for Trainee Technical writer (Female only), graduates 2013 passout or earlier - http://t.co/AbNRvzWgi9</t>
  </si>
  <si>
    <t>Inovies Logo PNG Vector #logo #vector https://t.co/9D2Ivziyz1</t>
  </si>
  <si>
    <t>@MissaAubree the shit they'll do inovies nowadays lmao!!</t>
  </si>
  <si>
    <t>https://t.co/G0brgk4Hjv See Profile of Inovies here- https://t.co/kk8NJNFFDq &amp;amp; get Leads https://t.co/7Hkf2mGvhH</t>
  </si>
  <si>
    <t>Inovies Consulting walk-in for PHP Codeigniter https://t.co/IcoqFk8nOZ https://t.co/xv1MJSJHC0</t>
  </si>
  <si>
    <t>@Inovies Do you want to learn how to achieve online success without burning money on ads? Free Webinar: https://t.co/2RtEo1GnRB</t>
  </si>
  <si>
    <t>#India #jobs #indiaj Technical Documentation Writer - Inovies Consulting -  Hyderabad, Andh... http://bit.ly/mKzoiP #MBA #INDIAJOBSEARCH</t>
  </si>
  <si>
    <t>#India #jobs #indiaj INOVIES is looking for Technical Documentation Writers in Hyderabad - ... http://bit.ly/ilR7Yi #MBA #INDIAJOBSEARCH</t>
  </si>
  <si>
    <t>#India #jobs #indiaj INOVIES Recruits Freshers -  Hyderabad, Andhra Pradesh: deployment and... http://bit.ly/mnoaAS #MBA #INDIAJOBSEARCH</t>
  </si>
  <si>
    <t>Inovies requires Technical Document writer for Hyderabad -  Hyderabad, Andhra Pradesh: • The A... http://bit.ly/msZDRl #india #indiajobs</t>
  </si>
  <si>
    <t>#India #jobs #indiaj Freshers - Technical Documentation Writer Position - Inovies -  Hydera... http://bit.ly/imXOrD #MBA #INDIAJOBSEARCH</t>
  </si>
  <si>
    <t>#India #jobs #indiaj Technical Documentation Writer's (female's Candidates Only) @ Inovies ... http://t.co/Um0ZLqjl #MBA #INDIAJOBSEARCH</t>
  </si>
  <si>
    <t>Name Of The Company : Inovies 
Experience : For Freshers
Educational Qualification: B.Tech,MBA,MCA,Graduate... http://t.co/pl0ULju85C</t>
  </si>
  <si>
    <t>Inovies Openings For Freshers in August 2014
Educational Qualification: B.Tech,MBA,MCA,Graduate
Job... http://t.co/TW4gpuKxey</t>
  </si>
  <si>
    <t>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</si>
  <si>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@TopDevelopersCo @leveronline @dashtwo @Inovies @digivate @DigitlResource @StraightNorth @Perfect_Search @gexton @ethanewebtech Thank you!</t>
  </si>
  <si>
    <t>@TopDevelopersCo @ThriveAgency @dashtwo @Inovies @digivate @DigitlResource @StraightNorth @Perfect_Search @gexton @ethanewebtech Woo-hoo!</t>
  </si>
  <si>
    <t>Hey Inovies thanks for the follow!</t>
  </si>
  <si>
    <t>Inovies-Freshers (Technical Documentation Writer)-BE/ BTech/ MCA/ BCA/ BSc/ Any Graduate… http://goo.gl/fb/oTNTh</t>
  </si>
  <si>
    <t>Inovies-Freshers (Technical Documentation Writer)-BE/ BTech/ ME/ MTech/ MCA-Hyderabad… http://goo.gl/fb/dogWY</t>
  </si>
  <si>
    <t>@Inovies Whats up there , thank you for following , I truthfully value it . Allow me to share an element that would undoubtedly interest y</t>
  </si>
  <si>
    <t>i wish that things that happen inovies happen in real life that would be sweet._xD83D__xDE0D_</t>
  </si>
  <si>
    <t>The only person who should be upset is Blake which makes me think back to this delicious read 
https://t.co/pp4svrLGvs https://t.co/3k6dEsr7I9</t>
  </si>
  <si>
    <t>Technical Writing Freshers With Good Writing and Communication Skills  inovies Trainee technical Writer http://t.co/P7caFQJn8m</t>
  </si>
  <si>
    <t>Urgent Opening for Android Developers-only Immediate Joiners  inovies ANDROID DEVELOPER 2-5 years https://t.co/Vy0sHUbj3x</t>
  </si>
  <si>
    <t>@MattCino1 you have great taste inovies my friend</t>
  </si>
  <si>
    <t>@LongWan95103581 @Klar____ @Iddelf Thing is: inovies the murderers are THE VILLAINS. Their acts are discouraged. when you look at hentai, nothing there's discouraging you from doing so</t>
  </si>
  <si>
    <t>List of Top 10 Cost-effective #UIUXDesigningAgencies – An analysis by https://t.co/jgdmrm5HGb
@a1future 
@ripenappstech 
@Phoenix_Bizz 
@promatics 
@SoftwaredevIn 
@Evontech 
@Inovies
@octalitsolution 
@SunArc_tech_xD83D__xDC49_ https://t.co/gGHLL5lglA
#UIUXDesigners #WebDesign #UIUXDesign https://t.co/jhiELs0dGk</t>
  </si>
  <si>
    <t>@TopDevelopersCo @a1future @ripenappstech @Phoenix_Bizz @promatics @SoftwaredevIn @Inovies @octalitsolution @SunArc_tech Thank you so much @TopDevelopersCo to select @Evontech as a Top #UIUXDesigningAgencies</t>
  </si>
  <si>
    <t>Congratulations Inovies Consulting Pvt. Ltd. being awarded with #Indywood_IT_Excellence_Award for Excellence in... https://t.co/uX0j79Bsa1</t>
  </si>
  <si>
    <t>Fresher Technical Documentation Writing Jobs- Inovies Hyderabad/ Secunderabad http://bit.ly/kSCkpP</t>
  </si>
  <si>
    <t>Inovies- Jobs For Technical Writers in Hyderabad http://bit.ly/hUGKPM</t>
  </si>
  <si>
    <t>Share the love: @tonycompton @Inovies @av_tms, thanks for being top new followers this week :)</t>
  </si>
  <si>
    <t>#HappyMonday @Inovies @av_tms @PennylaneVideos thanks for being top new followers - have a great week :)</t>
  </si>
  <si>
    <t>INOVIES Walk-In For Freshers as Trainee Technical Writers On 15-19 June 2015 @ Hyderabad… http://t.co/d3FU4NH4jG</t>
  </si>
  <si>
    <t>RT https://t.co/kSsIeNxKhg Best Digital Marketing Consulting Company in Hyderabad-@Inovies see more&amp;gt;https://t.co/ZooAmSRapU #Best #DigitalMarketing #consulting #company #Hyderabad #inovies #S… https://t.co/4P5fhpbTmy</t>
  </si>
  <si>
    <t>@Inovies Do you know how to analyze your web traffic? Check out how to make the most of your data - https://t.co/Rjk7fWsMm6</t>
  </si>
  <si>
    <t>@RSPraveenSwaero https://t.co/wAIJo7WXbF</t>
  </si>
  <si>
    <t>@RSPraveenSwaero @Inovies #StandByPVSunilKumarIPS
#StandByPVSunilKumarIPS
#StandByPVSunilKumarIPS
#StandByPVSunilKumarIPS
#StandByPVSunilKumarIPS
#StandByPVSunilKumarIP
#StandByPVSunilKumarIPS
#StandByPVSunilKumarIPS
#StandByPVSunilKumarIPS
#StandByPVSunilKumarIPS
#StandByPVSunilKumarIPS</t>
  </si>
  <si>
    <t>@Inovies #StandByPVSunilKumarIPS
#StandByPVSunilKumarIPS
#StandByPVSunilKumarIPS
#StandByPVSunilKumarIPS
#StandByPVSunilKumarIPS
#StandByPVSunilKumarIP
#StandByPVSunilKumarIPS
#StandByPVSunilKumarIPS
#StandByPVSunilKumarIPS
#StandByPVSunilKumarIPS
#StandByPVSunilKumarIPS</t>
  </si>
  <si>
    <t>RT @Inovies: Zero to Hero 
What an inspiring journey _xD83D__xDD25_ Congrats  _xD83D__xDC95_#PallaviPrashanth #BiggBossTelugu7 Winner _xD83D__xDCF7_
#inovies https://t.co/OAJe8…</t>
  </si>
  <si>
    <t>I hate tt.inovies the female gotta b look.sexy all the time like bitch its 10pm u in robe.n.nite.clothes bt u got.on lip gloss wtf.</t>
  </si>
  <si>
    <t>PPC/Conversion Rate Optz Company based in Hyderabad India-@Inovies 
See More&amp;gt;https://t.co/9bp7i2sO89  
#PPC #Conversion #Rate #Optz #Best #company #in #Hyderabad #Inovies #DigitalMarketing #SEO #SMO #India #ContentMarketing #WebDesign #webdevelopment https://t.co/8wtHBwHpkb</t>
  </si>
  <si>
    <t>Best local marketing company based in Hyderabad India-@Inovies 
See More&amp;gt;https://t.co/vK6ASvxbKA 
#Best #local #marketing #company #in #Hyderabad #Inovies #DigitalMarketing #SEO #SMO #India #ContentMarketing #WebDesign #webdevelopment https://t.co/ZXn0ciZlfX</t>
  </si>
  <si>
    <t>Best Social Media Marketing Company in Hyderabad,India-@Inovies 
See more&amp;gt;https://t.co/7yyg7n4gLt 
#Best #Social #Media #Marketing #Company #Hyderabad #India #DigitalMarketing 
#SEO #SMO #ContentMarketng https://t.co/QlXdBX0YwU</t>
  </si>
  <si>
    <t>Best Digital Marketing Consulting Company in Hyderabad-@Inovies 
see more&amp;gt;https://t.co/r2tgXTEM3W
#Best #DigitalMarketing #consulting #company #Hyderabad #inovies #SEOServices #SMO #SMM #india https://t.co/vaHCNPfiWE</t>
  </si>
  <si>
    <t>Actionable Growth Hacking Tactics we follow at inovies-@Inovies 
see more&amp;gt;https://t.co/2JPyxRv6rI
#Actionable #Growth #Hacking #Tactics #at #inovies #best #DigitalMarketing 
#Services #in #hyderabad #india https://t.co/JPULJ9i5IC</t>
  </si>
  <si>
    <t>Customer Acquisition Company based in Hyderabad-@Inovies 
See more&amp;gt;https://t.co/rsK5IgEqH6 
#Excellent #Customer #Acquistion #company #in #Hyderabad #india #RealNeed  #best #digital #tactics #techniques https://t.co/EFmIXHcBKp</t>
  </si>
  <si>
    <t>Best Slogan writing and tagline writing services from inovies Hyderabad India:
https://t.co/SbtGKl7WDn
#sloganwriting #taglinewriting https://t.co/JqIWvaBNGM</t>
  </si>
  <si>
    <t>Newsletter and Email Writing Services by inovies based in hyderabad:
https://t.co/GmabvZ6CGE
#newsletter #emailwriting #services https://t.co/Spix09XX6t</t>
  </si>
  <si>
    <t>Technical Blog writing services by Inovies in Hyderabad India: https://t.co/Dsti8yAtYG
#technicalBlogWriting #inovies https://t.co/okxVMjvvv8</t>
  </si>
  <si>
    <t>Hire our dedicated content writers in Hyderabad India : Inovies
https://t.co/M0HIwhTn9U
#Hireourdedicatedcontentwriters https://t.co/AcQzqIGnyI</t>
  </si>
  <si>
    <t>Pre sales, sales and marketing communication services by Inovies: https://t.co/iPMnb1wnFV
#presales #sales #marketing #communicationServices https://t.co/VpcqySjBpI</t>
  </si>
  <si>
    <t>Best Training materials services by inovies in Hyderabad India: https://t.co/73hYRw9PwH
#trainingmaterial @services https://t.co/Y9YPGpkIiA</t>
  </si>
  <si>
    <t>Software Project Documentation Services by inovies based in Hyderabad India: https://t.co/aM5WRAvCb8 https://t.co/RS4qToNyBk</t>
  </si>
  <si>
    <t>Website content writing services by Inovies in Hyderabad India:
https://t.co/hWbaCZheAG …
#website #contentwriting #services https://t.co/THy278IDiW</t>
  </si>
  <si>
    <t>Best Social Media Marketing Company in Hyderabad, India:
Inovies worked as enduring marketing strategy with our exce…https://t.co/TTtcjThCSn</t>
  </si>
  <si>
    <t>Technical Documentation Services by inovies in Hyderabad india:
https://t.co/TjTVImwzaq
#TechnicalDocumentationServices https://t.co/NjLjBF6mRp</t>
  </si>
  <si>
    <t>How to make use of social media to market your blog posts :
More : https://t.co/3G0uxEiuUg
#Socialmedia #blogs #posts #inovies https://t.co/ybNURGi4Iz</t>
  </si>
  <si>
    <t>IOS Mobile App Development Company based in Hyderabad India:
Inovies is an anticipated market leader in developing I…https://t.co/2ZNDZ0GWIn</t>
  </si>
  <si>
    <t>Android Mobile App Development Company based in Hyderabad India:
Inovies is well-known as the Android Mobile app dev…https://t.co/BqQ4TtE54g</t>
  </si>
  <si>
    <t>CMS Development Company: Inovies build an effective CMS that deliver and widespread web solutions. https://t.co/XyFNSjifJp https://t.co/cjJq5Oxes7</t>
  </si>
  <si>
    <t>Custom Application Development Company: Inovies
Inovies offer wide range of custom application development services…https://t.co/gCqKOYQPkP</t>
  </si>
  <si>
    <t>Landing Page Design Company based in Hyderabad:
We Inovies focus on doing optimized design, lead generation and crea…https://t.co/PY1HGxWCIS</t>
  </si>
  <si>
    <t>Inovies offers mobile apps development for all your needs &amp;amp; developed expertise in Mobile Application development https://t.co/0YxN8ckY3l https://t.co/cKj8LhAyI2</t>
  </si>
  <si>
    <t>Mobile App design Company in Hyderabad
Inovies offers mobile apps development for all your needs and developed exper…https://t.co/qXMWv7iAPJ</t>
  </si>
  <si>
    <t>Best Slogan writing and tagline writing services from inovies Hyderabad India:https://t.co/SbtGKl7WDn https://t.co/aLVwGE6Hxz</t>
  </si>
  <si>
    <t>Best Slogan writing and tagline writing services from inovies Hyderabad India
Inovies understands your business and…https://t.co/R6rNSZ0acx</t>
  </si>
  <si>
    <t>Newsletter and Email Writing Services by Inovies based in Hyderabad:https://t.co/GmabvZ6CGE https://t.co/KzSaU3uLsH</t>
  </si>
  <si>
    <t>Newsletter and Email Writing Services by Inovies based in Hyderabad:
Hit the right eye with a winning newsletter and…https://t.co/WvdjboOlEB</t>
  </si>
  <si>
    <t>Best Training materials writing services by inovies in hyderabad india : https://t.co/73hYRw9PwH</t>
  </si>
  <si>
    <t>Pre sales, sales and marketing communication services from Inovies Hyderabad India : https://t.co/iPMnb1wnFV https://t.co/YdGohx3kbJ</t>
  </si>
  <si>
    <t>Pre sales, sales and marketing communication services from Inovies Hyderabad India
Engaging your audience with your…https://t.co/xKLJsno039</t>
  </si>
  <si>
    <t>Technical Documentation Services by inovies in Hyderabad India:https://t.co/TjTVImwzaq https://t.co/0zb1Gm3q7I</t>
  </si>
  <si>
    <t>Website content writing services by Inovies in Hyderabad India: https://t.co/hWbaCZheAG https://t.co/zkSvMXx5ql</t>
  </si>
  <si>
    <t>Software Project Documentation Services by Inovies based in Hyderabad India:https://t.co/aM5WRAvCb8 https://t.co/KpDpvbywTD</t>
  </si>
  <si>
    <t>Technical Documentation Services by inovies in Hyderabad India
Technical documentation behaves either as the first o…https://t.co/cCjdTzy4IT</t>
  </si>
  <si>
    <t>Website content writing services by Inovies in Hyderabad India
Our creative writers hone your website putting your p…https://t.co/rTp8HD8hRp</t>
  </si>
  <si>
    <t>Software Project Documentation Services by Inovies based in Hyderabad India:
Gathering the functional and non-functi…https://t.co/tMLkwwp0eb</t>
  </si>
  <si>
    <t>Things that are to be taken into deliberation for every start up
For more info: https://t.co/UpmeCkQYp0
#deliberation #startups #inovies https://t.co/x55x2jJ9ls</t>
  </si>
  <si>
    <t>Get an online impact and set a frontline in-fact with the smart web design:
More: https://t.co/enLtEMTAKl
#inovies https://t.co/Em1Er16Znu</t>
  </si>
  <si>
    <t>Build your identity with a trendy website design:
More: https://t.co/jQGfzrMTMP
#inovies https://t.co/HxllZwJ6tx</t>
  </si>
  <si>
    <t>why SEM Is Better Than SEO for your Website:
More: https://t.co/SD5NYi5Huz
#inovies https://t.co/1CGxQJtkNj</t>
  </si>
  <si>
    <t>How often you post on social media Networks?:
More: https://t.co/hmE6RHYszs
#inovies https://t.co/wAIvQsUm4Q</t>
  </si>
  <si>
    <t>How To Install Google Analytics To Blogger:
More: https://t.co/XirfjfBVxT
#inovies https://t.co/ng0VbrUY9D</t>
  </si>
  <si>
    <t>Role of Content Marketing in Online Advertising (Website):
More: https://t.co/ybQS111dLh
#inovies https://t.co/WsQ1yWUWXo</t>
  </si>
  <si>
    <t>Why Scrum for Developing Complex Websites?
More: https://t.co/gnW2eiHMuk
#inovies https://t.co/PXItnVIucZ</t>
  </si>
  <si>
    <t>Know Why Google bans websites and the top reasons for that!!
More: https://t.co/vs3qwJCU0D
#inovies https://t.co/tLFs9VI5k1</t>
  </si>
  <si>
    <t>Killer Keywords for a Wiry website by Inovies:
More: https://t.co/ve0eUQdxMW
#inovies https://t.co/wWkCNW8mNX</t>
  </si>
  <si>
    <t>Comprehensive approach to tactful responsive website testing issues:
More: https://t.co/KugaTjEh9z
#inovies https://t.co/GKv48NI830</t>
  </si>
  <si>
    <t>Future of  Web Development:
More: https://t.co/OscMvkwOUx
#Future #WebDevelopment #inovies https://t.co/iciuk5rhYW</t>
  </si>
  <si>
    <t>Why “Initial amount upfront” is absolute Must in Web development:
More : https://t.co/qdx3Ikcqfm 
#Initialamountupfront #inovies https://t.co/EKDzXNQ8pr</t>
  </si>
  <si>
    <t>100 Questions to ask before website design or web development:
More info: https://t.co/FgcUU7Bggj
#websitedesign #webdevelopment #inovies https://t.co/2HYtvEb7ZU</t>
  </si>
  <si>
    <t>How to make a good mobile or web MVP: 
For more info: https://t.co/dgdnXLjYDU 
#inovies #goodmobile #mvp https://t.co/cGIrzHwpXz</t>
  </si>
  <si>
    <t>How to make a good mobile or web MVP: 
For more info: https://t.co/dgdnXLjYDU
#inovies #goodmobile #mvp</t>
  </si>
  <si>
    <t>What makes your User Experience worth Remembering:
For more info: https://t.co/T3FR3OT7va
#userexperience #inovies https://t.co/B4nZcLPzV8</t>
  </si>
  <si>
    <t>Your service should speak about your brand
More info: https://t.co/8kbXEnG54F
#service #aboutbrand #speak #inovies https://t.co/fBiCCQCqJq</t>
  </si>
  <si>
    <t>Why Apple is famous and you’re not.!!
For more info: https://t.co/CdeNGRyycg
#applefamous #inovies https://t.co/mRA2sfjgll</t>
  </si>
  <si>
    <t>HTML5 Resources that every web developer should know:
More: https://t.co/GgBkWCRfFJ
#inovies https://t.co/0Tf0h9cpSr</t>
  </si>
  <si>
    <t>JavaScript Tools For HTML5 Generation:
More: https://t.co/jf1ATBAFVD
#inovies https://t.co/gKvBuwNevL</t>
  </si>
  <si>
    <t>Attention These design errors might earn you a title bad website design:
more: https://t.co/ucu9MWQeWs
#inovies https://t.co/iTrGv2Q0AU</t>
  </si>
  <si>
    <t>Responsive web design Creating a cyber world to take your business online:
More : https://t.co/XTg998faEd
#inovies https://t.co/VAJKcyaFs8</t>
  </si>
  <si>
    <t>Best Logo Design Company based in Hyderabad India : Inovies
https://t.co/LCDKsK9CNA
#logoDesign #WebsiteDesign #Hyderabad https://t.co/amoarPM5OW</t>
  </si>
  <si>
    <t>Guess the new formula for user engagement to a website?
More: https://t.co/AP6H4ohl8y
#inovies https://t.co/VmbhZZFuQb</t>
  </si>
  <si>
    <t>Super 7 steps to consider before hiring a web design company in 2015:
More: https://t.co/NxpC59GGQF
#inovies https://t.co/kUDdwVBQ4H</t>
  </si>
  <si>
    <t>Know how to get the best color code for your website:
More: https://t.co/SzmJKT5lN7
#inovies https://t.co/LsuNvNtXok</t>
  </si>
  <si>
    <t>Bid Adieu to Aged Trends in Web Design Development Technology:
More : https://t.co/aNhALJUmhb
#inovies https://t.co/1ikfNkk25Y</t>
  </si>
  <si>
    <t>Energy Boosters of your Website are Exposed:
More: https://t.co/kNCgpO6KX7
#inovies https://t.co/GsdFrBkoAg</t>
  </si>
  <si>
    <t>Inovies web design-we weave a web space with most grace
More: https://t.co/BasVjixzxn
#inovies https://t.co/If0enwZx5X</t>
  </si>
  <si>
    <t>No more guess work. Ask yourself, Am I responsive?
More: https://t.co/Tc6x8T2hqf
#inovies https://t.co/hLF9YU9b8V</t>
  </si>
  <si>
    <t>Inovies web design A larger online space even for your smaller business needs: 
More: https://t.co/eDT0teI1CJ
#inovies https://t.co/com5igxRvP</t>
  </si>
  <si>
    <t>Changing to ERP
For more info: https://t.co/pXtlDLYtAE
#ChangingtoERP #inovies https://t.co/EfXlgBDuow</t>
  </si>
  <si>
    <t>5 Winning Social Media Strategies From a Master Marketer
More info: https://t.co/aNZdFCXnpf
#inovies #SocialMediaStrategies #MasterMarketer https://t.co/q5DGOSYBAm</t>
  </si>
  <si>
    <t>Comprehensive On- page Audit checklist
For more info: https://t.co/EbkINuBYaF
#inovies #OnpageAuditchecklist https://t.co/8WZODgSXFZ</t>
  </si>
  <si>
    <t>Project Communication Plan :
For more info: https://t.co/AbqNFf5MD1
#ProjectCommunicationPlan  #inovies https://t.co/uKjIOiSd7R</t>
  </si>
  <si>
    <t>Actionable Growth Hacking Tactics we follow at Inovies
Growth hacking is the latest way of doing smart marketing, me…https://t.co/uDkc9pKzyT</t>
  </si>
  <si>
    <t>Actionable Growth Hacking Tactics we follow at Inovies: https://t.co/vKFdS5req9 https://t.co/0h8liV7D7b</t>
  </si>
  <si>
    <t>Content Marketing Strategy Company in Hyderabad
We inovies helps you to bring your customers come to you again and a…https://t.co/hWpiKkHjHe</t>
  </si>
  <si>
    <t>Hire Dedicated database Designers and developers from Hyderabad India
Inovies designs databases that enhance busines…https://t.co/0qXIYHCd5n</t>
  </si>
  <si>
    <t>Hire PHP Programmer, PHP developers from Hyderabad India
PHP programmers at Inovies are well-experienced and work co…https://t.co/e3wzqYTZTD</t>
  </si>
  <si>
    <t>Best local marketing company based in Hyderabad India
Inovies is more than SEO Agency, focusing on integrating right…https://t.co/JktC5cYRSn</t>
  </si>
  <si>
    <t>IOS Mobile App Development Company: Inovies is anticipated market leader in developing mobile application services https://t.co/lGIsWxHth3 https://t.co/Tn8U6oWMzn</t>
  </si>
  <si>
    <t>Core Php App Development Company in Hyderabad India:
Inovies develops the multi-functional and user-friendly website…https://t.co/haLyL6zlSe</t>
  </si>
  <si>
    <t>Actionable Growth Hacking Tactics we follow at inovies: https://t.co/vKFdS5req9
#ActionableGrowthHackingTactics https://t.co/nnOheXJjy4</t>
  </si>
  <si>
    <t>Email Marketing Company based in Hyderabad India : Inovies:
https://t.co/ShBBz5hoc7
#EmailMarketingCompany https://t.co/ZDLfmEJXeJ</t>
  </si>
  <si>
    <t>Best web designing development company based in Hyderabad India : inovies
https://t.co/ktlCxgvaRn …
#WEBdESIGNING #WEBDEVELOPMENT #HYDERABAD https://t.co/uvKO8xeRIc</t>
  </si>
  <si>
    <t>Best UI development company in Hyderabad India : Inovies
https://t.co/NZqseObetW …
#uidevelopment #company #hyderabad https://t.co/tD0M1iLEr0</t>
  </si>
  <si>
    <t>Best Mobile App design Company in Hyderabad India : Inovies
https://t.co/Wwq1Dsd1eA
#mobileapp #designcompany #hyderabad https://t.co/EgJmZ1xxsV</t>
  </si>
  <si>
    <t>Website Design Company based in Hyderabad India : Inovies https://t.co/uJGmR9dHmd …
#webdesign #websiteDesign #Hyderabad https://t.co/eIDiCrcIgw</t>
  </si>
  <si>
    <t>10 Websites Where You Can Get Free Images for your Website: 
More: https://t.co/6WkT298dfx
#inovies https://t.co/S06Vy1PkOK</t>
  </si>
  <si>
    <t>Creative web design - creating pixels with a purpose:
More: https://t.co/hBHdUNnvAZ
#inovies https://t.co/ygvPVjait7</t>
  </si>
  <si>
    <t>Responsive web design - An online space and an all-time base
More: https://t.co/Bn4il6dMCF
#inovies #responsivewebdesign https://t.co/SQ1Q9mlw9v</t>
  </si>
  <si>
    <t>BOT or NOT with CHATBOT, Long way to go before we hype :
More: https://t.co/rmG35PHfSt
#inovies https://t.co/l4Vr045MvA</t>
  </si>
  <si>
    <t>@Inovies #StandByPVSunilKumarIPS #StandByPVSunilKumarIPS 
#UnknownMiraclesOfGodKabir #HappyBirthdayNBK #thursdaymorning #ThursdayThoughts #ThursdayMotivation #NBK107 #NandamuriBalakrishna #NariShakti4NewIndia #Save_male_nurses #Shanijayanti #HBDNBK #thursdayvibes</t>
  </si>
  <si>
    <t>RT https://t.co/JobkD6HQK2 Best Digital Marketing Consulting Company in Hyderabad-@Inovies see more&amp;gt;https://t.co/SBOwsMe9Zn #Best #DigitalMarketing #consulting #company #Hyderabad #inovies #S… https://t.co/oNMUDm6TFT</t>
  </si>
  <si>
    <t>Le silence détient un pouvoir profond. En son absence, les voix s'élèvent, les idées se heurtent et le changement prend son envol.
Grâce au pouvoir du silence, nous créons des espaces de réflexion, amplifions des voix inovies et allumons les flammes du changement social.</t>
  </si>
  <si>
    <t>@Inovies TFTF your awesome and we appreciate you. https://t.co/AIrmJ0SmTO</t>
  </si>
  <si>
    <t>@agindre @LCI @GabrielAttal Sur ce point il a tout à fait raison @GabrielAttal !  ✅
@cerballiance @Biogroup_Labo @Inovies @EAGLaboratories</t>
  </si>
  <si>
    <t>@Biogroup_Labo @Inovies @LaboBiopyrenees</t>
  </si>
  <si>
    <t>Ces entreprises suscitent l’appétit de fonds d’investissement étrangers https://t.co/IbQ1Z2KvVa</t>
  </si>
  <si>
    <t>La família de Tossa _xD83C__xDF24_☀️⛅️
#celebraciodaniversari #laviaenfa80 #totsambnovios #inovies… https://t.co/UoVHAVU8gv</t>
  </si>
  <si>
    <t>@Roja_Inovies What tool are you using to schedule your Social Media Posts Roja?</t>
  </si>
  <si>
    <t>Senior Business Development Manager at Inovies Consulting Pvt Ltd: http://t.co/5luf8vZi  #Jobs #India</t>
  </si>
  <si>
    <t>Opening for Web Designers @ Inovies - Hyderabad: http://t.co/6SRcd08h  #Jobs #India</t>
  </si>
  <si>
    <t>#article Top marketing trends to not be missed in 2K18 by @inovies https://t.co/dJ2M6gMTZg via @CustomerThink https://t.co/BqZI4dRPVx</t>
  </si>
  <si>
    <t>@inovies added as a twitter business at http://t.co/HRrR2A34m1. To manage your account, go to http://t.co/XAfTgtF2tv</t>
  </si>
  <si>
    <t>@Inovies Hi, I saw you, guys, on Awwwards' website &amp;amp; would love to get your feedback on a recent submission: https://t.co/qkoScoYq1Z</t>
  </si>
  <si>
    <t>Jobs http://t.co/1LrOZmvX Inovies Marketing India Pvt Ltd Hyderabad : Marketing Engineer: *Company... http://t.co/k2nsSYC9 Vacancies</t>
  </si>
  <si>
    <t>Will you become one with Growth Hacker marketing? by @inovies https://t.co/VcihkqQ0sJ via @CustomerThink #forum #nodebb</t>
  </si>
  <si>
    <t>PHP Developer job in Inovies onsulting Pvt Ltd at Hyderabad https://t.co/XRgMpVQh0l</t>
  </si>
  <si>
    <t>@Inovies Lmao. Houthis are launching missles and are indiscriminately attacking international trade. Bye bye houthis.</t>
  </si>
  <si>
    <t>Technical Writers: Inovies @ Hyderabad.
Inovies: Birlasoft India @ Multiple Locations.
Web Designers: iCMG @ Bangalore.
Details @ JWJOBS.</t>
  </si>
  <si>
    <t>Inovies Hyderabad Walkin for Technical Documentation Writers - Female Only - Sandi Jobs http://t.co/kZvqJritt0</t>
  </si>
  <si>
    <t>10 Websites Where You Can Get #Free #Images for your Website http://t.co/tKCAsIuXi7 #free images #website images via @Inovies #webdesign</t>
  </si>
  <si>
    <t>Is your Website ready to face the next... http://t.co/tKCAsIuXi7 #mobilefriendlywebsite #responsivewebsite #responsivedesign via @Inovies</t>
  </si>
  <si>
    <t>@vamsikaka Good. Mee site down avvatam aaasharyam ledu mastaru. inovies(mee designer and developer) site gallanthu ayyindi.</t>
  </si>
  <si>
    <t>Inovies - PHP Developers - 1.5 - 5 years - lz7qjoitzl https://t.co/502Ts4DZRa #excoecaria #jobs.excoecaria.com #career #careers #employmen…</t>
  </si>
  <si>
    <t>Inovies is one of the top SEO Services Company in Hyderabad. SEO Experts with more than 10+ years of experience. Gu… https://t.co/NSh4uAuwma https://t.co/NSh4uAcVuC</t>
  </si>
  <si>
    <t>Inovies is one of the top SEO Services Company in Hyderabad. SEO Experts with more than 10+ years of experience. Guaranteed 1st Page Rank. https://t.co/7uDPWgnF6m
#seocompaniesinhyderabad #seoservicescompanyinhyderabad #seoinhyderabad https://t.co/1uFaXYkmGJ</t>
  </si>
  <si>
    <t>#seoservicesinhyderabad 
Inovies provides you the Best Organic SEO Service in Hyderabad and rank higher and increasing the chances of appearing on the first page on the search engine result
https://t.co/ErwRhhu5fQ https://t.co/KLkfkvLXNb</t>
  </si>
  <si>
    <t>#PPCservicesinHyderabad #PayPerClick #PayPerClickMarketing #PayPerClickAdvertising
Inovies is the best PPC Digital Marketing Agency in Hyderabad India. We are providing the best PPC services to get direct traffic to your business. 
https://t.co/SP2aaNibXT https://t.co/Fc1SB5xf0G</t>
  </si>
  <si>
    <t>Inovies is the Best SEO Company in Hyderabad and provide the best organic search service in Hyderabad.
https://t.co/pILRTjPCER
#seoservicesinhyderabad #seocompaniesinhyderabad #seoinhyderabad #bestseoservicesinhyderabad #seoservicescompanyinhyderabad https://t.co/vhe1pzHwat</t>
  </si>
  <si>
    <t>https://t.co/4k60cPewWo
#seoservicesinhyderabad #seocompaniesinhyderabad
#bestseoservicesinhyderabad #seoinhyderabad
If you are looking for SEO service then your right place here, Inovies is one of the Best SEO companies in Hyderabad.</t>
  </si>
  <si>
    <t>Inovies is the Best SEO Company in Hyderabad and provide the best organic search service in Hyderabad.… https://t.co/zokUFW1fmr https://t.co/zokUFVJEuT</t>
  </si>
  <si>
    <t>#inoviesdigitalmarketingagency
Inovies Digital Marketing Agency in Hyderabad, provide custom solutions and experts in Search Engine Marketing, Social Media Marketing, Web Design, Website Development, and PPC Service. visit https://t.co/P1joaRJmyP https://t.co/3eARVcANkC</t>
  </si>
  <si>
    <t>#Inoviesppccompany 
If you have noticed ads on Google, you are already familiar with pay-per-click, or PPC advertising, try Inovies Pay Per Click Management Service get sales and leads to your business, visit our website.
https://t.co/snMKtERwqi https://t.co/C3rlXrw1SI</t>
  </si>
  <si>
    <t>#Inovieswebdevelopmentcompany #Inovieswebdevelopmentservices
Inovies offers all type of website development services across the globe. Customer-focused web development services built on the latest technologies. visit https://t.co/L6l75ty8xt https://t.co/cjeizk6kh3</t>
  </si>
  <si>
    <t>PPC Hyderabad - Increase ROI by 30% in 30 days with unmatched Pay Per Click Marketing from Inovies - Top PPC Company in Hyderabad, India. 
https://t.co/40ELVVsdSb
#payperclickadvertising #ppcmanagementcompanyIndia
#ppcmanagementservicesIndia https://t.co/QJuf13krar</t>
  </si>
  <si>
    <t>Inovies provides ethical and natural link building SEO services in Hyderabad. https://t.co/4k60cPewWo
#seoservicescompanyinhyderabad #seoinhyderabad #bestseocompanyinhyderabad https://t.co/AgHWvCqqEr</t>
  </si>
  <si>
    <t>Inovies is the Best Web Developers in Hyderabad. We offer very unique website development services which make our client deal with the work easily.
https://t.co/0PabLiMDHU
#webdevelopmentcompanyinhyderabad #websitedevelopmentcompanyinhyderabad #webdevelopersinhyderabad https://t.co/xAEWab0Emc</t>
  </si>
  <si>
    <t>#ecommercewebsitedevelopmentcompany
#ecommercewebsitedevelopmentservices
Inovies is one of The Best Experienced Designing and eCommerce Website Development Services.
https://t.co/lyyxmVgvEu https://t.co/0ZmxhcyrJv</t>
  </si>
  <si>
    <t>#webdevelopmentcompanyinhyderabad #websitedevelopmentcompanyinhyderabad
#webdevelopersinhyderabad
Inovies is one of The Best Experienced Designing and Website Development Company in Hyderabad.
https://t.co/XAY783G66u https://t.co/4AbmCJXiay</t>
  </si>
  <si>
    <t>Inovies offer very unique Web Developers in Hyderabad which make our client deal with the work easily. visit https://t.co/0QKHAdpyrT
#webdevelopmentcompanyinhyderabad #websitedevelopmentcompanyinhyderabad #webdevelopersinhyderabad https://t.co/Ladk9U0T3S</t>
  </si>
  <si>
    <t>Get the Android Application Development Company for startup, enterprise &amp;amp; agency from the inovies visit https://t.co/WKoI4mTqPv
#androidmobileappdevelopmentcompany
#androidapplicationdevelopmentcompany https://t.co/gFwU5q8Z1O</t>
  </si>
  <si>
    <t>Inovies offer very unique Website Development in Hyderabad which make our client deal with the work easily. visit https://t.co/y67Olt6ZF5
#bestwebsitedevelopmentcompanyinhyderabad #websitedevelopmentinhyderabad #webapplicationdevelopmentcompanyinhyderabad https://t.co/BLBP8NUMV4</t>
  </si>
  <si>
    <t>New #WebDesign Inspiration - Best ...  http://t.co/SLXARDa1mY  on http://t.co/iELzF83Dgj
@Inovies @w3webdesign_in http://t.co/IW1qAuXAaA</t>
  </si>
  <si>
    <t>New #WebDesign Inspiration - inovies  https://t.co/0a5BoK2qAX  on https://t.co/iELzF7M2oL @Inovies https://t.co/U7AWjmAuFY</t>
  </si>
  <si>
    <t>New #WebDesign Inspiration - Best Web Design Company in UAE (Welkin Web Design) http://t.co/xjxfpH1RbF @Inovies http://t.co/mVG4a1i8Qj</t>
  </si>
  <si>
    <t>New #WebDesign Inspiration - Welkin Web Design  https://t.co/xjxfpH1RbF  on https://t.co/iELzF83Dgj
@Inovies https://t.co/gXWi2LPKib</t>
  </si>
  <si>
    <t>Bienvenue @Marie_Veille @SHIATSUDOMONTEL @NSahuc @Superpromo2O18 @Nguyen56712041 @RhoneVallee @besson1258 @AvisProduitWeb @at_graphisme @CoachEloquence @Roja_Inovies @lamontilienne26 @VladoBotsvadze</t>
  </si>
  <si>
    <t>(FRESHERS) "INOVIES" recruits FRESHERS : Any Graduates / BE / B.Tech / MCA / MBA : 2010 / 2009 Passout : Technical... http://fb.me/QUealchY</t>
  </si>
  <si>
    <t>7 Social media habits you need to stop right now by @inovies https://t.co/sxtimMFujv via @CustomerThink</t>
  </si>
  <si>
    <t>Think effectively with SEO and brand building strategies by @inovies https://t.co/2gzinUUVq1 via @CustomerThink</t>
  </si>
  <si>
    <t>Le sigo de vuelta a @Inovies ➽ ❤/RT Gracias, por seguirme!.  "Like" FB Fanpage https://t.co/6D1loW3HVy via https://t.co/q7YKpZnOfD</t>
  </si>
  <si>
    <t>I'll take a shot of alcohol and let you taste it on my lips. only inovies is someone so smooth.</t>
  </si>
  <si>
    <t>Php Programmers / Php Developers job openings at Inovies @ Hyderabad: 4 + years of PHP… https://t.co/OapQNYENyv</t>
  </si>
  <si>
    <t>UI Developers job openings at Inovies @ Hyderabad: Experienced UI Developers Experience… https://t.co/V7l6Sm8ZjX</t>
  </si>
  <si>
    <t>Graphic Designer job openings at Inovies @ Hyderabad: Are you a creative designer who loves… https://t.co/rcWlzh6i3F</t>
  </si>
  <si>
    <t>IOS Developers job openings at Inovies @ Hyderabad: Proficient with Objective-C, Swift… https://t.co/F58yVFoYE6</t>
  </si>
  <si>
    <t>SEO Experts / Analyst job openings at Inovies @ Hyderabad: Perform keyword research in… https://t.co/OhFHyArgJs</t>
  </si>
  <si>
    <t>Sales / Marketing / Business Development Executives job openings at Inovies @ Hyderabad… https://t.co/fnbpXsbCaG</t>
  </si>
  <si>
    <t>Technical Writers job openings at Inovies @ Hyderabad: 4 + years of PHP experience… https://t.co/hgYxmhidyh</t>
  </si>
  <si>
    <t>Inovies Consulting: Technical Documentation Writer (Hyderabad, ) http://jobs.as/d?j=623082 #Jobs #Job</t>
  </si>
  <si>
    <t>Thanks for the recent follow @dinesh_vetal @SuccessLake @Inovies! Happy to connect :) have a great Monday. _xD83D__xDD36_ https://t.co/59N8l0SVQ6</t>
  </si>
  <si>
    <t>Get Pay Per Click Management Service from Inovies. We have PPC experts who helps you to provide the best PPC services for your business growth. 
https://t.co/YIjeRnQHMR
#PPCcompany #PPCagency #PayPerClickAdvertising #PayPerClickMarketing</t>
  </si>
  <si>
    <t>Inovies is the best pay per click advertising company in Hyderabad. We offer pay per click management service to help businesses grow and get more leads &amp;amp; sales.
https://t.co/YIjeRnQHMR
#PPCAgency #PPCAgecnyHyderabad https://t.co/TY1uRHfntd</t>
  </si>
  <si>
    <t>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</si>
  <si>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@_minaesthetic british accent is so cool, i always try to recreate it when i hear it inovies and stuff djjckckxk</t>
  </si>
  <si>
    <t>@Inovies Embrace us with your presence @manthanaward on Dec1-9th Annual Digital Festival Development. http://t.co/9bIhAz92 #manthan</t>
  </si>
  <si>
    <t>Inovies, thanks for your follow! Who is your favorite person in history? https://t.co/5BH9HiTg9W #thankfulfor #followers</t>
  </si>
  <si>
    <t>Actionable Growth Hacking Tactics we follow at inovies https://t.co/QaxYra44Ic</t>
  </si>
  <si>
    <t>TFTF @Inovies _xD83D__xDC9A_ Did you see "Be The Tree, Not a Leaf" ➡️ https://t.co/LAOuX75G2V ⬅️ #SelfHealing #Love #Mindfulness #Understanding #Life https://t.co/qHgi8M1cFF</t>
  </si>
  <si>
    <t>inovies (@inovies, 747 followers), did your Twitter guy go to lunch and never return? Your last tweet was 92 days ago _xD83E__xDD14_</t>
  </si>
  <si>
    <t>Paging inovies (@inovies, 629 followers). Your last tweet was 90 days ago. Are you OK? _xD83E__xDD12_</t>
  </si>
  <si>
    <t>Thanks for the recent follow @Bskhod @Inovies Happy to connect :) have a great Saturday. ➡️ Want this _xD83C__xDD93_❓ https://t.co/osnmCP95Qb</t>
  </si>
  <si>
    <t>WALKIN1 - (FRESHERS) 'INOVIES' : Walk-In : Trainee Technical Writers : On 13-16 May 2015 @ Hyderabad More: http://t.co/W0BcyUT29p</t>
  </si>
  <si>
    <t>WALKIN1 - (6 Months+) Walk-In @ 'INOVIES' : JAVA Developers : On 24 October 2014 @ Hyderabad More: http://t.co/0nvplFca30</t>
  </si>
  <si>
    <t>(EXPERIENCED) Walk-In @ 'INOVIES' : JAVA Developers : On 24 October 2014 @ Hyderabad More: http://t.co/F1zG9MGYQb</t>
  </si>
  <si>
    <t>(6 Months+) Walk-In @ 'INOVIES' : JAVA Developers : On 24 October 2014 @ Hyderabad More: http://t.co/ffOhy4mlwl</t>
  </si>
  <si>
    <t>(EXPERIENCED) Walk-In @ 'INOVIES' : JAVA Developers : On 20 October 2014 @ Hyderabad More: http://t.co/lJUOsXBwHy</t>
  </si>
  <si>
    <t>(6 Months+) Walk-In @ 'INOVIES' : JAVA Developers : On 20 October 2014 @ Hyderabad More: http://t.co/xts7Z6QzCw</t>
  </si>
  <si>
    <t>WALKIN2 - (FRESHERS) 'INOVIES' : Walk-In : Trainee Technical Writers : On 22-25 December 2014 @ Hyderabad More: http://t.co/mQntbKOy6B</t>
  </si>
  <si>
    <t>WALKIN1 - (FRESHERS) 'INOVIES' : Walk-In : Trainee Technical Writers : On 22-25 December 2014 @ Hyderabad More: http://t.co/2XWb9UBtwi</t>
  </si>
  <si>
    <t>(FRESHERS) 'INOVIES' : Walk-In : Trainee Technical Writers : On 22-25 December 2014 @ Hyderabad More: http://t.co/8UKpLOUvNv</t>
  </si>
  <si>
    <t>(EXPERIENCED) 'INOVIES' : Walk-In : PHP Developers : On 15 December 2014 @ Hyderabad More: http://t.co/CmDbmO62KP</t>
  </si>
  <si>
    <t>(FRESHERS) Walk-In @ 'INOVIES' : Trainee Technical Writers : On 5-6 December 2014 @ Hyderabad More: http://t.co/xTWag7sOD0</t>
  </si>
  <si>
    <t>WEEKEND - (FRESHERS) Walk-In @ 'INOVIES' : Trainee Technical Writers : On 5-6 December 2014 @ Hyderabad More: http://t.co/zrqYY1igZk</t>
  </si>
  <si>
    <t>WALKIN1 - (FRESHERS) Walk-In @ 'INOVIES' : Trainee Technical Writers : On 5-6 December 2014 @ Hyderabad More: http://t.co/J2IUIzPcm0</t>
  </si>
  <si>
    <t>TOMORROW - (FRESHERS) Walk-In @ 'INOVIES' : Trainee Technical Writers : On 5-6 December 2014 @ Hyderabad More: http://t.co/9FXL1ZH0vi</t>
  </si>
  <si>
    <t>TOMORROW - (FRESHERS) Walk-In @ 'INOVIES' : Trainee Technical Writers : On 4 December 2014 @ Hyderabad More: http://t.co/1ZvyAD19Aa</t>
  </si>
  <si>
    <t>(FRESHERS) Walk-In @ 'INOVIES' : Trainee Technical Writers : On 4 December 2014 @ Hyderabad More: http://t.co/12CQ3fsaWk</t>
  </si>
  <si>
    <t>(FRESHERS) 'INOVIES' : Walk-In : Trainee Technical Writers : On 13-16 May 2015 @ Hyderabad More: http://t.co/BaJeW5uSFX</t>
  </si>
  <si>
    <t>(FRESHERS) 'INOVIES' : Walk-In : Trainee Technical Writers : On 17-18 April 2015 @ Hyderabad More: http://t.co/7PEz99L66J</t>
  </si>
  <si>
    <t>TOMORROW - (FRESHERS) 'INOVIES' : Walk-In : Trainee Technical Writers : On 17-18 April 2015 @ Hyderabad More: http://t.co/9gOA4izRRh</t>
  </si>
  <si>
    <t>WALKIN - (FRESHERS) 'INOVIES' : Walk-In : Trainee Technical Writers : On 17-18 April 2015 @ Hyderabad More: http://t.co/pGImTep2AT</t>
  </si>
  <si>
    <t>(FRESHERS) Walk-In @ 'INOVIES' : Trainee Technical Writers : On 17-18 April 2015 @ Hyderabad More: http://t.co/0apyxBUJPH</t>
  </si>
  <si>
    <t>IMP - (EXPERIENCED) Walk-In @ 'INOVIES' : JAVA Developers : On 15, 16 September 2014 @ Hyderabad More: http://t.co/6Zs2BDbQ6l</t>
  </si>
  <si>
    <t>(EXPERIENCED) Walk-In @ 'INOVIES' : JAVA Developers : On 15, 16 September 2014 @ Hyderabad More: http://t.co/b7WnZqC4AE</t>
  </si>
  <si>
    <t>@shaandelhite Better you can make him an actor rather than politician inovies</t>
  </si>
  <si>
    <t>Adulting: watch destruction inovies and thinking, "damn, that'll cost some billions well to rebuild"</t>
  </si>
  <si>
    <t>RT @Inovies: .
.
.
.
.
.
Dont Mind Testing Twitter
#DunkiReview #SalaarCeaseFire #CompanionInNeed #HBDYSJagan #AskSRK #IPLAuction #BoycottP…</t>
  </si>
  <si>
    <t>Inovies Thanks for following us ! https://t.co/HIGPBnvqTD</t>
  </si>
  <si>
    <t>Walk-in at Inovies for Trainee Content Writers on 4th November 2016 - Hyderabad. Details @... https://t.co/tW1swIa7hS</t>
  </si>
  <si>
    <t>@Inovies @PNBurrows @creditcarddl - Happy to have you in my community :)</t>
  </si>
  <si>
    <t>After months of hard work the brand new version of bootstrap v3.3.4, choice for many web designers and developers has finally come out</t>
  </si>
  <si>
    <t>How advertising cookies let observers follow you across the web http://t.co/3RdzYnYnp2</t>
  </si>
  <si>
    <t>Microsoft to release Windows 8.1 update on April 8 - At its annual Build confab, Microsoft wants to make it clear ... http://t.co/qfjC7sEDmS</t>
  </si>
  <si>
    <t>IT Opportunities at INDIA Boom In Textile Industry http://t.co/W7NoZq9tUz via @Inovies</t>
  </si>
  <si>
    <t>How technology is disrupting the B2B sales process. - The world of B2B sales and marketing has changed quite a bit... http://t.co/YtsVlci8Ar</t>
  </si>
  <si>
    <t>Cisco, partners to build world's largest global intercloud  http://t.co/AlbUpPmCPO via @inovies</t>
  </si>
  <si>
    <t>10 Tips for Improving Your IT Team’s Productivity  http://t.co/rSPGcXxuHV via @inovies</t>
  </si>
  <si>
    <t>#SEO #DigitalMarketing https://t.co/fSfKoL3leZ</t>
  </si>
  <si>
    <t>13 PHP Frameworks to Help Build Agile Applications - Building software applications can be a complex, time consumi... http://t.co/eD19Vc5NKl</t>
  </si>
  <si>
    <t>Google indoor maps arrive in India so you don’t get lost in shopping malls http://t.co/3FM8E7W6XI</t>
  </si>
  <si>
    <t>Microsoft makes Windows free for small devices  http://t.co/YFYtN1sPFr via @inovies</t>
  </si>
  <si>
    <t>Andromeda - a software defined network underlying its cloud, by Google  http://t.co/d4up2vVP2e via @inovies</t>
  </si>
  <si>
    <t>What will the Web look like in 2025?  http://t.co/4XL7CUskyy via @inovies</t>
  </si>
  <si>
    <t>Are You Ready to Respond to a Cyber Incident Quickly?  http://t.co/6H2NdmylR5 via @inovies</t>
  </si>
  <si>
    <t>A 'Crisis' in Online Ads: One-Third of Traffic Is Fake  http://t.co/QOmDwLb9MO via @inovies</t>
  </si>
  <si>
    <t>How to Upgrade from Windows XP to Windows 7  http://t.co/tDIHzL6nOq via @inovies</t>
  </si>
  <si>
    <t>Global Attack on WordPress Sites</t>
  </si>
  <si>
    <t>#DigitalMarketing #OnlineMarketing #SEO #EcommerceMarketing #ContentMarketing #DigitalStrategy #SEM #Branding #SMM #PPC #MarketingTips #BrandBuilding #SEOtips #OnlineAdvertising #SearchRankings #OnlinePresence #ROI #inovies https://t.co/HruRPasQRc https://t.co/MLVfDwPH5E</t>
  </si>
  <si>
    <t>#inovies #digitalmarketing https://t.co/atQHquhm9q</t>
  </si>
  <si>
    <t>THE CHANGING ROLE OF IT AND WHAT TO DO ABOUT IT - Today's challenging and hyper-competitive business environment o... http://t.co/FQA1cxzZum</t>
  </si>
  <si>
    <t>What's Really Scary About Heartbleed - Another day, another Internet security crisis. This time it's a problem wit... http://t.co/ZKkm6Lk6p5</t>
  </si>
  <si>
    <t>How To Add Google Analytics To Blogger http://t.co/mrdFTsD6Pi via @Inovies</t>
  </si>
  <si>
    <t>Role of Content Marketing in Online Advertising! http://t.co/uK36nfQGmX via @Inovies</t>
  </si>
  <si>
    <t>Why Scrum for Complex Software Development Projects? - Scrum is an Agile framework which is used for the completio... http://t.co/INVuFy3DjV</t>
  </si>
  <si>
    <t>Google Starts Penalizing Sites for Rich Snippet Spam - If you use rich snippets on your websites, you should be aw... http://t.co/L39ahg8nZL</t>
  </si>
  <si>
    <t>Following are the Five Models For Open Source Revenue - Open source is often associated with the word 'free.' Howe... http://t.co/mOCVFG4TOF</t>
  </si>
  <si>
    <t>Network Extreme Launches New SDN, Network Management Solutions http://t.co/w4YojZtSHf</t>
  </si>
  <si>
    <t>cloud storage is empowering a new breed of Indian digital service companies  http://t.co/6wmsf1zsOB via @inovies</t>
  </si>
  <si>
    <t>Microsoft Cuts Azure Pricing  http://t.co/xJIcjvbaA6 via @inovies</t>
  </si>
  <si>
    <t>Following are the 8 amazing operating systems, Getting to know them!  http://t.co/TErpxXxMDD via @inovies</t>
  </si>
  <si>
    <t>Ubuntu smartphone won't be as 'open' as they say  http://t.co/YmUZyKG7pr via @inovies</t>
  </si>
  <si>
    <t>Inovies launches a tailor made career builder product in the name of AcademicIcon. http://t.co/sQ3PGHIuyt</t>
  </si>
  <si>
    <t>We are very pleased to announce the launch of a new website http://t.co/3UHtrl71GL http://t.co/FZbwV1GNje</t>
  </si>
  <si>
    <t>new portal from Inovies http://t.co/ma5n9fhd4d</t>
  </si>
  <si>
    <t>inovies http://t.co/C2UfieyVCQ</t>
  </si>
  <si>
    <t>#inovies Mix quantitative data and qualitative benefit in your landing page for more impact.</t>
  </si>
  <si>
    <t>I voted for my favorite entrepreneur in the PayPalEntrepreneurContest. You can vote here https://t.co/3xo5WaEZcy #PayPalEntrepreneurContest</t>
  </si>
  <si>
    <t>#ecommerce : Digital Payments To Get Costlier, Indian Government Is Considering Impose A Digital Cess On Every Digital Transaction #inovies</t>
  </si>
  <si>
    <t>#Inovies #Marketing https://t.co/CNk3z9VQ1t</t>
  </si>
  <si>
    <t>If you’re facing upcoming startup pitch, be it on an escalator / elevator,  here’s a few tips to help you conquer https://t.co/M8lutz5FlC</t>
  </si>
  <si>
    <t>Whats the right time to stop feeding #startup https://t.co/N0bm6EBueh</t>
  </si>
  <si>
    <t>#entrepreneur https://t.co/uBw8YO3iPp</t>
  </si>
  <si>
    <t>WHY APPLE IS FAMOUS; YOU ARE NOT ?
https://t.co/In7kVAK0DL https://t.co/nWzCsh9QHE</t>
  </si>
  <si>
    <t>Your service should speak about your brand https://t.co/pZmfZ63w3F</t>
  </si>
  <si>
    <t>When Inovies woke up to Namaste Telangana News #webdesigningcompany https://t.co/nxKEql2IZu</t>
  </si>
  <si>
    <t>Sakshi became Sakshi to our Expertise #webdevelopmentcompany https://t.co/OwRI9nQf6Z</t>
  </si>
  <si>
    <t>Energy Boosters of your Website  #websitedesigncompany https://t.co/hQEafqqrmh</t>
  </si>
  <si>
    <t>Know Why Google goes gaga #responsivewebdesigncompany https://t.co/HsuvP849p7</t>
  </si>
  <si>
    <t>Responsive web design - An online space and an all-time base https://t.co/Zt39W6Jf4W</t>
  </si>
  <si>
    <t>Responsive Website Testing
http://t.co/GE0TX6jXeG</t>
  </si>
  <si>
    <t>How do you think Google SGE will impact Google search?
#SEO #SMM #SMO #digitalmarketingagency #Digitalmarketing #Marketing #inovies #branding</t>
  </si>
  <si>
    <t>Optimize images for faster loading times: Compress and optimize images to improve website load speed, enhancing user experience and positively impacting SEO.#digitalmarketingagency #Hyderabad #Inovies https://t.co/sHR7uMu0IX</t>
  </si>
  <si>
    <t>22 Utilize the 80/20 rule for content distribution: Share educational and entertaining content (80%) alongside promotional content (20%) to maintain a balance and prevent audience fatigue. #digitalmarketingagency #Hyderabad #Inovies</t>
  </si>
  <si>
    <t>17 Optimize for voice search: Structure website content with natural language to align with how users ask questions verbally through voice-activated devices. #digitalmarketingagency #Hyderabad #Inovies</t>
  </si>
  <si>
    <t>16 Develop a consistent brand voice: Maintain a friendly and informative tone across all communication channels, reinforcing your brand identity and values. #digitalmarketingagency #Hyderabad #Inovies</t>
  </si>
  <si>
    <t>7 Create buyer personas for targeted campaigns: Craft detailed personas, like "Savvy Sally," a young professional seeking sustainable and innovative products, to tailor messaging effectively. #digitalmarketingagency #Hyderabad #Inovies</t>
  </si>
  <si>
    <t>6 Stay agile and adapt to market trends: Swiftly incorporate emerging trends like short-form video content or augmented reality into your marketing approach for maximum impact. #digitalmarketingagency #Hyderabad #Inovies</t>
  </si>
  <si>
    <t>1  Clearly define your target audience - Identify the age, interests, and online behaviors of your ideal customers, such as tech-savvy millennials interested in sustainable living.#digitalmarketingagency #Hyderabad #Inovies</t>
  </si>
  <si>
    <t>Here are 100 unique digital marketing tips across various aspects of online marketing. _xD83D__xDC47_⏬_xD83D__xDD3B_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</si>
  <si>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https://t.co/3RcoAN1XUG</t>
  </si>
  <si>
    <t>#DigitalMarketing #OnlineMarketing #SEO #EcommerceMarketing #ContentMarketing #DigitalStrategy #SEM #Branding #SMM #PPC #MarketingTips #BrandBuilding #SEOtips #OnlineAdvertising #SearchRankings #OnlinePresence #ROI #inovies https://t.co/HruRPasQRc #Hyderabad https://t.co/z86R1SL7XT</t>
  </si>
  <si>
    <t>#DigitalMarketing #OnlineMarketing #SEO #EcommerceMarketing #ContentMarketing #DigitalStrategy #SEM #Branding #SMM #PPC #MarketingTips #BrandBuilding #SEOtips #OnlineAdvertising #SearchRankings #OnlinePresence #ROI #inovies https://t.co/HruRPasQRc #Hyderabad https://t.co/e0bL31z5Wt</t>
  </si>
  <si>
    <t>#DigitalMarketing #OnlineMarketing #SEO #EcommerceMarketing #ContentMarketing #DigitalStrategy #SEM #Branding #SMM #PPC #MarketingTips #BrandBuilding #SEOtips #OnlineAdvertising #SearchRankings #OnlinePresence #ROI #inovies https://t.co/HruRPasQRc #Hyderabad https://t.co/4jYcxqJWwi</t>
  </si>
  <si>
    <t>#DigitalMarketing #OnlineMarketing #SEO #EcommerceMarketing #ContentMarketing #DigitalStrategy #SEM #Branding #SMM #PPC #MarketingTips #BrandBuilding #SEOtips #OnlineAdvertising #SearchRankings #OnlinePresence #ROI #inovies https://t.co/HruRPasQRc https://t.co/sdoNwszTBT</t>
  </si>
  <si>
    <t>#DigitalMarketing #OnlineMarketing #SEO #EcommerceMarketing #ContentMarketing #DigitalStrategy #SEM #Branding #SMM #PPC #MarketingTips #BrandBuilding #SEOtips #OnlineAdvertising #SearchRankings #OnlinePresence #ROI #inovies https://t.co/HruRPasQRc https://t.co/lqMHxRr11i</t>
  </si>
  <si>
    <t>#DigitalMarketing #OnlineMarketing #SEO #EcommerceMarketing #ContentMarketing #DigitalStrategy #SEM #Branding #SMM #PPC #MarketingTips #BrandBuilding #SEOtips #OnlineAdvertising #SearchRankings #OnlinePresence #ROI #inovies https://t.co/HruRPasQRc https://t.co/B3MvMhSXGb</t>
  </si>
  <si>
    <t>#DigitalMarketing #OnlineMarketing #SEO #EcommerceMarketing #ContentMarketing #DigitalStrategy #SEM #Branding #SMM #PPC #MarketingTips #BrandBuilding #SEOtips #OnlineAdvertising #SearchRankings #OnlinePresence #ROI #inovies https://t.co/HruRPasQRc https://t.co/jdWiGkAtma</t>
  </si>
  <si>
    <t>#DigitalMarketing #OnlineMarketing #SEO #EcommerceMarketing #ContentMarketing #DigitalStrategy #SEM #Branding #SMM #PPC #MarketingTips #BrandBuilding #SEOtips #OnlineAdvertising #SearchRankings #OnlinePresence #ROI #inovies https://t.co/HruRPasQRc https://t.co/9LqaQEfDB0</t>
  </si>
  <si>
    <t>#DigitalMarketing #OnlineMarketing #SEO #EcommerceMarketing #ContentMarketing #DigitalStrategy #SEM #Branding #SMM #PPC #MarketingTips #BrandBuilding #SEOtips #OnlineAdvertising #SearchRankings #OnlinePresence #ROI #inovies https://t.co/HruRPasQRc https://t.co/tCVGUIQxqj</t>
  </si>
  <si>
    <t>#DigitalMarketing #OnlineMarketing #SEO #EcommerceMarketing #ContentMarketing #DigitalStrategy #SEM #Branding #SMM #PPC #MarketingTips #BrandBuilding #SEOtips #OnlineAdvertising #SearchRankings #OnlinePresence #ROI #inovies https://t.co/HruRPasQRc https://t.co/0K9Nhx9bnV</t>
  </si>
  <si>
    <t>#DigitalMarketing #OnlineMarketing #SEO #EcommerceMarketing #ContentMarketing #DigitalStrategy #SEM #Branding #SMM #PPC #MarketingTips #BrandBuilding #SEOtips #OnlineAdvertising #SearchRankings #OnlinePresence #ROI #inovies https://t.co/HruRPatoGK https://t.co/5p7mnPOsSV</t>
  </si>
  <si>
    <t>#DigitalMarketing #OnlineMarketing #SEO #EcommerceMarketing #ContentMarketing #DigitalStrategy #SEM #Branding #SMM #PPC #MarketingTips #BrandBuilding #SEOtips #OnlineAdvertising #SearchRankings #OnlinePresence #ROI #inovies https://t.co/HruRPasQRc https://t.co/Zgmy0zM1CK</t>
  </si>
  <si>
    <t>#DigitalMarketing #OnlineMarketing #SEO #EcommerceMarketing #ContentMarketing #DigitalStrategy #SEM #Branding #SMM #PPC #MarketingTips #BrandBuilding #SEOtips #OnlineAdvertising #SearchRankings #OnlinePresence #ROI #inovies https://t.co/HruRPasQRc https://t.co/qWcKt6EqaR</t>
  </si>
  <si>
    <t>#DigitalMarketing #OnlineMarketing #SEO #EcommerceMarketing #ContentMarketing #DigitalStrategy #SEM #Branding #SMM #PPC #MarketingTips #BrandBuilding #SEOtips #OnlineAdvertising #SearchRankings #OnlinePresence #ROI #inovies https://t.co/HruRPasQRc https://t.co/5EcHuZCHPE</t>
  </si>
  <si>
    <t>#DigitalMarketing #OnlineMarketing #SEO #EcommerceMarketing #ContentMarketing #DigitalStrategy #SEM #Branding #SMM #PPC #MarketingTips #BrandBuilding #SEOtips #OnlineAdvertising #SearchRankings #OnlinePresence #ROI #inovies https://t.co/HruRPasQRc https://t.co/3z4tMUz7WF</t>
  </si>
  <si>
    <t>#DigitalMarketing #OnlineMarketing #SEO #EcommerceMarketing #ContentMarketing #DigitalStrategy #SEM #Branding #SMM #PPC #MarketingTips #BrandBuilding #SEOtips #OnlineAdvertising #SearchRankings #OnlinePresence #ROI #inovies https://t.co/HruRPasQRc https://t.co/bJQFTpiPOq</t>
  </si>
  <si>
    <t>#DigitalMarketing #OnlineMarketing #SEO #EcommerceMarketing #ContentMarketing #DigitalStrategy #SEM #Branding #SMM #PPC #MarketingTips #BrandBuilding #SEOtips #OnlineAdvertising #SearchRankings #OnlinePresence #ROI #inovies https://t.co/HruRPasQRc https://t.co/uVHUsnqlJA</t>
  </si>
  <si>
    <t>#DigitalMarketing #OnlineMarketing #SEO #EcommerceMarketing #ContentMarketing #DigitalStrategy #SEM #Branding #SMM #PPC #MarketingTips #BrandBuilding #SEOtips #OnlineAdvertising #SearchRankings #OnlinePresence #ROI #inovies https://t.co/HruRPasQRc https://t.co/k0njWUSj7U</t>
  </si>
  <si>
    <t>#DigitalMarketing #OnlineMarketing #SEO #EcommerceMarketing #ContentMarketing #DigitalStrategy #SEM #Branding #SMM #PPC #MarketingTips #BrandBuilding #SEOtips #OnlineAdvertising #SearchRankings #OnlinePresence #ROI #inovies https://t.co/HruRPasQRc https://t.co/cd2S0oOhZd</t>
  </si>
  <si>
    <t>#DigitalMarketing #OnlineMarketing #SEO #EcommerceMarketing #ContentMarketing #DigitalStrategy #SEM #Branding #SMM #PPC #MarketingTips #BrandBuilding #SEOtips #OnlineAdvertising #SearchRankings #OnlinePresence #ROI #inovies https://t.co/HruRPasQRc https://t.co/FpUKSHXTzx</t>
  </si>
  <si>
    <t>#DigitalMarketing #OnlineMarketing #SEO #EcommerceMarketing #ContentMarketing #DigitalStrategy #SEM #Branding #SMM #PPC #MarketingTips #BrandBuilding #SEOtips #OnlineAdvertising #SearchRankings #OnlinePresence #ROI #inovies https://t.co/HruRPasQRc https://t.co/blKlANPqaU</t>
  </si>
  <si>
    <t>#DigitalMarketing #OnlineMarketing #SEO #EcommerceMarketing #ContentMarketing #DigitalStrategy #SEM #Branding #SMM #PPC #MarketingTips #BrandBuilding #SEOtips #OnlineAdvertising #SearchRankings #OnlinePresence #ROI #inovies https://t.co/HruRPasQRc https://t.co/c6FQqcruxE</t>
  </si>
  <si>
    <t>#DigitalMarketing #OnlineMarketing #SEO #EcommerceMarketing #ContentMarketing #DigitalStrategy #SEM #Branding #SMM #PPC #MarketingTips #BrandBuilding #SEOtips #OnlineAdvertising #SearchRankings #OnlinePresence #ROI #inovies https://t.co/HruRPasQRc https://t.co/nBVV6RseiV</t>
  </si>
  <si>
    <t>#DigitalMarketing #OnlineMarketing #SEO #EcommerceMarketing #ContentMarketing #DigitalStrategy #SEM #Branding #SMM #PPC #MarketingTips #BrandBuilding #SEOtips #OnlineAdvertising #SearchRankings #OnlinePresence #ROI #inovies https://t.co/HruRPasQRc https://t.co/iuGTjV1LFg</t>
  </si>
  <si>
    <t>#DigitalMarketing #OnlineMarketing #SEO #EcommerceMarketing #ContentMarketing #DigitalStrategy #SEM #Branding #SMM #PPC #MarketingTips #BrandBuilding #SEOtips #OnlineAdvertising #SearchRankings #OnlinePresence #ROI #inovies https://t.co/HruRPasQRc https://t.co/Ob4O6YO2xk</t>
  </si>
  <si>
    <t>#DigitalMarketing #OnlineMarketing #SEO #EcommerceMarketing #ContentMarketing #DigitalStrategy #SEM #Branding #SMM #PPC #MarketingTips #BrandBuilding #SEOtips #OnlineAdvertising #SearchRankings #OnlinePresence #ROI #inovies https://t.co/HruRPasQRc https://t.co/51qroRTPTS</t>
  </si>
  <si>
    <t>#DigitalMarketing #OnlineMarketing #SEO #EcommerceMarketing #ContentMarketing #DigitalStrategy #SEM #Branding #SMM #PPC #MarketingTips #BrandBuilding #SEOtips #OnlineAdvertising #SearchRankings #OnlinePresence #ROI #inovies https://t.co/HruRPasQRc https://t.co/oPHiXccT5K</t>
  </si>
  <si>
    <t>#DigitalMarketing #OnlineMarketing #SEO #EcommerceMarketing #ContentMarketing #DigitalStrategy #SEM #Branding #SMM #PPC #MarketingTips #BrandBuilding #SEOtips #OnlineAdvertising #SearchRankings #OnlinePresence #ROI #inovies https://t.co/HruRPasQRc https://t.co/YJ2uLIKoDd</t>
  </si>
  <si>
    <t>#DigitalMarketing #OnlineMarketing #SEO #EcommerceMarketing #ContentMarketing #DigitalStrategy #SEM #Branding #SMM #PPC #MarketingTips #BrandBuilding #SEOtips #OnlineAdvertising #SearchRankings #OnlinePresence #ROI #inovies https://t.co/HruRPasQRc https://t.co/XQlZU3JjSY</t>
  </si>
  <si>
    <t>#DigitalMarketing #OnlineMarketing #SEO #EcommerceMarketing #ContentMarketing #DigitalStrategy #SEM #Branding #SMM #PPC #MarketingTips #BrandBuilding #SEOtips #OnlineAdvertising #SearchRankings #OnlinePresence #ROI #inovies https://t.co/HruRPasQRc https://t.co/5QlUQrylRp</t>
  </si>
  <si>
    <t>#DigitalMarketing #OnlineMarketing #SEO #EcommerceMarketing #ContentMarketing #DigitalStrategy #SEM #Branding #SMM #PPC #MarketingTips #BrandBuilding #SEOtips #OnlineAdvertising #SearchRankings #OnlinePresence #ROI #inovies https://t.co/HruRPasQRc https://t.co/0pk2BeZM3M</t>
  </si>
  <si>
    <t>#DigitalMarketing #OnlineMarketing #SEO #EcommerceMarketing #ContentMarketing #DigitalStrategy #SEM #Branding #SMM #PPC #MarketingTips #BrandBuilding #SEOtips #OnlineAdvertising #SearchRankings #OnlinePresence #ROI #inovies https://t.co/HruRPasQRc https://t.co/9OjLW4FHT9</t>
  </si>
  <si>
    <t>#DigitalMarketing #OnlineMarketing #SEO #EcommerceMarketing #ContentMarketing #DigitalStrategy #SEM #Branding #SMM #PPC #MarketingTips #BrandBuilding #SEOtips #OnlineAdvertising #SearchRankings #OnlinePresence #ROI #inovies https://t.co/HruRPasQRc https://t.co/4DylLjUb4Y</t>
  </si>
  <si>
    <t>#DigitalMarketing #OnlineMarketing #SEO #EcommerceMarketing #ContentMarketing #DigitalStrategy #SEM #Branding #SMM #PPC #MarketingTips #BrandBuilding #SEOtips #OnlineAdvertising #SearchRankings #OnlinePresence #ROI #inovies https://t.co/HruRPasQRc https://t.co/gguLVnP44E</t>
  </si>
  <si>
    <t>#DigitalMarketing #OnlineMarketing #SEO #EcommerceMarketing #ContentMarketing #DigitalStrategy #SEM #Branding #SMM #PPC #MarketingTips #BrandBuilding #SEOtips #OnlineAdvertising #SearchRankings #OnlinePresence #ROI #inovies https://t.co/HruRPasQRc https://t.co/uul1rMmZQi</t>
  </si>
  <si>
    <t>thoughtful</t>
  </si>
  <si>
    <t>Idhar mat dekho': In message to Pakistan over hijab row, Owaisi mentions Malala https://t.co/OGQsBCPptv</t>
  </si>
  <si>
    <t>#StandByPVSunilKumarIPS https://t.co/pk4EVQgZkY</t>
  </si>
  <si>
    <t>#inovies #leadgeneration #DigitalMarketing https://t.co/P6w3oPxhOn</t>
  </si>
  <si>
    <t>#inovies #digitalmarketing https://t.co/keMZAzNaxN</t>
  </si>
  <si>
    <t>#DigitalMarketing #SEO https://t.co/l5XP8oxOjR</t>
  </si>
  <si>
    <t>UPDATE 2018: From a technical point of view, there are 3 no's you should know about meta description length. Max length of meta description used to be 156 characters for years with some experiments from Google, but as of Dec 2017, it will display a longer version 320 characters.</t>
  </si>
  <si>
    <t>If you're already a front-end developer, well, pretend you're also wearing a pirate hat. https://t.co/a55n5HvV27</t>
  </si>
  <si>
    <t>web design | web development | digital marketing | technical writing - You cant divide them all</t>
  </si>
  <si>
    <t>"Google only loves you When everyone else loves you first"</t>
  </si>
  <si>
    <t>The basic rules of investing involves knowing how much to invest and for how long?</t>
  </si>
  <si>
    <t>.
.
.
.
.
.
Dont Mind Testing Twitter
#DunkiReview #SalaarCeaseFire #CompanionInNeed #HBDYSJagan #AskSRK #IPLAuction #BoycottPVRInox   #stockmarketcrash #EpsteinClientList #Lincoln #Christie #Tusk #Republicans #Devil #LIVWHU #inovies https://t.co/sHR7uMu0IX @Inovies https://t.co/mNEvOiurj2</t>
  </si>
  <si>
    <t>New Chapter in SEO - Google's Search Generative Experience (SGE)  Google is changing search with AI. 
SGE (Search Generative Experience), is a new way we find things online.  https://t.co/OAJe8N669i
https://t.co/LfLUXEzKN0 #seo #inovies #DigitalMarketing #SMM #MarketingStrategy https://t.co/c4tWiWoW7L</t>
  </si>
  <si>
    <t>A man crashed into President #JoeBiden vehicle #motorcade just before he and his wife #JillBiden were about to get in. The #SecretService reacted fast to investigate the crash for terrorism or assassination attempts. Turns out the man was just drunk.
#inovies https://t.co/DliJnJJgYy</t>
  </si>
  <si>
    <t>Transform your website's luck into strategic success with #Inovies #SEO services! _xD83D__xDE80_ Boost visibility and drive traffic by optimizing content, and leveraging high-quality backlinks.  #DigitalMarketing #digitalmarketingagency 
https://t.co/OAJe8N669i</t>
  </si>
  <si>
    <t>#digitalmarketingagency #DigitalMarketing #SMM #SEO https://t.co/OAJe8N669i #socialmediamarketing #SEM #inovies #branding #Hyderabad #PPC #Marketing #MarketingStrategy https://t.co/mB6TmRCSWn</t>
  </si>
  <si>
    <t>#digitalmarketingagency #DigitalMarketing #SMM #SEO https://t.co/OAJe8N669i #socialmediamarketing #SEM #inovies #branding #Hyderabad #PPC #Marketing #MarketingStrategy https://t.co/l3PyJitDxj</t>
  </si>
  <si>
    <t>#digitalmarketingagency #DigitalMarketing #SMM #SEO https://t.co/OAJe8N669i #socialmediamarketing #SEM #inovies #branding #Hyderabad #PPC #Marketing #MarketingStrategy https://t.co/gvVUToDd7C</t>
  </si>
  <si>
    <t>#digitalmarketingagency #DigitalMarketing #SMM #SEO https://t.co/OAJe8N669i #socialmediamarketing #SEM #inovies #branding #Hyderabad #PPC #Marketing #MarketingStrategy https://t.co/XylgpfA2mu</t>
  </si>
  <si>
    <t>#digitalmarketingagency #DigitalMarketing #SMM #SEO https://t.co/OAJe8N669i #socialmediamarketing #SEM #inovies #branding #Hyderabad #PPC #Marketing #MarketingStrategy https://t.co/s5DbdBX53M</t>
  </si>
  <si>
    <t>#digitalmarketingagency #DigitalMarketing #SMM #SEO https://t.co/OAJe8N669i #socialmediamarketing #SEM #inovies #branding #Hyderabad #PPC #Marketing #MarketingStrategy https://t.co/onQIogeIxi</t>
  </si>
  <si>
    <t>#digitalmarketingagency #DigitalMarketing #SMM #SEO https://t.co/OAJe8N669i #socialmediamarketing #SEM #inovies #branding #Hyderabad #PPC #Marketing #MarketingStrategy https://t.co/SwIDIMhENO</t>
  </si>
  <si>
    <t>#digitalmarketingagency #DigitalMarketing #SMM #SEO https://t.co/OAJe8N6DYQ #socialmediamarketing #SEM #inovies #branding #Hyderabad #PPC #Marketing #MarketingStrategy https://t.co/c5NHX9XSbw</t>
  </si>
  <si>
    <t>#digitalmarketingagency #DigitalMarketing #SMM #SEO https://t.co/OAJe8N669i #socialmediamarketing #SEM #inovies #branding #Hyderabad #PPC #Marketing #MarketingStrategy https://t.co/BWV2uwEC9w</t>
  </si>
  <si>
    <t>#digitalmarketingagency #DigitalMarketing #SMM #SEO https://t.co/OAJe8N6DYQ #socialmediamarketing #SEM #inovies #branding #Hyderabad #PPC #Marketing #MarketingStrategy https://t.co/plnw6E2e3Z</t>
  </si>
  <si>
    <t>#digitalmarketingagency #DigitalMarketing #SMM #SEO https://t.co/OAJe8N669i #socialmediamarketing #SEM #inovies #branding #Hyderabad #PPC #Marketing #MarketingStrategy https://t.co/LtpZLtb0PJ</t>
  </si>
  <si>
    <t>#digitalmarketingagency #DigitalMarketing #SMM #SEO https://t.co/OAJe8N6DYQ #socialmediamarketing #SEM #inovies #branding #Hyderabad #PPC #Marketing #MarketingStrategy https://t.co/PrwszUCt0P</t>
  </si>
  <si>
    <t>#digitalmarketingagency #DigitalMarketing #SMM #SEO https://t.co/OAJe8N669i #socialmediamarketing #SEM #inovies #branding #Hyderabad #PPC #Marketing #MarketingStrategy https://t.co/KREnyu5okm</t>
  </si>
  <si>
    <t>#digitalmarketingagency #DigitalMarketing #SMM #SEO https://t.co/OAJe8N669i #socialmediamarketing #SEM #inovies #branding #Hyderabad #PPC #Marketing #MarketingStrategy https://t.co/suCyIWkyH6</t>
  </si>
  <si>
    <t>#digitalmarketingagency #DigitalMarketing #SMM #SEO https://t.co/OAJe8N669i #socialmediamarketing #SEM #inovies #branding #Hyderabad #PPC #Marketing #MarketingStrategy https://t.co/Z2v1dWUPjm</t>
  </si>
  <si>
    <t>#digitalmarketingagency #DigitalMarketing #SMM #SEO https://t.co/OAJe8N6DYQ #socialmediamarketing #SEM #inovies #branding #Hyderabad #PPC #Marketing #MarketingStrategy https://t.co/UWYlq5Ed54</t>
  </si>
  <si>
    <t>#digitalmarketingagency #DigitalMarketing #SMM #SEO https://t.co/OAJe8N6DYQ #socialmediamarketing #SEM #inovies #branding #Hyderabad #PPC #Marketing #MarketingStrategy https://t.co/goTeEYE9jK</t>
  </si>
  <si>
    <t>#digitalmarketingagency #DigitalMarketing #SMM #SEO https://t.co/OAJe8N669i #socialmediamarketing #SEM #inovies #branding #Hyderabad #PPC #Marketing #MarketingStrategy https://t.co/pFHSARz9xt</t>
  </si>
  <si>
    <t>#digitalmarketingagency #DigitalMarketing #SMM #SEO https://t.co/OAJe8N669i #socialmediamarketing #SEM #inovies #branding #Hyderabad #PPC #Marketing #MarketingStrategy https://t.co/tKoVOmgxhF</t>
  </si>
  <si>
    <t>#digitalmarketingagency #DigitalMarketing #SMM #SEO https://t.co/OAJe8N669i #socialmediamarketing #SEM #inovies #branding #Hyderabad #PPC #Marketing #MarketingStrategy https://t.co/0xmGGcvAAa</t>
  </si>
  <si>
    <t>#digitalmarketingagency #DigitalMarketing #SMM #SEO https://t.co/OAJe8N6DYQ #socialmediamarketing #SEM #inovies #branding #Hyderabad #PPC #Marketing #MarketingStrategy https://t.co/m9MjIw1y1D</t>
  </si>
  <si>
    <t>#digitalmarketingagency #DigitalMarketing #SMM #SEO https://t.co/OAJe8N6DYQ #socialmediamarketing #SEM #inovies #branding #Hyderabad #PPC #Marketing #MarketingStrategy https://t.co/blEIcRlEGf</t>
  </si>
  <si>
    <t>#digitalmarketingagency #DigitalMarketing #SMM #SEO https://t.co/OAJe8N6DYQ #socialmediamarketing #SEM #inovies #branding #Hyderabad #PPC #Marketing #MarketingStrategy https://t.co/4sw6kZOqZ9</t>
  </si>
  <si>
    <t>#digitalmarketingagency #DigitalMarketing #SMM #SEO https://t.co/OAJe8N6DYQ #socialmediamarketing #SEM #inovies #branding #Hyderabad #PPC #Marketing #MarketingStrategy https://t.co/edpudi2eCW</t>
  </si>
  <si>
    <t>#digitalmarketingagency #DigitalMarketing #SMM #SEO https://t.co/OAJe8N6DYQ #socialmediamarketing #SEM #inovies #branding #Hyderabad #PPC #Marketing #MarketingStrategy https://t.co/loMbiQ8G7a</t>
  </si>
  <si>
    <t>#digitalmarketingagency #DigitalMarketing #SMM #SEO https://t.co/OAJe8N6DYQ #socialmediamarketing #SEM #inovies #branding #Hyderabad #PPC #Marketing #MarketingStrategy https://t.co/s7mP6SXfqZ</t>
  </si>
  <si>
    <t>#digitalmarketingagency #DigitalMarketing #SMM #SEO https://t.co/OAJe8N6DYQ #socialmediamarketing #SEM #inovies #branding #Hyderabad #PPC #Marketing #MarketingStrategy https://t.co/VSrmyfAMfZ</t>
  </si>
  <si>
    <t>#digitalmarketingagency #DigitalMarketing #SMM #SEO https://t.co/OAJe8N6DYQ #socialmediamarketing #SEM #inovies #branding #Hyderabad #PPC #Marketing #MarketingStrategy https://t.co/0UxMtD5zrV</t>
  </si>
  <si>
    <t>#digitalmarketingagency #DigitalMarketing #SMM #SEO https://t.co/OAJe8N6DYQ #socialmediamarketing #SEM #inovies #branding #Hyderabad #PPC #Marketing #MarketingStrategy https://t.co/UhJkJaY6Vr</t>
  </si>
  <si>
    <t>#digitalmarketingagency #DigitalMarketing #SMM #SEO https://t.co/OAJe8N6DYQ #socialmediamarketing #SEM #inovies #branding #Hyderabad #PPC #Marketing #MarketingStrategy https://t.co/XKnQbEDUn4</t>
  </si>
  <si>
    <t>#digitalmarketingagency #DigitalMarketing #SMM #SEO https://t.co/OAJe8N6DYQ #socialmediamarketing #SEM #inovies #branding #Hyderabad #PPC #Marketing #MarketingStrategy https://t.co/igJpAN9Hmh</t>
  </si>
  <si>
    <t>#digitalmarketingagency #DigitalMarketing #SMM #SEO https://t.co/OAJe8N6DYQ #socialmediamarketing #SEM #inovies #branding #Hyderabad #PPC #Marketing #MarketingStrategy https://t.co/bX5HilWyFy</t>
  </si>
  <si>
    <t>#digitalmarketingagency #DigitalMarketing #SMM #SEO https://t.co/OAJe8N6DYQ #socialmediamarketing #SEM #inovies #branding #Hyderabad #PPC #Marketing #MarketingStrategy https://t.co/rlY59oYi5Y</t>
  </si>
  <si>
    <t>#digitalmarketingagency #DigitalMarketing #SMM #SEO https://t.co/OAJe8N6DYQ #socialmediamarketing #SEM #inovies #branding #Hyderabad #PPC #Marketing #MarketingStrategy https://t.co/whY42pSOkQ</t>
  </si>
  <si>
    <t>#digitalmarketingagency #DigitalMarketing #SMM #SEO https://t.co/OAJe8N6DYQ #socialmediamarketing #SEM #inovies #branding #Hyderabad #PPC #Marketing #MarketingStrategy https://t.co/DVC9njUWyJ</t>
  </si>
  <si>
    <t>#digitalmarketingagency #DigitalMarketing #SMM #SEO https://t.co/OAJe8N6DYQ #socialmediamarketing #SEM #inovies #branding #Hyderabad #PPC #Marketing #MarketingStrategy https://t.co/8HgZSosiHy</t>
  </si>
  <si>
    <t>#digitalmarketingagency #DigitalMarketing #SMM #SEO https://t.co/OAJe8N6DYQ #socialmediamarketing #SEM #inovies #branding #Hyderabad #PPC #Marketing #MarketingStrategy https://t.co/mQeOjupeQ5</t>
  </si>
  <si>
    <t>#digitalmarketingagency #DigitalMarketing #SMM #SEO https://t.co/OAJe8N6DYQ #socialmediamarketing #SEM #inovies #branding #Hyderabad #PPC #Marketing #MarketingStrategy https://t.co/jsYihWrSgo</t>
  </si>
  <si>
    <t>#digitalmarketingagency #DigitalMarketing #SMM #SEO https://t.co/OAJe8N6DYQ #socialmediamarketing #SEM #inovies #branding #Hyderabad #PPC #Marketing #MarketingStrategy https://t.co/jNWWLxhoCL</t>
  </si>
  <si>
    <t>#digitalmarketingagency #DigitalMarketing #SMM #SEO https://t.co/OAJe8N6DYQ #socialmediamarketing #SEM #inovies #branding #Hyderabad #PPC #Marketing #MarketingStrategy https://t.co/nGU34XMwve</t>
  </si>
  <si>
    <t>#digitalmarketingagency #DigitalMarketing #SMM #SEO https://t.co/OAJe8N6DYQ #socialmediamarketing #SEM #inovies #branding #Hyderabad #PPC #Marketing #MarketingStrategy https://t.co/htWiocHhHE</t>
  </si>
  <si>
    <t>#digitalmarketingagency #DigitalMarketing #SMM #SEO https://t.co/OAJe8N6DYQ #socialmediamarketing #SEM #inovies #branding #Hyderabad #PPC #Marketing #MarketingStrategy https://t.co/O7WjVGWKwF</t>
  </si>
  <si>
    <t>#digitalmarketingagency #DigitalMarketing #SMM #SEO https://t.co/OAJe8N6DYQ #socialmediamarketing #SEM #inovies #branding #Hyderabad #PPC #Marketing #MarketingStrategy https://t.co/zw7kDn8WyU</t>
  </si>
  <si>
    <t>#digitalmarketingagency #DigitalMarketing #SMM #SEO https://t.co/OAJe8N6DYQ #socialmediamarketing #SEM #inovies #branding #Hyderabad #PPC #Marketing #MarketingStrategy https://t.co/8yfON6XUin</t>
  </si>
  <si>
    <t>#digitalmarketingagency #DigitalMarketing #SMM #SEO https://t.co/OAJe8N6DYQ #socialmediamarketing #SEM #inovies #branding #Hyderabad #PPC #Marketing #MarketingStrategy https://t.co/rTj13N2Ni3</t>
  </si>
  <si>
    <t>#digitalmarketingagency #DigitalMarketing #SMM #SEO https://t.co/OAJe8N6DYQ #socialmediamarketing #SEM #inovies #branding #Hyderabad #PPC #Marketing #MarketingStrategy https://t.co/sxqKGxE4Hd</t>
  </si>
  <si>
    <t>#digitalmarketingagency #DigitalMarketing #SMM #SEO https://t.co/OAJe8N6DYQ #socialmediamarketing #SEM #inovies #branding #Hyderabad #PPC #Marketing #MarketingStrategy https://t.co/ICyK8YI7C5</t>
  </si>
  <si>
    <t>#digitalmarketingagency #DigitalMarketing #SMM #SEO https://t.co/OAJe8N6DYQ #socialmediamarketing #SEM #inovies #branding #Hyderabad #PPC #Marketing #MarketingStrategy https://t.co/foIm07qJ1U</t>
  </si>
  <si>
    <t>#digitalmarketingagency #DigitalMarketing #SMM #SEO https://t.co/OAJe8N6DYQ #socialmediamarketing #SEM #inovies #branding #Hyderabad #PPC #Marketing #MarketingStrategy https://t.co/TVkOANvRl6</t>
  </si>
  <si>
    <t>#digitalmarketingagency #DigitalMarketing #SMM #SEO https://t.co/OAJe8N6DYQ #socialmediamarketing #SEM #inovies #branding #Hyderabad #PPC #Marketing #MarketingStrategy https://t.co/BsM2x797cu</t>
  </si>
  <si>
    <t>#digitalmarketingagency #DigitalMarketing #SMM #SEO https://t.co/OAJe8N6DYQ #socialmediamarketing #SEM #inovies #branding #Hyderabad #PPC #Marketing #MarketingStrategy https://t.co/8jB4XKPRTZ</t>
  </si>
  <si>
    <t>#digitalmarketingagency #DigitalMarketing #SMM #SEO https://t.co/OAJe8N6DYQ #socialmediamarketing #SEM #inovies #branding #Hyderabad #PPC #Marketing #MarketingStrategy https://t.co/rX2lqF1c52</t>
  </si>
  <si>
    <t>Where should you post! http://t.co/78rXekFRH0</t>
  </si>
  <si>
    <t>Google is launching a couple of updates to its cloud-based big data products at the Hadoop Summit in Brussels today.</t>
  </si>
  <si>
    <t>Google Helpouts will be shutting down on April 20 2015 http://t.co/3YAMZEBxVu</t>
  </si>
  <si>
    <t>What is Google penguin algorithm? How they are effecting the existing websites?
http://t.co/zG9ykFqr2y http://t.co/WiCfAUpkXZ</t>
  </si>
  <si>
    <t>MEANS AND WAYS TO PREVENT YOUR WEBSITE FROM HACKING
http://t.co/NW3t4wuWfm http://t.co/ZYI7QUIFsa</t>
  </si>
  <si>
    <t>10 Simple ways to drive better quality leads from your Website 
http://t.co/cpcW3jFWKu</t>
  </si>
  <si>
    <t>10 Simple ways to drive better quality leads from your Website  http://t.co/cpcW3jFWKu #online leads #website leads #seo via @Inovies</t>
  </si>
  <si>
    <t>Useful Open source development tools for PHP Development Companies http://t.co/QqFSIZmQkC</t>
  </si>
  <si>
    <t>Hack Into Gmail And Facebook Using Kali Linux! - NOTE: We aren't trying to tell you to hack into the websites. Kal... http://t.co/IqmMt39PBw</t>
  </si>
  <si>
    <t>India is one of the fast growing country in Cloud Market - India will be one of the leading adopters of cloud serv... http://t.co/8OLNjlyqAY</t>
  </si>
  <si>
    <t>better to ask the Experienced, instead of Experts! [Just Saying]</t>
  </si>
  <si>
    <t>How to follow up with your client prospects - Every small business pays great attention to reaching out to new cus... http://t.co/JlUeiMqB7u</t>
  </si>
  <si>
    <t>Why Hiring the Right IT Person is Crucial to Start-Up Success http://t.co/l58P643Ctd</t>
  </si>
  <si>
    <t>From Now You Can Get Microsoft Office 365 for $6.99 a Month - Microsoftbegan selling Office 365 Personal on Tuesda... http://t.co/qJbI5foxP1</t>
  </si>
  <si>
    <t>WHY SEM IS BETTER THAN SEO - What SEO is justifiably famous for is its ability to convince the search engines--the... http://t.co/HytZpDNgG0</t>
  </si>
  <si>
    <t>Why Your Business Needs a Single Customer View ! - No matter what industry you're in, all customers want to feel l... http://t.co/9nipFKeCdw</t>
  </si>
  <si>
    <t>How often you post on social media Networks? - How want to connect with followers without driving them away? Stri... http://t.co/5igUx8qll6</t>
  </si>
  <si>
    <t>How often you post on social media Networks? http://t.co/krXPuqDi2u via @Inovies</t>
  </si>
  <si>
    <t>Most Successful Content Formats in #2023 survey done by Semrush &amp;amp; Italics
#SEO #SMM #SMO #digitalmarketingagency #DigitalMarketing #inovies #Marketing #Branding https://t.co/QdmH4HFB0n</t>
  </si>
  <si>
    <t>92 MPs Suspended. A significant development that raises questions about the dynamics within the legislative body.
NOT UNDERSTANDING - WHO IS AGAINST WHO?
#92MPs #india #PoliticsToday #RedAlert #inovies #BJP #BJPGovernment #Congress #CongressParty #GoodGovernance https://t.co/npLHq1OKT8</t>
  </si>
  <si>
    <t>#BREAKING_NEWS_xD83D__xDEA8_: #COVID variant #JN1: First case detected in #India, Centre issues #advisory to States _xD83D__xDE37_⚡️
#inovies https://t.co/OAJe8N6DYQ</t>
  </si>
  <si>
    <t>#Adobe and #Figma terminated the acquisition agreement. Adobe abandons $20B #acquisition of Figma.  As a termination fee, Adobe must pay Figma $1B. Probably not the outcome they wanted.
Meanwhile, #Designers celebrating: No more burning cash on hefty subscriptions!
#inovies https://t.co/7CYiM1B8j7</t>
  </si>
  <si>
    <t>Seriously #Wikipedia is very Fast ⚡️
#DawoodIbrahim no more ⁉️
#inovies https://t.co/OAJe8N669i https://t.co/llDcuVsXJp</t>
  </si>
  <si>
    <t>Zero to Hero 
What an inspiring journey _xD83D__xDD25_ Congrats  _xD83D__xDC95_#PallaviPrashanth #BiggBossTelugu7 Winner _xD83D__xDCF7_
#inovies https://t.co/OAJe8N669i https://t.co/hOKBf0HvYn</t>
  </si>
  <si>
    <t>#digitalmarketingagency #DigitalMarketing #SMM #SEO https://t.co/OAJe8N6DYQ #socialmediamarketing #SEM #inovies #branding #Hyderabad #PPC #Marketing #MarketingStrategy https://t.co/RY0EVJ93RW</t>
  </si>
  <si>
    <t>https://t.co/6W6ph3wCRh
#ecommerce #inovies https://t.co/aXMLcXhGOz</t>
  </si>
  <si>
    <t>Coffee vs #Socialmedia https://t.co/Vf99c7vaPy</t>
  </si>
  <si>
    <t>The new features include Lens in Maps, Live View walking navigation, Address Descriptors and more. Their goal is to simplify navigation for users in India.
#inovies #SEO #SMM #SMO #branding #Digitalmarketing #digitalmarketingagency #Marketing https://t.co/cNwxujxUK4 https://t.co/X2ZSynHIdL</t>
  </si>
  <si>
    <t>Utilize Instagram stories and reels: Leverage Instagram's features like stories and reels for dynamic and visually appealing content. #digitalmarketingagency #Hyderabad #Inovies https://t.co/sHR7uMu0IX</t>
  </si>
  <si>
    <t>Implement native video on platforms: Share engaging native videos on platforms like Facebook and Twitter to boost visibility and user engagement. #digitalmarketingagency #Hyderabad #Inovies https://t.co/sHR7uMu0IX</t>
  </si>
  <si>
    <t>Utilize social media for employee advocacy: Encourage employees to share company updates and achievements on their personal social media accounts to amplify brand reach.
#digitalmarketingagency #Hyderabad #Inovies https://t.co/sHR7uMu0IX</t>
  </si>
  <si>
    <t>Encourage user-generated reviews on social media: Prompt satisfied customers to share positive reviews on social media platforms, building credibility and trust.
#digitalmarketingagency #Hyderabad #Inovies https://t.co/sHR7uMu0IX</t>
  </si>
  <si>
    <t>Utilize social media polls for engagement: Engage your audience by creating polls on platforms like Twitter or Instagram to gather opinions and preferences.
#digitalmarketingagency #Hyderabad #Inovies https://t.co/HruRPasQRc</t>
  </si>
  <si>
    <t>Use storytelling in your social media posts: Craft compelling narratives in your posts to humanize your brand and connect with your audience emotionally.
#digitalmarketingagency #Hyderabad #Inovies https://t.co/HruRPasQRc</t>
  </si>
  <si>
    <t>Utilize Facebook Groups for community building: Create and nurture a Facebook Group to foster community engagement and discussions around your brand. #digitalmarketingagency #Hyderabad #Inovies https://t.co/HruRPasQRc</t>
  </si>
  <si>
    <t>Leverage user-generated content on social media: Feature content created by your audience, turning customers into advocates and building a sense of community. #digitalmarketingagency #Hyderabad #Inovies https://t.co/HruRPasQRc</t>
  </si>
  <si>
    <t>Utilize Pinterest for visual content: Showcase visually appealing content on Pinterest, particularly if your brand aligns with lifestyle or creative themes. #digitalmarketingagency #Hyderabad #Inovies https://t.co/HruRPasQRc</t>
  </si>
  <si>
    <t>Collaborate with micro-influencers: Partner with niche micro-influencers to tap into their dedicated audience and build authentic connections. #digitalmarketingagency #Hyderabad #Inovies https://t.co/HruRPasQRc</t>
  </si>
  <si>
    <t>Conduct regular website audits for SEO:Periodically assess website content, meta tags, and backlinks to identify and address SEO opportunities or issues.#digitalmarketingagency #Hyderabad #Inovies
https://t.co/sHR7uMu0IX</t>
  </si>
  <si>
    <t>Optimize website navigation for user experience:Streamline website menus and navigation paths for easy exploration, ensuring a seamless and intuitive user experience.#digitalmarketingagency #Hyderabad #Inovies https://t.co/sHR7uMu0IX</t>
  </si>
  <si>
    <t>Implement clear and compelling CTAs: Place persuasive and visually prominent Call-to-Action buttons, like "Shop Now" or "Subscribe," to guide users toward desired actions.#digitalmarketingagency #Hyderabad #Inovies https://t.co/sHR7uMu0IX</t>
  </si>
  <si>
    <t>Utilize user-generated content for authenticity:
Showcase customer photos using your product on Instagram, highlighting real experiences to build trust and authenticity around your brand. #digitalmarketingagency #Hyderabad #Inovies https://t.co/sHR7uMu0IX</t>
  </si>
  <si>
    <t>5 Regularly update your digital marketing plan: Adapt your strategy based on changing customer behaviors or industry trends, ensuring continued relevance and effectiveness. #digitalmarketingagency #Hyderabad #Inovies</t>
  </si>
  <si>
    <t>4 Conduct a thorough competitor analysis - Analyze competitors' websites, social media presence, and advertising strategies to uncover opportunities for differentiation. #digitalmarketingagency #Hyderabad #Inovies</t>
  </si>
  <si>
    <t>3 Set measurable and realistic goals - Aim to increase website traffic by 20% within three months through a combination of content marketing and social media efforts.#digitalmarketingagency #Hyderabad #Inovies</t>
  </si>
  <si>
    <t>2 Develop a comprehensive digital marketing strategy - Craft a plan incorporating SEO, social media, and email campaigns to increase online visibility and drive customer engagement.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</si>
  <si>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https://t.co/cAPcMvVLLQ</t>
  </si>
  <si>
    <t>#DigitalMarketing #OnlineMarketing #SEO #EcommerceMarketing #ContentMarketing #DigitalStrategy #SEM #Branding #SMM #PPC #MarketingTips #BrandBuilding #SEOtips #OnlineAdvertising #SearchRankings #OnlinePresence #ROI #inovies https://t.co/HruRPasQRc #Hyderabad https://t.co/HI5smZDqwy</t>
  </si>
  <si>
    <t>#DigitalMarketing #OnlineMarketing #SEO #EcommerceMarketing #ContentMarketing #DigitalStrategy #SEM #Branding #SMM #PPC #MarketingTips #BrandBuilding #SEOtips #OnlineAdvertising #SearchRankings #OnlinePresence #ROI #inovies https://t.co/HruRPasQRc #Hyderabad https://t.co/c1dboAafHL</t>
  </si>
  <si>
    <t>#DigitalMarketing #OnlineMarketing #SEO #EcommerceMarketing #ContentMarketing #DigitalStrategy #SEM #Branding #SMM #PPC #MarketingTips #BrandBuilding #SEOtips #OnlineAdvertising #SearchRankings #OnlinePresence #ROI #inovies https://t.co/HruRPasQRc #Hyderabad https://t.co/M4m73XuGip</t>
  </si>
  <si>
    <t>#DigitalMarketing #OnlineMarketing #SEO #EcommerceMarketing #ContentMarketing #DigitalStrategy #SEM #Branding #SMM #PPC #MarketingTips #BrandBuilding #SEOtips #OnlineAdvertising #SearchRankings #OnlinePresence #ROI #inovies https://t.co/HruRPasQRc #Hyderabad https://t.co/EpI5sxvZd8</t>
  </si>
  <si>
    <t>#DigitalMarketing #OnlineMarketing #SEO #EcommerceMarketing #ContentMarketing #DigitalStrategy #SEM #Branding #SMM #PPC #MarketingTips #BrandBuilding #SEOtips #OnlineAdvertising #SearchRankings #OnlinePresence #ROI #inovies https://t.co/HruRPasQRc #Hyderabad https://t.co/xLKx7DQ1wx</t>
  </si>
  <si>
    <t>#DigitalMarketing #OnlineMarketing #SEO #EcommerceMarketing #ContentMarketing #DigitalStrategy #SEM #Branding #SMM #PPC #MarketingTips #BrandBuilding #SEOtips #OnlineAdvertising #SearchRankings #OnlinePresence #ROI #inovies https://t.co/HruRPasQRc #Hyderabad https://t.co/pgiYPbGz44</t>
  </si>
  <si>
    <t>What's your go-to productivity hack during a busy workday?
#AntiCorruptionDay #DontIgnoreUs @Inovies #DeepikaPadukone</t>
  </si>
  <si>
    <t>#DigitalMarketing #OnlineMarketing #SEO #EcommerceMarketing #ContentMarketing #DigitalStrategy #SEM #Branding #SMM #PPC #MarketingTips #BrandBuilding #SEOtips #OnlineAdvertising #SearchRankings #OnlinePresence #ROI #inovies https://t.co/HruRPasQRc https://t.co/aWpsB1PVTe</t>
  </si>
  <si>
    <t>#DigitalMarketing #OnlineMarketing #SEO #EcommerceMarketing #ContentMarketing #DigitalStrategy #SEM #Branding #SMM #PPC #MarketingTips #BrandBuilding #SEOtips #OnlineAdvertising #SearchRankings #OnlinePresence #ROI #inovies https://t.co/HruRPasQRc https://t.co/Cuo3puAJPi</t>
  </si>
  <si>
    <t>#DigitalMarketing #OnlineMarketing #SEO #EcommerceMarketing #ContentMarketing #DigitalStrategy #SEM #Branding #SMM #PPC #MarketingTips #BrandBuilding #SEOtips #OnlineAdvertising #SearchRankings #OnlinePresence #ROI #inovies https://t.co/HruRPasQRc https://t.co/xFCtP1TJjE</t>
  </si>
  <si>
    <t>#DigitalMarketing #OnlineMarketing #SEO #EcommerceMarketing #ContentMarketing #DigitalStrategy #SEM #Branding #SMM #PPC #MarketingTips #BrandBuilding #SEOtips #OnlineAdvertising #SearchRankings  #OnlinePresence  #ROI #inovies https://t.co/sHR7uMu0IX https://t.co/VaszB7d4zC</t>
  </si>
  <si>
    <t>#DigitalMarketing #OnlineMarketing #SEO #EcommerceMarketing #ContentMarketing #DigitalStrategy #SEM #Branding #SMM #PPC #MarketingTips #BrandBuilding #SEOtips #OnlineAdvertising #SearchRankings #OnlinePresence #ROI #inovies https://t.co/HruRPasQRc https://t.co/dGhd061KQ6</t>
  </si>
  <si>
    <t>#DigitalMarketing #OnlineMarketing #SEO #EcommerceMarketing #ContentMarketing #DigitalStrategy #SEM #Branding #SMM #PPC #MarketingTips #BrandBuilding #SEOtips #OnlineAdvertising #SearchRankings #OnlinePresence #ROI #inovies https://t.co/HruRPasQRc https://t.co/kmztWhhr4W</t>
  </si>
  <si>
    <t>#DigitalMarketing #OnlineMarketing #SEO #EcommerceMarketing #ContentMarketing #DigitalStrategy #SEM #Branding #SMM #PPC #MarketingTips #BrandBuilding #SEOtips #OnlineAdvertising #SearchRankings #OnlinePresence #ROI #inovies https://t.co/HruRPasQRc https://t.co/HjUGB8f4Gv</t>
  </si>
  <si>
    <t>#DigitalMarketing #OnlineMarketing #SEO #EcommerceMarketing #ContentMarketing #DigitalStrategy #SEM #Branding #SMM #PPC #MarketingTips #BrandBuilding #SEOtips #OnlineAdvertising #SearchRankings #OnlinePresence #ROI #inovies https://t.co/HruRPasQRc https://t.co/Go7anFZ5u9</t>
  </si>
  <si>
    <t>#DigitalMarketing #OnlineMarketing #SEO #EcommerceMarketing #ContentMarketing #DigitalStrategy #SEM #Branding #SMM #PPC #MarketingTips #BrandBuilding #SEOtips #OnlineAdvertising #SearchRankings #OnlinePresence #ROI #inovies https://t.co/HruRPasQRc https://t.co/bz6nupD0iI</t>
  </si>
  <si>
    <t>#DigitalMarketing #OnlineMarketing #SEO #EcommerceMarketing #ContentMarketing #DigitalStrategy #SEM #Branding #SMM #PPC #MarketingTips #BrandBuilding #SEOtips #OnlineAdvertising #SearchRankings #OnlinePresence #ROI #inovies https://t.co/HruRPasQRc https://t.co/8Li2RWLcrf</t>
  </si>
  <si>
    <t>#DigitalMarketing #OnlineMarketing #SEO #EcommerceMarketing #ContentMarketing #DigitalStrategy #SEM #Branding #SMM #PPC #MarketingTips #BrandBuilding #SEOtips #OnlineAdvertising #SearchRankings #OnlinePresence #ROI #inovies https://t.co/HruRPasQRc https://t.co/1FLrsy1c5w</t>
  </si>
  <si>
    <t>#DigitalMarketing #OnlineMarketing #SEO #EcommerceMarketing #ContentMarketing #DigitalStrategy #SEM #Branding #SMM #PPC #MarketingTips #BrandBuilding #SEOtips #OnlineAdvertising #SearchRankings #OnlinePresence #ROI #inovies https://t.co/HruRPasQRc https://t.co/kkeNGLzDrv</t>
  </si>
  <si>
    <t>#DigitalMarketing #OnlineMarketing #SEO #EcommerceMarketing #ContentMarketing #DigitalStrategy #SEM #Branding #SMM #PPC #MarketingTips #BrandBuilding #SEOtips #OnlineAdvertising #SearchRankings #OnlinePresence #ROI #inovies https://t.co/HruRPasQRc https://t.co/Eo83zNIWit</t>
  </si>
  <si>
    <t>#DigitalMarketing #OnlineMarketing #SEO #EcommerceMarketing #ContentMarketing #DigitalStrategy #SEM #Branding #SMM #PPC #MarketingTips #BrandBuilding #SEOtips #OnlineAdvertising #SearchRankings #OnlinePresence #ROI #inovies https://t.co/HruRPasQRc https://t.co/DbEskkgRPe</t>
  </si>
  <si>
    <t>#DigitalMarketing #OnlineMarketing #SEO #EcommerceMarketing #ContentMarketing #DigitalStrategy #SEM #Branding #SMM #PPC #MarketingTips #BrandBuilding #SEOtips #OnlineAdvertising #SearchRankings #OnlinePresence #ROI #inovies https://t.co/HruRPasQRc https://t.co/fteofloBEX</t>
  </si>
  <si>
    <t>#DigitalMarketing #OnlineMarketing #SEO #EcommerceMarketing #ContentMarketing #DigitalStrategy #SEM #Branding #SMM #PPC #MarketingTips #BrandBuilding #SEOtips #OnlineAdvertising #SearchRankings #OnlinePresence #ROI #inovies https://t.co/HruRPasQRc https://t.co/tUxRsDavX0</t>
  </si>
  <si>
    <t>AI-Driven Advertising _xD83D__xDC69_‍_xD83D__xDCBC_
Implement AI in programmatic advertising for targeted campaigns.
Optimize ad spend by analyzing real-time performance data.
Increase ad relevance through AI-powered audience segmentation.
#inovies</t>
  </si>
  <si>
    <t>Social Media Insights and Automation _xD83E__xDDE0_
Utilize AI to analyze #socialmedia trends and user engagement.
Automate social media posting schedules for optimal reach.
Enhance social listening to understand customer sentiments.
#inovies</t>
  </si>
  <si>
    <t>Automated Email Marketing _xD83D__xDCE7_
Use AI to personalize email campaigns based on user behavior.
Automate email scheduling, A/B #testing, and content customization.
Increase email relevance, open rates, and conversions.
#inovies</t>
  </si>
  <si>
    <t>AI-Enhanced Content Creation ✍️
Employ AI tools for #content generation and curation.
Enhance creativity and efficiency in content marketing.
Ensure content aligns with audience preferences and current trends.
#inovies</t>
  </si>
  <si>
    <t>Voice Search Optimization _xD83D__xDD0A_
With the rise of voice-activated devices, optimize content for voice search.
Understand natural language processing to align with user queries.
Stay ahead in #SEO by adapting to the evolving search landscape.
#inovies</t>
  </si>
  <si>
    <t>Predictive Analytics for Campaign Optimization _xD83E__xDD29_
Use AI #algorithms to predict #campaign performance.
Optimize marketing strategies based on predictive insights.
Maximize #ROI by focusing efforts on channels and content likely to succeed.
#inovies</t>
  </si>
  <si>
    <t>Data-Driven Decision Making _xD83E__xDD51_
Leverage AI to analyze vast amounts of data quickly and accurately.
Make informed #marketing decisions based on real-time insights.
Identify trends, preferences, and opportunities through advanced #analytics.
#inovies</t>
  </si>
  <si>
    <t>#Chatbots for Customer Interaction _xD83E__xDD16_
Implement #AI-driven chatbots for instant customer support.
Improve response times and handle routine queries, freeing up human resources.
Enhance user experience with 24/7 availability.
#inovies</t>
  </si>
  <si>
    <t>Personalized Customer Experience _xD83E__xDEF0_
AI enables hyper-personalization by analyzing user behavior.
Tailor content &amp;amp; recommendations based on preferences.
Enhance customer satisfaction &amp;amp; engagement through personalized experiences.
#PersonalizedCustomerExperience #inovies</t>
  </si>
  <si>
    <t>Digital Marketing Trends 2024 _xD83D__xDEA9_
Follow the thread below _xD83D__xDC47_
#DigitalMarketing #MarketingStrategy #AIinMarketing #ContentCreation #SocialMediaMarketing #DataDrivenDecisions #SEOStrategies #EmailAutomation #OnlineAdvertising #CustomerEngagement #MarketingAnalytics #BrandBuilding https://t.co/AY44zecHFR</t>
  </si>
  <si>
    <t>Another proxy SquareX has entered the market, bringing new possibilities for enhanced connectivity and security.
SquareX raises $6 Mn to empower users to be fearless online
#Proxy #TechInnovation #CyberSecurity #Networks #TechNews #InternetPrivacy #inovies https://t.co/st8XQ1QFOR</t>
  </si>
  <si>
    <t>#AI #ArtificialIntelligence #MachineLearning #Automation #Robotics #AIFuture #TechInnovation #TechJobs #JobOpportunity #FutureOfWorkAI #Jobs #inovies https://t.co/KdBAfCAxwp</t>
  </si>
  <si>
    <t>AI is advancing! Models like Gemini excel in understanding diverse data types (MMLU), hinting at a future where technology becomes more user-friendly and efficient. #AI #TechProgress #GeminiAI  #ChatGPT  #inovies https://t.co/SzWILu2kSI</t>
  </si>
  <si>
    <t>#DigitalMarketing #SEO #SearchEngineOptimization #ContentMarketing #backlinks #OnlineVisibility #MarketingStrategy #KeywordOptimization #AlgorithmChanges #IndustryTrends #BrandPresence #AudienceEngagement #inovies #digitalmarketingagency https://t.co/iPVeCcjmD7</t>
  </si>
  <si>
    <t>Why did the SEO specialist get kicked out of the party? 
They couldn't stop inserting keywords into every conversation.
hey it's just for fun _xD83E__xDD29_ Have a great day
https://t.co/OAJe8N669i
#DigitalMarketing #SEO #SearchEngineOptimization #ContentMarketing #inovies https://t.co/si4V7rLrfQ</t>
  </si>
  <si>
    <t>20 Perfect &amp;amp; Advanced Easy to Use #BusinessManagement Templates you can get from #ChatGPT 
#inovies #SEO #SMM #SMO #branding #Digitalmarketing #digitalmarketingagency #Marketing
https://t.co/OAJe8N669i https://t.co/VKVLDUor9r</t>
  </si>
  <si>
    <t>#CareerDevelopment To stand out at work, keep an eye on your boss's challenges. Identify 1-2 problems &amp;amp; present a solution plan for next month, quarter, or year. Repeat this consistently, &amp;amp; watch your #CareerGrowth.  
#ProblemSolver #Inovies #careeradvice https://t.co/rq0Xz5ypUh</t>
  </si>
  <si>
    <t>#socialmediamarketing #inovies https://t.co/wIUtFMVDkb</t>
  </si>
  <si>
    <t>#design #development #digitalmarketer https://t.co/f8lvG3ZjRa</t>
  </si>
  <si>
    <t>@Inovies #DigitalMarketing https://t.co/3944868Nui</t>
  </si>
  <si>
    <t>@Inovies https://t.co/vKRh6RbY1L</t>
  </si>
  <si>
    <t>#inovies https://t.co/Ywjs9BPsid</t>
  </si>
  <si>
    <t>_xD835__xDC0C__xD835__xDC1A__xD835__xDC2C__xD835__xDC2D__xD835__xDC1E__xD835__xDC2B_ _xD835__xDC2D__xD835__xDC21__xD835__xDC1E_ _xD835__xDC16__xD835__xDC1E__xD835__xDC1B_: _xD835__xDC18__xD835__xDC28__xD835__xDC2E__xD835__xDC2B_ _xD835__xDC06__xD835__xDC2E__xD835__xDC22__xD835__xDC1D__xD835__xDC1E_ _xD835__xDC2D__xD835__xDC28_ _xD835__xDC05__xD835__xDC2E__xD835__xDC25__xD835__xDC25_-_xD835__xDC12__xD835__xDC2D__xD835__xDC1A__xD835__xDC1C__xD835__xDC24_ _xD835__xDC0C__xD835__xDC1A__xD835__xDC2C__xD835__xDC2D__xD835__xDC1E__xD835__xDC2B__xD835__xDC32_
#web #webdeveloper #seo #DigitalMarketing #digitalmarketingagency #SEO #SMO #SMM #Marketing #Inovies #fullstack #FrontEnd #backend #Database #server #applications #informationtechnology https://t.co/YBHRh6T5zb</t>
  </si>
  <si>
    <t>Engage in social listening for insights: Monitor social media conversations about your brand and industry to gain valuable insights and respond proactively. #digitalmarketingagency #Hyderabad #Inovies https://t.co/sHR7uMu0IX</t>
  </si>
  <si>
    <t>Utilize social media analytics: Leverage analytics tools to track performance metrics, understand audience behavior, and refine your social media strategy. #digitalmarketingagency #Hyderabad #Inovies https://t.co/sHR7uMu0IX</t>
  </si>
  <si>
    <t>Create a content calendar for consistency: Plan and schedule social media posts in advance to maintain a consistent and cohesive online presence. #digitalmarketingagency #Hyderabad #Inovies https://t.co/sHR7uMu0IX</t>
  </si>
  <si>
    <t>Here are 100 unique digital marketing tips across various aspects of online marketing. _xD83D__xDC47_ 4th set #digitalmarketingagency #Hyderabad #Inovies https://t.co/sHR7uMu0IX</t>
  </si>
  <si>
    <t>Utilize Instagram and Facebook Live: Connect with your audience in real-time by using live video features on Instagram and Facebook.
#digitalmarketingagency #Hyderabad #Inovies https://t.co/HruRPasQRc</t>
  </si>
  <si>
    <t>Test different posting frequencies: Experiment with posting frequencies to find the optimal schedule for engaging your audience. #digitalmarketingagency #Hyderabad #Inovies https://t.co/HruRPasQRc</t>
  </si>
  <si>
    <t>Utilize social media advertising strategically: Invest in targeted social media advertising to reach specific demographics and achieve marketing objectives. #digitalmarketingagency #Hyderabad #Inovies https://t.co/HruRPasQRc</t>
  </si>
  <si>
    <t>Utilize LinkedIn for B2B marketing: Establish a professional presence on LinkedIn to connect with industry professionals and showcase B2B offerings. #digitalmarketingagency #Hyderabad #Inovies https://t.co/HruRPasQRc</t>
  </si>
  <si>
    <t>Utilize Instagram stories and reels: Leverage Instagram's features like stories and reels for dynamic and visually appealing content.#digitalmarketingagency #Hyderabad #Inovies https://t.co/HruRPasQRc</t>
  </si>
  <si>
    <t>Implement native video on platforms: Share engaging native videos on platforms like Facebook and Twitter to boost visibility and user engagement.#digitalmarketingagency #Hyderabad #Inovies https://t.co/HruRPasQRc</t>
  </si>
  <si>
    <t>Engage in social listening for insights: Monitor social media conversations about your brand and industry to gain valuable insights and respond proactively.#digitalmarketingagency #Hyderabad #Inovies https://t.co/HruRPasQRc</t>
  </si>
  <si>
    <t>Utilize exit-intent popups for retention: Capture leaving visitors' attention with exit-intent popups offering discounts or valuable content to encourage retention.#digitalmarketingagency #Hyderabad #Inovies https://t.co/sHR7uMu0IX</t>
  </si>
  <si>
    <t>Optimize landing pages for conversions: Design landing pages with a clear focus on the desired user action, removing distractions and optimizing elements for higher conversion rates. #digitalmarketingagency #Hyderabad #Inovies https://t.co/sHR7uMu0IX</t>
  </si>
  <si>
    <t>Implement chatbots for customer support: Integrate chatbots to provide instant assistance, improving customer support efficiency and enhancing overall user satisfaction.#digitalmarketingagency #Hyderabad #Inovies https://t.co/sHR7uMu0IX</t>
  </si>
  <si>
    <t>Prioritize secure website connections (HTTPS): Secure your website with HTTPS to build trust and protect user data, a crucial factor in search engine ranking algorithms.#digitalmarketingagency #Hyderabad #Inovies https://t.co/sHR7uMu0IX</t>
  </si>
  <si>
    <t>11 Conduct regular SWOT analyses: Assess internal strengths, like a strong customer support team, and external opportunities, such as emerging markets, to refine marketing strategies. #digitalmarketingagency #Hyderabad #Inovies</t>
  </si>
  <si>
    <t>10 Leverage data analytics for decision-making: Analyze website traffic data to identify the most popular pages and optimize content or layout accordingly for better user engagement. #digitalmarketingagency #Hyderabad #Inovies</t>
  </si>
  <si>
    <t>9 Use storytelling to engage your audience: Share compelling stories about your brand's journey, mission, or satisfied customers to connect emotionally with your audience. #digitalmarketingagency #Hyderabad #Inovies</t>
  </si>
  <si>
    <t>8 Implement A/B testing for continuous improvement:  Test two variations of a promotional email to determine which subject line generates a higher open rate and engagement. #digitalmarketingagency #Hyderabad #Inovies</t>
  </si>
  <si>
    <t>China doubles down on real-name registration laws, forbidding anonymous #online posts  - @Inovies</t>
  </si>
  <si>
    <t>#DigitalMarketing tip from #inovies with reference to Google https://t.co/pojwrjBCuP</t>
  </si>
  <si>
    <t>"Work until you no longer have to introduce yourself".</t>
  </si>
  <si>
    <t>The Middle East IT spending is projected to cross USD 150 billion in  2017, according to the latest forecast by Gartner, Inc.</t>
  </si>
  <si>
    <t>Republic Day is a good time to examine who we are and how we got here. Happy Republic Day - @Inovies</t>
  </si>
  <si>
    <t>Inovies web design A larger online space even for your smaller business needs https://t.co/kEQ62EW33b https://t.co/soN8V9f6LO</t>
  </si>
  <si>
    <t>Attention!!These design errors might earn you a title “bad website design” https://t.co/nXhTnPJIH4</t>
  </si>
  <si>
    <t>The Wealthiest Web Technology Companies in 2014 http://t.co/L8vv89tnDx http://t.co/qFTWZ4K9WX</t>
  </si>
  <si>
    <t>Quiz: Web Technology 2014 http://t.co/L8vv89tnDx http://t.co/5jdyE9jXUG</t>
  </si>
  <si>
    <t>Skype is now enabling users to leverage its platform within their browsers, company has unveiled a new product 'Skype for Web' (Beta)</t>
  </si>
  <si>
    <t>Digital drives in-store traffic! http://t.co/gSZ2FfiCMk</t>
  </si>
  <si>
    <t>To make sense of today's complex customer journey, better measurement is critical. http://t.co/8EJCFmYitZ</t>
  </si>
  <si>
    <t>Cloud security http://t.co/ToWUGYrLYn</t>
  </si>
  <si>
    <t>Magical Formula to Boost Traffic for your Website 
https://t.co/kQbsJkWRrI</t>
  </si>
  <si>
    <t>Trump AI Bot: A Robotic President?
Dive into the hilarious world of the Trump AI robot – is it the future of politics or just a comedic twist?
#inovies #SEO #SMM #SMO #branding #Digitalmarketing #digitalmarketingagency #Marketing https://t.co/cNwxujxUK4 https://t.co/VTz2RfXcZ4</t>
  </si>
  <si>
    <t>The WHO has classified the JN.1 coronavirus strain as a "variant of interest", but said it did not pose much threat to public health.  
DON'T PANIC - BE SAFE
#WHO #JN1Variant #Covid #Coronavirus #pandemic #India #india https://t.co/sHR7uMuyyv https://t.co/pxat485RlF</t>
  </si>
  <si>
    <t>Utilize social media for customer service: Provide responsive and helpful customer service on social media platforms, addressing queries and concerns promptly. #digitalmarketingagency #Hyderabad #Inovies https://t.co/HruRPasQRc</t>
  </si>
  <si>
    <t>Optimize profiles for searchability: Optimize social media profiles with relevant keywords to improve discoverability in search results. #digitalmarketingagency #Hyderabad #Inovies https://t.co/HruRPasQRc</t>
  </si>
  <si>
    <t>Implement Instagram Shopping for E-commerce: Utilize Instagram's shopping features to showcase products and simplify the purchasing process for users.  #digitalmarketingagency #Hyderabad #Inovies https://t.co/HruRPasQRc</t>
  </si>
  <si>
    <t>Use compelling visuals and multimedia: Incorporate high-quality images, infographics, and videos to enhance content engagement and convey information more effectively.#digitalmarketingagency #Hyderabad #Inovies https://t.co/sHR7uMu0IX</t>
  </si>
  <si>
    <t>Prioritize mobile-first design: Design your website with a mobile-first approach, ensuring a seamless and visually appealing experience for users on smartphones and tablets.#digitalmarketingagency #Hyderabad #Inovies https://t.co/sHR7uMu0IX</t>
  </si>
  <si>
    <t>Utilize schema markup for rich snippets: Enhance search engine results with schema markup to provide users with additional context, such as star ratings or event details.#digitalmarketingagency #Hyderabad #Inovies https://t.co/sHR7uMu0IX</t>
  </si>
  <si>
    <t>Implement a blog for fresh content: Introduce a blog section to regularly publish informative and relevant content, demonstrating industry expertise and attracting organic traffic.#digitalmarketingagency #Hyderabad #Inovies https://t.co/sHR7uMu0IX</t>
  </si>
  <si>
    <t>21 Implement a social media content strategy: Share a mix of curated industry content, engaging visuals, and promotional posts to provide value and foster audience engagement. #digitalmarketingagency #Hyderabad #Inovies</t>
  </si>
  <si>
    <t>20 Establish a content calendar for consistency: Plan a monthly content calendar outlining blog posts, social media updates, and email newsletters to maintain a consistent online presence. #digitalmarketingagency #Hyderabad #Inovies</t>
  </si>
  <si>
    <t>19 Utilize user feedback for improvements: Act on customer feedback by enhancing product features or addressing pain points, demonstrating responsiveness and commitment to customer satisfaction. #digitalmarketingagency #Hyderabad #Inovies</t>
  </si>
  <si>
    <t>18 Create evergreen and timely content: Balance timeless content, like educational guides, with timely updates, such as industry news or seasonal promotions, to maintain relevance. #digitalmarketingagency #Hyderabad #Inovies</t>
  </si>
  <si>
    <t>#DigitalMarketing #OnlineMarketing #SEO #EcommerceMarketing #ContentMarketing #DigitalStrategy #SEM #Branding #SMM #PPC #MarketingTips #BrandBuilding #SEOtips #OnlineAdvertising #SearchRankings #OnlinePresence #ROI #inovies https://t.co/HruRPasQRc #Hyderabad https://t.co/sNmBMuqB14</t>
  </si>
  <si>
    <t>#DigitalMarketing #OnlineMarketing #SEO #EcommerceMarketing #ContentMarketing #DigitalStrategy #SEM #Branding #SMM #PPC #MarketingTips #BrandBuilding #SEOtips #OnlineAdvertising #SearchRankings #OnlinePresence #ROI #inovies https://t.co/HruRPasQRc #Hyderabad https://t.co/Sze3QJqMJ7</t>
  </si>
  <si>
    <t>#DigitalMarketing #OnlineMarketing #SEO #EcommerceMarketing #ContentMarketing #DigitalStrategy #SEM #Branding #SMM #PPC #MarketingTips #BrandBuilding #SEOtips #OnlineAdvertising #SearchRankings #OnlinePresence #ROI #inovies https://t.co/HruRPasQRc #Hyderabad https://t.co/Xq9nNX64bh</t>
  </si>
  <si>
    <t>#DigitalMarketing #OnlineMarketing #SEO #EcommerceMarketing #ContentMarketing #DigitalStrategy #SEM #Branding #SMM #PPC #MarketingTips #BrandBuilding #SEOtips #OnlineAdvertising #SearchRankings #OnlinePresence #ROI #inovies https://t.co/HruRPasQRc #Hyderabad https://t.co/SyY055c5bF</t>
  </si>
  <si>
    <t>#DigitalMarketing #OnlineMarketing #SEO #EcommerceMarketing #ContentMarketing #DigitalStrategy #SEM #Branding #SMM #PPC #MarketingTips #BrandBuilding #SEOtips #OnlineAdvertising #SearchRankings #OnlinePresence #ROI #inovies https://t.co/HruRPasQRc https://t.co/WoYSGvs2ol</t>
  </si>
  <si>
    <t>#DigitalMarketing #OnlineMarketing #SEO #EcommerceMarketing #ContentMarketing #DigitalStrategy #SEM #Branding #SMM #PPC #MarketingTips #BrandBuilding #SEOtips #OnlineAdvertising #SearchRankings #OnlinePresence #ROI #inovies https://t.co/HruRPasQRc https://t.co/o36yKniPZq</t>
  </si>
  <si>
    <t>#DigitalMarketing #OnlineMarketing #SEO #EcommerceMarketing #ContentMarketing #DigitalStrategy #SEM #Branding #SMM #PPC #MarketingTips #BrandBuilding #SEOtips #OnlineAdvertising #SearchRankings #OnlinePresence #ROI #inovies https://t.co/HruRPasQRc https://t.co/s3Qyi39rsq</t>
  </si>
  <si>
    <t>#DigitalMarketing #OnlineMarketing #SEO #EcommerceMarketing #ContentMarketing #DigitalStrategy #SEM #Branding #SMM #PPC #MarketingTips #BrandBuilding #SEOtips #OnlineAdvertising #SearchRankings #OnlinePresence #ROI #inovies https://t.co/HruRPasQRc https://t.co/rUMoDq4K1Z</t>
  </si>
  <si>
    <t>#DigitalMarketing #OnlineMarketing #SEO #EcommerceMarketing #ContentMarketing #DigitalStrategy #SEM #Branding #SMM #PPC #MarketingTips #BrandBuilding #SEOtips #OnlineAdvertising #SearchRankings #OnlinePresence #ROI #inovies https://t.co/HruRPasQRc https://t.co/3VKnrXKdHw</t>
  </si>
  <si>
    <t>#DigitalMarketing #OnlineMarketing #SEO #EcommerceMarketing #ContentMarketing #DigitalStrategy #SEM #Branding #SMM #PPC #MarketingTips #BrandBuilding #SEOtips #OnlineAdvertising #SearchRankings #OnlinePresence #ROI #inovies https://t.co/HruRPasQRc https://t.co/qYOmOy9mak</t>
  </si>
  <si>
    <t>#DigitalMarketing #OnlineMarketing #SEO #EcommerceMarketing #ContentMarketing #DigitalStrategy #SEM #Branding #SMM #PPC #MarketingTips #BrandBuilding #SEOtips #OnlineAdvertising #SearchRankings #OnlinePresence #ROI #inovies https://t.co/HruRPasQRc https://t.co/ubrYSNOu7w</t>
  </si>
  <si>
    <t>#DigitalMarketing #OnlineMarketing #SEO #EcommerceMarketing #ContentMarketing #DigitalStrategy #SEM #Branding #SMM #PPC #MarketingTips #BrandBuilding #SEOtips #OnlineAdvertising #SearchRankings #OnlinePresence #ROI #inovies https://t.co/HruRPasQRc https://t.co/aqwG1CKumD</t>
  </si>
  <si>
    <t>#DigitalMarketing #OnlineMarketing #SEO #EcommerceMarketing #ContentMarketing #DigitalStrategy #SEM #Branding #SMM #PPC #MarketingTips #BrandBuilding #SEOtips #OnlineAdvertising #SearchRankings #OnlinePresence #ROI #inovies https://t.co/HruRPasQRc https://t.co/YCfqql124j</t>
  </si>
  <si>
    <t>#DigitalMarketing #OnlineMarketing #SEO #EcommerceMarketing #ContentMarketing #DigitalStrategy #SEM #Branding #SMM #PPC #MarketingTips #BrandBuilding #SEOtips #OnlineAdvertising #SearchRankings #OnlinePresence #ROI #inovies https://t.co/HruRPasQRc https://t.co/v0EzvTuuBG</t>
  </si>
  <si>
    <t>#DigitalMarketing #OnlineMarketing #SEO #EcommerceMarketing #ContentMarketing #DigitalStrategy #SEM #Branding #SMM #PPC #MarketingTips #BrandBuilding #SEOtips #OnlineAdvertising #SearchRankings #OnlinePresence #ROI #inovies https://t.co/HruRPasQRc https://t.co/P9jTHOofij</t>
  </si>
  <si>
    <t>#DigitalMarketing #OnlineMarketing #SEO #EcommerceMarketing #ContentMarketing #DigitalStrategy #SEM #Branding #SMM #PPC #MarketingTips #BrandBuilding #SEOtips #OnlineAdvertising #SearchRankings #OnlinePresence #ROI #inovies https://t.co/HruRPasQRc https://t.co/5fTZSprxLX</t>
  </si>
  <si>
    <t>#DigitalMarketing #OnlineMarketing #SEO #EcommerceMarketing #ContentMarketing #DigitalStrategy #SEM #Branding #SMM #PPC #MarketingTips #BrandBuilding #SEOtips #OnlineAdvertising #SearchRankings #OnlinePresence #ROI #inovies https://t.co/HruRPasQRc https://t.co/m4lLr0jSbk</t>
  </si>
  <si>
    <t>#DigitalMarketing #OnlineMarketing #SEO #EcommerceMarketing #ContentMarketing #DigitalStrategy #SEM #Branding #SMM #PPC #MarketingTips #BrandBuilding #SEOtips #OnlineAdvertising #SearchRankings #OnlinePresence #ROI #inovies https://t.co/HruRPasQRc https://t.co/bu9JSOFduf</t>
  </si>
  <si>
    <t>#DigitalMarketing #OnlineMarketing #SEO #EcommerceMarketing #ContentMarketing #DigitalStrategy #SEM #Branding #SMM #PPC #MarketingTips #BrandBuilding #SEOtips #OnlineAdvertising #SearchRankings #OnlinePresence #ROI #inovies https://t.co/HruRPasQRc https://t.co/ho7LjX9XaT</t>
  </si>
  <si>
    <t>#DigitalMarketing #OnlineMarketing #SEO #EcommerceMarketing #ContentMarketing #DigitalStrategy #SEM #Branding #SMM #PPC #MarketingTips #BrandBuilding #SEOtips #OnlineAdvertising #SearchRankings #OnlinePresence #ROI #inovies https://t.co/HruRPasQRc https://t.co/jbdqmyjpFa</t>
  </si>
  <si>
    <t>#DigitalMarketing #OnlineMarketing #SEO #EcommerceMarketing #ContentMarketing #DigitalStrategy #SEM #Branding #SMM #PPC #MarketingTips #BrandBuilding #SEOtips #OnlineAdvertising #SearchRankings #OnlinePresence #ROI #inovies https://t.co/HruRPasQRc https://t.co/zV406QSBZq</t>
  </si>
  <si>
    <t>#DigitalMarketing #OnlineMarketing #SEO #EcommerceMarketing #ContentMarketing #DigitalStrategy #SEM #Branding #SMM #PPC #MarketingTips #BrandBuilding #SEOtips #OnlineAdvertising #SearchRankings #OnlinePresence #ROI #inovies https://t.co/HruRPasQRc https://t.co/Dz8p1SClhF</t>
  </si>
  <si>
    <t>#DigitalMarketing #OnlineMarketing #SEO #EcommerceMarketing #ContentMarketing #DigitalStrategy #SEM #Branding #SMM #PPC #MarketingTips #BrandBuilding #SEOtips #OnlineAdvertising #SearchRankings #OnlinePresence #ROI #inovies https://t.co/HruRPasQRc https://t.co/PdMUMXUJBX</t>
  </si>
  <si>
    <t>#DigitalMarketing #OnlineMarketing #SEO #EcommerceMarketing #ContentMarketing #DigitalStrategy #SEM #Branding #SMM #PPC #MarketingTips #BrandBuilding #SEOtips #OnlineAdvertising #SearchRankings #OnlinePresence #ROI #inovies https://t.co/HruRPasQRc https://t.co/73tFJ69uAi</t>
  </si>
  <si>
    <t>#DigitalMarketing #OnlineMarketing #SEO #EcommerceMarketing #ContentMarketing #DigitalStrategy #SEM #Branding #SMM #PPC #MarketingTips #BrandBuilding #SEOtips #OnlineAdvertising #SearchRankings #OnlinePresence #ROI #inovies https://t.co/HruRPasQRc https://t.co/u7zgicVrHK</t>
  </si>
  <si>
    <t>#DigitalMarketing #OnlineMarketing #SEO #EcommerceMarketing #ContentMarketing #DigitalStrategy #SEM #Branding #SMM #PPC #MarketingTips #BrandBuilding #SEOtips #OnlineAdvertising #SearchRankings #OnlinePresence #ROI #inovies https://t.co/HruRPasQRc https://t.co/ZWVMdBxmS9</t>
  </si>
  <si>
    <t>#DigitalMarketing #OnlineMarketing #SEO #EcommerceMarketing #ContentMarketing #DigitalStrategy #SEM #Branding #SMM #PPC #MarketingTips #BrandBuilding #SEOtips #OnlineAdvertising #SearchRankings #OnlinePresence #ROI #inovies https://t.co/HruRPasQRc https://t.co/rJiElprm4A</t>
  </si>
  <si>
    <t>#DigitalMarketing #OnlineMarketing #SEO #EcommerceMarketing #ContentMarketing #DigitalStrategy #SEM #Branding #SMM #PPC #MarketingTips #BrandBuilding #SEOtips #OnlineAdvertising #SearchRankings #OnlinePresence #ROI #inovies https://t.co/HruRPasQRc https://t.co/RLKvuB5eEN</t>
  </si>
  <si>
    <t>#DigitalMarketing #OnlineMarketing #SEO #EcommerceMarketing #ContentMarketing #DigitalStrategy #SEM #Branding #SMM #PPC #MarketingTips #BrandBuilding #SEOtips #OnlineAdvertising #SearchRankings #OnlinePresence #ROI #inovies https://t.co/HruRPasQRc https://t.co/xpvfNFUXsI</t>
  </si>
  <si>
    <t>#DigitalMarketing #OnlineMarketing #SEO #EcommerceMarketing #ContentMarketing #DigitalStrategy #SEM #Branding #SMM #PPC #MarketingTips #BrandBuilding #SEOtips #OnlineAdvertising #SearchRankings #OnlinePresence #ROI #inovies https://t.co/HruRPasQRc https://t.co/hoGBVa86UX</t>
  </si>
  <si>
    <t>#DigitalMarketing #OnlineMarketing #SEO #EcommerceMarketing #ContentMarketing #DigitalStrategy #SEM #Branding #SMM #PPC #MarketingTips #BrandBuilding #SEOtips #OnlineAdvertising #SearchRankings #OnlinePresence #ROI #inovies https://t.co/HruRPasQRc https://t.co/MdXs87NuOH</t>
  </si>
  <si>
    <t>#DigitalMarketing #OnlineMarketing #SEO #EcommerceMarketing #ContentMarketing #DigitalStrategy #SEM #Branding #SMM #PPC #MarketingTips #BrandBuilding #SEOtips #OnlineAdvertising #SearchRankings #OnlinePresence #ROI #inovies https://t.co/HruRPasQRc https://t.co/WgE3FG4BjS</t>
  </si>
  <si>
    <t>https://t.co/WXKGc48aC0
Inovies, a leading web development agency based in Hyderabad, is delighted to celebrate its 17 years anniversary by introducing an exclusive offer on WordPress websites,
#webdevelopment #wordpresswebsitedesign #wordpressdeveloper #Hyderabad #inovies</t>
  </si>
  <si>
    <t>Hello! It's great to connect with you. Inovies is a well-known IT services company based in Madhapur, Hyderabad.
#websitedesign #websitedesignhyderabad #Webdesign #webdesignhyderabad #websitedesigning
https://t.co/YMVfK2LS18</t>
  </si>
  <si>
    <t>#SmartIndia Stack Can Slash Operational Costs Upto 70 pc</t>
  </si>
  <si>
    <t>2500 Indians Invest In #Bitcoins Daily: #Blockchain President #NicCary</t>
  </si>
  <si>
    <t>#DigitalMarketing #GooglePlus #inovies https://t.co/EUSp8IfdUM</t>
  </si>
  <si>
    <t>#DigitalMarketing #Pinterest #Inovies https://t.co/f4kwgcalTM</t>
  </si>
  <si>
    <t>#DigitalMarketing #Youtube #Inovies https://t.co/GgYjqFhec9</t>
  </si>
  <si>
    <t>#DigitalMarketing #Reddit #Inovies https://t.co/YLIksdDD2x</t>
  </si>
  <si>
    <t>#DigitalMarketing #LinkedIn #inovies https://t.co/VyrtEkcOLy</t>
  </si>
  <si>
    <t>#DigitalMarketing #Twitter #inovies https://t.co/TxkQPQVGkT</t>
  </si>
  <si>
    <t>#socialmediamarketing #snapchat #inovies https://t.co/mcUbigrKFu</t>
  </si>
  <si>
    <t>#DigitalMarketing #Instagram #inovies https://t.co/bmxxTQ9F0z</t>
  </si>
  <si>
    <t>#DigitalMarketing #Facebook #inovies https://t.co/MkoyLI0us6</t>
  </si>
  <si>
    <t>Make use of #SocialMedia to distribute content and videos to promote content, rather than writing several pages of content in your website.</t>
  </si>
  <si>
    <t>#ecommerce : BYE BYE WALLET.             Future - brought to you by mobile, wearables &amp;amp; other payment enabled technology. @Inovies</t>
  </si>
  <si>
    <t>Now Indian startups enjoy 100% Venture Capital investments as per new FDI policy
https://t.co/7m3axcQWr0</t>
  </si>
  <si>
    <t>Over the past two years, travel-related searches around the world have grown over 150% on mobile. @Inovies</t>
  </si>
  <si>
    <t>#ecommerce : Mobile searches related to “same day shipping” have grown over 120% since 2015. @Inovies</t>
  </si>
  <si>
    <t>Give the right appeal to your clients and it fetches you the right ROI
https://t.co/AMUkfFDJOz</t>
  </si>
  <si>
    <t>10 pin bowling event by inovies web design company in smaash Inorbit Hyderabad https://t.co/wZ9KvGLyBv</t>
  </si>
  <si>
    <t>A self funded entrepreneur arrives at a point which demands change, what’s yours? 
https://t.co/X6MDcuHFkn</t>
  </si>
  <si>
    <t>Happy Holi @Inovies https://t.co/cqwLamLQzu</t>
  </si>
  <si>
    <t>inovies website review https://t.co/S1n3sttmzq</t>
  </si>
  <si>
    <t>@Inovies To all the wonderful women out there, believe you are the best &amp;amp; make each day a happy day with u r charm! Happy women's day</t>
  </si>
  <si>
    <t>Business bot or Busy less bot ?
https://t.co/hkXWsve9gU https://t.co/wD35UzRtjL</t>
  </si>
  <si>
    <t>#inovies #chatbots https://t.co/FMbNDNuML9</t>
  </si>
  <si>
    <t>Webmaster &amp;amp; Internet Marketing News https://t.co/uonhgExelJ</t>
  </si>
  <si>
    <t>Got an Idea and lend a hand to take this in to implementation. 
https://t.co/sHR7uMu0IX</t>
  </si>
  <si>
    <t>IT'S TRUE _xD83E__xDD23_
#inovies #SEO #SMM #SMO #branding #Digitalmarketing #digitalmarketingagency #Marketing https://t.co/cNwxujxUK4… https://t.co/9IKJ6bElmL</t>
  </si>
  <si>
    <t>Inovies, a leading digital marketing agency based in Hyderabad, pioneers innovative strategies to propel businesses to new heights in the digital realm.  https://t.co/xEP3XYiM5y</t>
  </si>
  <si>
    <t>How to transform design limitations into design success - http://t.co/v9mKbMtMSq</t>
  </si>
  <si>
    <t>Why Every Media Website Redesign Looks the Same - http://t.co/g5XMQ5Ld3r</t>
  </si>
  <si>
    <t>Now, It's Your Turn!!! http://t.co/4NntZI5Ae3</t>
  </si>
  <si>
    <t>New Amazon toolset tracks cloud spending - Cost Explorer lets companies track what Amazon charges using pre-config... http://t.co/DZcmWlFJpJ</t>
  </si>
  <si>
    <t>5 ways to redefine the economics of your storage architecture  http://t.co/piW3lZkZ9E via @Inovies</t>
  </si>
  <si>
    <t>ESA from AcademicIcon http://t.co/1Fiey9LLbf</t>
  </si>
  <si>
    <t>With #ChatGPT and a specific character, you can use them to discover your brand's tone of voice!
#inovies #SEO #SMM #SMO #branding #Digitalmarketing #digitalmarketingagency #Marketing https://t.co/cNwxujxUK4 https://t.co/tJDOFIP3Kn</t>
  </si>
  <si>
    <t>Things to learn in #2024
#sharing is #caring 
#inovies https://t.co/AwJUhxJuye</t>
  </si>
  <si>
    <t>_xD83D__xDEA8_ BIG NEWS ALERT! _xD83D__xDEA8_ 
#BlackRock is not giving up on the dream! They just submitted their THIRD amendment for a spot #Bitcoin #ETFs with the #SEC.
Brace yourselves! If approved, #global #Markets are in for a seismic shake! _xD83D__xDCC8_ #BitcoinETF  #Inovies https://t.co/JjY3EDZuWF</t>
  </si>
  <si>
    <t>#Wikipedia reverted the article on #DawoodIbrahim  just now
#inovies https://t.co/OAJe8N669i https://t.co/eEWIpnmlQL</t>
  </si>
  <si>
    <t>Rushing to the internet to tweet the hashtag #internetdown 
#Inovies https://t.co/OAJe8N669i https://t.co/zdPhM3itv3</t>
  </si>
  <si>
    <t>#digitalmarketingagency #DigitalMarketing #SMM #SEO https://t.co/OAJe8N6DYQ #socialmediamarketing #SEM #inovies #branding #Hyderabad #PPC #Marketing #MarketingStrategy https://t.co/slKDd57DII</t>
  </si>
  <si>
    <t>#digitalmarketingagency #DigitalMarketing #SMM #SEO https://t.co/OAJe8N6DYQ #socialmediamarketing #SEM #inovies #branding #Hyderabad #PPC #Marketing #MarketingStrategy https://t.co/fnIcKoujMN</t>
  </si>
  <si>
    <t>#digitalmarketingagency #DigitalMarketing #SMM #SEO https://t.co/OAJe8N6DYQ #socialmediamarketing #SEM #inovies #branding #Hyderabad #PPC #Marketing #MarketingStrategy https://t.co/eISxiC4eTC</t>
  </si>
  <si>
    <t>#digitalmarketingagency #DigitalMarketing #SMM #SEO https://t.co/OAJe8N6DYQ #socialmediamarketing #SEM #inovies #branding #Hyderabad #PPC #Marketing #MarketingStrategy https://t.co/Cl7f8zhal8</t>
  </si>
  <si>
    <t>#digitalmarketingagency #DigitalMarketing #SMM #SEO https://t.co/OAJe8N669i #socialmediamarketing #SEM #inovies #branding #Hyderabad #PPC #Marketing #MarketingStrategy https://t.co/7nLPv19b1g</t>
  </si>
  <si>
    <t>#digitalmarketingagency #DigitalMarketing #SMM #SEO https://t.co/OAJe8N6DYQ #socialmediamarketing #SEM #inovies #branding #Hyderabad #PPC #Marketing #MarketingStrategy https://t.co/12UbrzpwSo</t>
  </si>
  <si>
    <t>#digitalmarketingagency #DigitalMarketing #SMM #SEO https://t.co/OAJe8N669i #socialmediamarketing #SEM #inovies #branding #Hyderabad #PPC #Marketing #MarketingStrategy https://t.co/sGp6pN1jPH</t>
  </si>
  <si>
    <t>#digitalmarketingagency #DigitalMarketing #SMM #SEO https://t.co/OAJe8N669i #socialmediamarketing #SEM #inovies #branding #Hyderabad #PPC #Marketing #MarketingStrategy https://t.co/e4WfoxfaXf</t>
  </si>
  <si>
    <t>#digitalmarketingagency #DigitalMarketing #SMM #SEO https://t.co/OAJe8N6DYQ #socialmediamarketing #SEM #inovies #branding #Hyderabad #PPC #Marketing #MarketingStrategy https://t.co/DJK9lvepKI</t>
  </si>
  <si>
    <t>#digitalmarketingagency #DigitalMarketing #SMM #SEO https://t.co/OAJe8N6DYQ #socialmediamarketing #SEM #inovies #branding #Hyderabad #PPC #Marketing #MarketingStrategy https://t.co/674Wll8P6J</t>
  </si>
  <si>
    <t>#digitalmarketingagency #DigitalMarketing #SMM #SEO https://t.co/OAJe8N6DYQ #socialmediamarketing #SEM #inovies #branding #Hyderabad #PPC #Marketing #MarketingStrategy https://t.co/CThSUdkAXT</t>
  </si>
  <si>
    <t>#digitalmarketingagency #DigitalMarketing #SMM #SEO https://t.co/OAJe8N669i #socialmediamarketing #SEM #inovies #branding #Hyderabad #PPC #Marketing #MarketingStrategy https://t.co/1D4A7CuUzD</t>
  </si>
  <si>
    <t>#digitalmarketingagency #DigitalMarketing #SMM #SEO https://t.co/OAJe8N6DYQ #socialmediamarketing #SEM #inovies #branding #Hyderabad #PPC #Marketing #MarketingStrategy https://t.co/cfq33nivgH</t>
  </si>
  <si>
    <t>#digitalmarketingagency #DigitalMarketing #SMM #SEO https://t.co/OAJe8N6DYQ #socialmediamarketing #SEM #inovies #branding #Hyderabad #PPC #Marketing #MarketingStrategy https://t.co/MLuGJADmGR</t>
  </si>
  <si>
    <t>#digitalmarketingagency #DigitalMarketing #SMM #SEO https://t.co/OAJe8N6DYQ #socialmediamarketing #SEM #inovies #branding #Hyderabad #PPC #Marketing #MarketingStrategy https://t.co/739YIcGlYO</t>
  </si>
  <si>
    <t>#digitalmarketingagency #DigitalMarketing #SMM #SEO https://t.co/OAJe8N6DYQ #socialmediamarketing #SEM #inovies #branding #Hyderabad #PPC #Marketing #MarketingStrategy https://t.co/F4mQBgYNN7</t>
  </si>
  <si>
    <t>#digitalmarketingagency #DigitalMarketing #SMM #SEO https://t.co/OAJe8N6DYQ #socialmediamarketing #SEM #inovies #branding #Hyderabad #PPC #Marketing #MarketingStrategy https://t.co/mzSf7Vk4oj</t>
  </si>
  <si>
    <t>#digitalmarketingagency #DigitalMarketing #SMM #SEO https://t.co/OAJe8N6DYQ #socialmediamarketing #SEM #inovies #branding #Hyderabad #PPC #Marketing #MarketingStrategy https://t.co/sickI3a18V</t>
  </si>
  <si>
    <t>#digitalmarketingagency #DigitalMarketing #SMM #SEO https://t.co/OAJe8N6DYQ #socialmediamarketing #SEM #inovies #branding #Hyderabad #PPC #Marketing #MarketingStrategy https://t.co/ZQujfXnCpJ</t>
  </si>
  <si>
    <t>#digitalmarketingagency #DigitalMarketing #SMM #SEO https://t.co/OAJe8N6DYQ #socialmediamarketing #SEM #inovies #branding #Hyderabad #PPC #Marketing #MarketingStrategy https://t.co/OvGW1ctqUE</t>
  </si>
  <si>
    <t>#digitalmarketingagency #DigitalMarketing #SMM #SEO https://t.co/OAJe8N6DYQ #socialmediamarketing #SEM #inovies #branding #Hyderabad #PPC #Marketing #MarketingStrategy https://t.co/9XAQrJNZLY</t>
  </si>
  <si>
    <t>#digitalmarketingagency #DigitalMarketing #SMM #SEO https://t.co/OAJe8N6DYQ #socialmediamarketing #SEM #inovies #branding #Hyderabad #PPC #Marketing #MarketingStrategy https://t.co/RdYWaLK0es</t>
  </si>
  <si>
    <t>#digitalmarketingagency #DigitalMarketing #SMM #SEO https://t.co/OAJe8N6DYQ #socialmediamarketing #SEM #inovies #branding #Hyderabad #PPC #Marketing #MarketingStrategy https://t.co/kRLmGG2Zo5</t>
  </si>
  <si>
    <t>#digitalmarketingagency #DigitalMarketing #SMM #SEO https://t.co/OAJe8N6DYQ #socialmediamarketing #SEM #inovies #branding #Hyderabad #PPC #Marketing #MarketingStrategy https://t.co/z5eOnGYR94</t>
  </si>
  <si>
    <t>#digitalmarketingagency #DigitalMarketing #SMM #SEO https://t.co/OAJe8N6DYQ #socialmediamarketing #SEM #inovies #branding #Hyderabad #PPC #Marketing #MarketingStrategy https://t.co/oe8dh13DwP</t>
  </si>
  <si>
    <t>#digitalmarketingagency #DigitalMarketing #SMM #SEO https://t.co/OAJe8N6DYQ #socialmediamarketing #SEM #inovies #branding #Hyderabad #PPC #Marketing #MarketingStrategy https://t.co/M6xkdXXOTl</t>
  </si>
  <si>
    <t>#digitalmarketingagency #DigitalMarketing #SMM #SEO https://t.co/OAJe8N6DYQ #socialmediamarketing #SEM #inovies #branding #Hyderabad #PPC #Marketing #MarketingStrategy https://t.co/ohnFrQ9uB8</t>
  </si>
  <si>
    <t>#digitalmarketingagency #DigitalMarketing #SMM #SEO https://t.co/OAJe8N6DYQ #socialmediamarketing #SEM #inovies #branding #Hyderabad #PPC #Marketing #MarketingStrategy https://t.co/ghFOvDN7IU</t>
  </si>
  <si>
    <t>#digitalmarketingagency #DigitalMarketing #SMM #SEO https://t.co/OAJe8N6DYQ #socialmediamarketing #SEM #inovies #branding #Hyderabad #PPC #Marketing #MarketingStrategy https://t.co/eeXGxXNebk</t>
  </si>
  <si>
    <t>#digitalmarketingagency #DigitalMarketing #SMM #SEO https://t.co/OAJe8N6DYQ #socialmediamarketing #SEM #inovies #branding #Hyderabad #PPC #Marketing #MarketingStrategy https://t.co/EXJhF6tl7f</t>
  </si>
  <si>
    <t>#digitalmarketingagency #DigitalMarketing #SMM #SEO https://t.co/OAJe8N6DYQ #socialmediamarketing #SEM #inovies #branding #Hyderabad #PPC #Marketing #MarketingStrategy https://t.co/kn1F653tLe</t>
  </si>
  <si>
    <t>#digitalmarketingagency #DigitalMarketing #SMM #SEO https://t.co/OAJe8N6DYQ #socialmediamarketing #SEM #inovies #branding #Hyderabad #PPC #Marketing #MarketingStrategy https://t.co/b4Jhuwxh0Y</t>
  </si>
  <si>
    <t>#digitalmarketingagency #DigitalMarketing #SMM #SEO https://t.co/OAJe8N6DYQ #socialmediamarketing #SEM #inovies #branding #Hyderabad #PPC #Marketing #MarketingStrategy https://t.co/66vlQep8mR</t>
  </si>
  <si>
    <t>#digitalmarketingagency #DigitalMarketing #SMM #SEO https://t.co/OAJe8N6DYQ #socialmediamarketing #SEM #inovies #branding #Hyderabad #PPC #Marketing #MarketingStrategy https://t.co/ZegosAJLc3</t>
  </si>
  <si>
    <t>#digitalmarketingagency #DigitalMarketing #SMM #SEO https://t.co/OAJe8N6DYQ #socialmediamarketing #SEM #inovies #branding #Hyderabad #PPC #Marketing #MarketingStrategy https://t.co/1OlmvnhtXZ</t>
  </si>
  <si>
    <t>#digitalmarketingagency #DigitalMarketing #SMM #SEO https://t.co/OAJe8N6DYQ #socialmediamarketing #SEM #inovies #branding #Hyderabad #PPC #Marketing #MarketingStrategy https://t.co/BZdbCJDigV</t>
  </si>
  <si>
    <t>#digitalmarketingagency #DigitalMarketing #SMM #SEO https://t.co/OAJe8N6DYQ #socialmediamarketing #SEM #inovies #branding #Hyderabad #PPC #Marketing #MarketingStrategy https://t.co/BPvFyCq6Ac</t>
  </si>
  <si>
    <t>#digitalmarketingagency #DigitalMarketing #SMM #SEO https://t.co/OAJe8N6DYQ #socialmediamarketing #SEM #inovies #branding #Hyderabad #PPC #Marketing #MarketingStrategy https://t.co/Pb5UY10OBA</t>
  </si>
  <si>
    <t>#digitalmarketingagency #DigitalMarketing #SMM #SEO https://t.co/OAJe8N6DYQ #socialmediamarketing #SEM #inovies #branding #Hyderabad #PPC #Marketing #MarketingStrategy https://t.co/YlWKycfvbr</t>
  </si>
  <si>
    <t>#digitalmarketingagency #DigitalMarketing #SMM #SEO https://t.co/OAJe8N6DYQ #socialmediamarketing #SEM #inovies #branding #Hyderabad #PPC #Marketing #MarketingStrategy https://t.co/cX41f5UguC</t>
  </si>
  <si>
    <t>#digitalmarketingagency #DigitalMarketing #SMM #SEO https://t.co/OAJe8N6DYQ #socialmediamarketing #SEM #inovies #branding #Hyderabad #PPC #Marketing #MarketingStrategy https://t.co/gHDMQgrsvU</t>
  </si>
  <si>
    <t>#digitalmarketingagency #DigitalMarketing #SMM #SEO https://t.co/OAJe8N6DYQ #socialmediamarketing #SEM #inovies #branding #Hyderabad #PPC #Marketing #MarketingStrategy https://t.co/aaJwCvjElO</t>
  </si>
  <si>
    <t>#digitalmarketingagency #DigitalMarketing #SMM #SEO https://t.co/OAJe8N6DYQ #socialmediamarketing #SEM #inovies #branding #Hyderabad #PPC #Marketing #MarketingStrategy https://t.co/qXR9uppey7</t>
  </si>
  <si>
    <t>#digitalmarketingagency #DigitalMarketing #SMM #SEO https://t.co/OAJe8N6DYQ #socialmediamarketing #SEM #inovies #branding #Hyderabad #PPC #Marketing #MarketingStrategy https://t.co/apu9noPNsb</t>
  </si>
  <si>
    <t>#digitalmarketingagency #DigitalMarketing #SMM #SEO https://t.co/OAJe8N6DYQ #socialmediamarketing #SEM #inovies #branding #Hyderabad #PPC #Marketing #MarketingStrategy https://t.co/AxzKQSLAyc</t>
  </si>
  <si>
    <t>#digitalmarketingagency #DigitalMarketing #SMM #SEO https://t.co/OAJe8N6DYQ #socialmediamarketing #SEM #inovies #branding #Hyderabad #PPC #Marketing #MarketingStrategy https://t.co/GygJbBG2Bc</t>
  </si>
  <si>
    <t>#digitalmarketingagency #DigitalMarketing #SMM #SEO https://t.co/OAJe8N6DYQ #socialmediamarketing #SEM #inovies #branding #Hyderabad #PPC #Marketing #MarketingStrategy https://t.co/I2FSWyj7hN</t>
  </si>
  <si>
    <t>#digitalmarketingagency #DigitalMarketing #SMM #SEO https://t.co/OAJe8N6DYQ #socialmediamarketing #SEM #inovies #branding #Hyderabad #PPC #Marketing #MarketingStrategy https://t.co/BtekOxd3ag</t>
  </si>
  <si>
    <t>#digitalmarketingagency #DigitalMarketing #SMM #SEO https://t.co/OAJe8N6DYQ #socialmediamarketing #SEM #inovies #branding #Hyderabad #PPC #Marketing #MarketingStrategy https://t.co/7w1SImEPdl</t>
  </si>
  <si>
    <t>#digitalmarketingagency #DigitalMarketing #SMM #SEO https://t.co/OAJe8N6DYQ #socialmediamarketing #SEM #inovies #branding #Hyderabad #PPC #Marketing #MarketingStrategy https://t.co/ZlVm3R8lGE</t>
  </si>
  <si>
    <t>#digitalmarketingagency #DigitalMarketing #SMM #SEO https://t.co/OAJe8N6DYQ #socialmediamarketing #SEM #inovies #branding #Hyderabad #PPC #Marketing #MarketingStrategy https://t.co/Lwqn7nvd9d</t>
  </si>
  <si>
    <t>#digitalmarketingagency #DigitalMarketing #SMM #SEO https://t.co/OAJe8N6DYQ #socialmediamarketing #SEM #inovies #branding #Hyderabad #PPC #Marketing #MarketingStrategy https://t.co/AzbdNVGqLt</t>
  </si>
  <si>
    <t>#digitalmarketingagency #DigitalMarketing #SMM #SEO https://t.co/OAJe8N6DYQ #socialmediamarketing #SEM #inovies #branding #Hyderabad #PPC #Marketing #MarketingStrategy https://t.co/jurGdPcXqs</t>
  </si>
  <si>
    <t>_xD83D__xDE80_ 125+ Free Courses (Cheat Sheets) _xD83D__xDE80_ 
A Goldmine of Knowledge
Unlock insights:
_xD83D__xDCCC_ #SocialMediaMarketing 
_xD83D__xDCCC_ #TechnicalSEO 
_xD83D__xDCCC_ #DigitalMarketing  
_xD83D__xDCCC_ #LocalSEO 
&amp;amp; more!
To access
_xD83D__xDEB6_‍♂️ Follow us
❤️ Like &amp;amp; retweet
_xD83D__xDCAC_ Reply with "send"
so we can DM you
#digitalmarketingagency https://t.co/cFDnBwO7er</t>
  </si>
  <si>
    <t>Utilize social media polls for engagement: Engage your audience by creating polls on platforms like Twitter or Instagram to gather opinions and preferences. #digitalmarketingagency #Hyderabad #Inovies https://t.co/sHR7uMu0IX</t>
  </si>
  <si>
    <t>Use storytelling in your social media posts: Craft compelling narratives in your posts to humanize your brand and connect with your audience emotionally. #digitalmarketingagency #Hyderabad #Inovies https://t.co/sHR7uMu0IX</t>
  </si>
  <si>
    <t>Monitor and respond to comments and messages: Actively monitor and respond to comments and direct messages to maintain a positive online presence. #digitalmarketingagency #Hyderabad #Inovies https://t.co/sHR7uMu0IX</t>
  </si>
  <si>
    <t>Engage with trending topics and hashtags: Stay current by participating in trending topics and using relevant hashtags to increase content visibility. #digitalmarketingagency #Hyderabad #Inovies https://t.co/sHR7uMu0IX</t>
  </si>
  <si>
    <t>Utilize social media for customer service: Provide responsive and helpful customer service on social media platforms, addressing queries and concerns promptly. #digitalmarketingagency #Hyderabad #Inovies https://t.co/sHR7uMu0IX</t>
  </si>
  <si>
    <t>Test different posting frequencies: Experiment with posting frequencies to find the optimal schedule for engaging your audience. #digitalmarketingagency #Hyderabad #Inovies https://t.co/sHR7uMu0IX</t>
  </si>
  <si>
    <t>Utilize social media advertising strategically: Invest in targeted social media advertising to reach specific demographics and achieve marketing objectives. #digitalmarketingagency #Hyderabad #Inovies https://t.co/sHR7uMu0IX</t>
  </si>
  <si>
    <t>Optimize profiles for searchability: Optimize social media profiles with relevant keywords to improve discoverability in search results. #digitalmarketingagency #Hyderabad #Inovies https://t.co/sHR7uMu0IX</t>
  </si>
  <si>
    <t>Implement Instagram Shopping for E-commerce: Utilize Instagram's shopping features to showcase products and simplify the purchasing process for users. #digitalmarketingagency #Hyderabad #Inovies https://t.co/sHR7uMu0IX</t>
  </si>
  <si>
    <t>Utilize Facebook Groups for community building: Create and nurture a Facebook Group to foster community engagement and discussions around your brand. #digitalmarketingagency #Hyderabad #Inovies https://t.co/sHR7uMu0IX</t>
  </si>
  <si>
    <t>Leverage user-generated content on social media: Feature content created by your audience, turning customers into advocates and building a sense of community. #digitalmarketingagency #Hyderabad #Inovies https://t.co/sHR7uMu0IX</t>
  </si>
  <si>
    <t>Utilize Pinterest for visual content: Showcase visually appealing content on Pinterest, particularly if your brand aligns with lifestyle or creative themes. #digitalmarketingagency #Hyderabad #Inovies https://t.co/sHR7uMu0IX</t>
  </si>
  <si>
    <t>Collaborate with micro-influencers: Partner with niche micro-influencers to tap into their dedicated audience and build authentic connections. #digitalmarketingagency #Hyderabad #Inovies https://t.co/sHR7uMu0IX</t>
  </si>
  <si>
    <t>Run social media contests and giveaways: Boost engagement and expand your reach by organizing contests or giveaways on social media. #digitalmarketingagency #Hyderabad #Inovies https://t.co/sHR7uMu0IX</t>
  </si>
  <si>
    <t>Participate in industry-related Twitter chats: Engage in relevant Twitter chats to connect with industry peers, share expertise, and expand your network. #digitalmarketingagency #Hyderabad #Inovies https://t.co/sHR7uMu0IX</t>
  </si>
  <si>
    <t>Utilize LinkedIn for B2B marketing: Establish a professional presence on LinkedIn to connect with industry professionals and showcase B2B offerings. #digitalmarketingagency #Hyderabad #Inovies https://t.co/sHR7uMu0IX</t>
  </si>
  <si>
    <t>Utilize social media analytics: Leverage analytics tools to track performance metrics, understand audience behavior, and refine your social media strategy.#digitalmarketingagency #Hyderabad #Inovies https://t.co/HruRPasQRc</t>
  </si>
  <si>
    <t>Create a content calendar for consistency: Plan and schedule social media posts in advance to maintain a consistent and cohesive online presence.#digitalmarketingagency #Hyderabad #Inovies https://t.co/HruRPasQRc</t>
  </si>
  <si>
    <t>Choose the right social media platforms: Identify and focus on platforms where your target audience is most active, whether it's Instagram, LinkedIn, Twitter, or others. #digitalmarketingagency #Hyderabad #Inovies https://t.co/HruRPasQRc</t>
  </si>
  <si>
    <t>Test your website across various browsers:
Ensure a consistent and functional user experience by regularly testing your website on different browsers and devices.
#digitalmarketingagency #Hyderabad #Inovies https://t.co/HruRPasQRc</t>
  </si>
  <si>
    <t>Here are 100 unique digital marketing tips across various aspects of online marketing. _xD83D__xDC47_ 3rd set #digitalmarketingagency #Hyderabad #Inovies https://t.co/HruRPasQRc</t>
  </si>
  <si>
    <t>Utilize compelling meta descriptions: Craft descriptive and persuasive meta descriptions to encourage clicks from search engine users. #digitalmarketingagency #Hyderabad #Inovies https://t.co/sHR7uMu0IX</t>
  </si>
  <si>
    <t>Conduct A/B testing on landing pages: Test variations of landing page elements, such as headlines or CTAs, to identify the most effective elements for conversion optimization. #digitalmarketingagency #Hyderabad #Inovies https://t.co/sHR7uMu0IX</t>
  </si>
  <si>
    <t>Optimize for page speed: Ensure fast loading times by optimizing code, compressing images, and leveraging browser caching for an improved user experience. #digitalmarketingagency #Hyderabad #Inovies https://t.co/sHR7uMu0IX</t>
  </si>
  <si>
    <t>Utilize customer testimonials: Feature authentic customer testimonials strategically on product pages to influence purchasing decisions and build trust. #digitalmarketingagency #Hyderabad #Inovies https://t.co/sHR7uMu0IX</t>
  </si>
  <si>
    <t>Implement video content on key pages: Enhance key pages with engaging video content to convey information effectively and keep users engaged.#digitalmarketingagency #Hyderabad #Inovies https://t.co/sHR7uMu0IX</t>
  </si>
  <si>
    <t>Optimize for featured snippets: Structure content to answer common queries concisely, increasing the chances of appearing in featured snippets on search engine results.#digitalmarketingagency #Hyderabad #Inovies https://t.co/sHR7uMu0IX</t>
  </si>
  <si>
    <t>Implement a clear site structure: Organize your website with a logical and hierarchical structure, making it easy for users and search engines to navigate.#digitalmarketingagency #Hyderabad #Inovies https://t.co/sHR7uMu0IX</t>
  </si>
  <si>
    <t>Regularly update and repurpose old content: Refresh existing content with updated information or repurpose it into different formats to maintain relevance and SEO performance.#digitalmarketingagency #Hyderabad #Inovies https://t.co/sHR7uMu0IX</t>
  </si>
  <si>
    <t>Utilize social proof on your website: Showcase customer testimonials, reviews, or user-generated content to build credibility and trust with potential customers.#digitalmarketingagency #Hyderabad #Inovies https://t.co/sHR7uMu0IX</t>
  </si>
  <si>
    <t>Optimize for local SEO: Tailor content and meta tags to include local keywords, helping your business appear in local search results and on Google Maps.#digitalmarketingagency #Hyderabad #Inovies https://t.co/sHR7uMu0IX</t>
  </si>
  <si>
    <t>Implement heatmaps for user behavior analysis: Utilize heatmaps to analyze user interactions, identify popular areas, and optimize page layouts for improved user engagement.#digitalmarketingagency #Hyderabad #Inovies https://t.co/sHR7uMu0IX</t>
  </si>
  <si>
    <t>#DigitalMarketing #OnlineMarketing #SEO #EcommerceMarketing #ContentMarketing #DigitalStrategy #SEM #Branding #SMM #PPC #MarketingTips #BrandBuilding #SEOtips #OnlineAdvertising #SearchRankings #OnlinePresence #ROI #inovies https://t.co/HruRPasQRc https://t.co/rKy3fyzL1o</t>
  </si>
  <si>
    <t>#DigitalMarketing #OnlineMarketing #SEO #EcommerceMarketing #ContentMarketing #DigitalStrategy #SEM #Branding #SMM #PPC #MarketingTips #BrandBuilding #SEOtips #OnlineAdvertising #SearchRankings #OnlinePresence #ROI #inovies https://t.co/HruRPasQRc https://t.co/kQUGhBMZqS</t>
  </si>
  <si>
    <t>#DigitalMarketing #OnlineMarketing #SEO #EcommerceMarketing #ContentMarketing #DigitalStrategy #SEM #Branding #SMM #PPC #MarketingTips #BrandBuilding #SEOtips #OnlineAdvertising #SearchRankings #OnlinePresence #ROI #inovies https://t.co/HruRPasQRc https://t.co/Rw0xvzBOyC</t>
  </si>
  <si>
    <t>#DigitalMarketing #OnlineMarketing #SEO #EcommerceMarketing #ContentMarketing #DigitalStrategy #SEM #Branding #SMM #PPC #MarketingTips #BrandBuilding #SEOtips #OnlineAdvertising #SearchRankings #OnlinePresence #ROI #inovies https://t.co/HruRPasQRc https://t.co/l5O52tP6zh</t>
  </si>
  <si>
    <t>#DigitalMarketing #OnlineMarketing #SEO #EcommerceMarketing #ContentMarketing #DigitalStrategy #SEM #Branding #SMM #PPC #MarketingTips #BrandBuilding #SEOtips #OnlineAdvertising #SearchRankings #OnlinePresence #ROI #inovies https://t.co/HruRPasQRc https://t.co/uRHrvLrIJX</t>
  </si>
  <si>
    <t>#DigitalMarketing #OnlineMarketing #SEO #EcommerceMarketing #ContentMarketing #DigitalStrategy #SEM #Branding #SMM #PPC #MarketingTips #BrandBuilding #SEOtips #OnlineAdvertising #SearchRankings #OnlinePresence #ROI #inovies https://t.co/HruRPasQRc https://t.co/BpHHxVwSiR</t>
  </si>
  <si>
    <t>#DigitalMarketing #OnlineMarketing #SEO #EcommerceMarketing #ContentMarketing #DigitalStrategy #SEM #Branding #SMM #PPC #MarketingTips #BrandBuilding #SEOtips #OnlineAdvertising #SearchRankings #OnlinePresence #ROI #inovies https://t.co/HruRPasQRc https://t.co/IN7fBCVL3i</t>
  </si>
  <si>
    <t>#DigitalMarketing #OnlineMarketing #SEO #EcommerceMarketing #ContentMarketing #DigitalStrategy #SEM #Branding #SMM #PPC #MarketingTips #BrandBuilding #SEOtips #OnlineAdvertising #SearchRankings #OnlinePresence #ROI #inovies https://t.co/HruRPasQRc https://t.co/Etp2nnbcVr</t>
  </si>
  <si>
    <t>#DigitalMarketing #OnlineMarketing #SEO #EcommerceMarketing #ContentMarketing #DigitalStrategy #SEM #Branding #SMM #PPC #MarketingTips #BrandBuilding #SEOtips #OnlineAdvertising #SearchRankings #OnlinePresence #ROI #inovies https://t.co/HruRPasQRc https://t.co/mEiSvW2WUM</t>
  </si>
  <si>
    <t>#DigitalMarketing #OnlineMarketing #SEO #EcommerceMarketing #ContentMarketing #DigitalStrategy #SEM #Branding #SMM #PPC #MarketingTips #BrandBuilding #SEOtips #OnlineAdvertising #SearchRankings #OnlinePresence #ROI #inovies https://t.co/HruRPasQRc https://t.co/pURAQPlAG7</t>
  </si>
  <si>
    <t>#DigitalMarketing #OnlineMarketing #SEO #EcommerceMarketing #ContentMarketing #DigitalStrategy #SEM #Branding #SMM #PPC #MarketingTips #BrandBuilding #SEOtips #OnlineAdvertising #SearchRankings #OnlinePresence #ROI #inovies https://t.co/HruRPasQRc https://t.co/bLSmm91aL7</t>
  </si>
  <si>
    <t>#DigitalMarketing #OnlineMarketing #SEO #EcommerceMarketing #ContentMarketing #DigitalStrategy #SEM #Branding #SMM #PPC #MarketingTips #BrandBuilding #SEOtips #OnlineAdvertising #SearchRankings #OnlinePresence #ROI #inovies https://t.co/HruRPasQRc https://t.co/H0H4UnzMsk</t>
  </si>
  <si>
    <t>#DigitalMarketing #OnlineMarketing #SEO #EcommerceMarketing #ContentMarketing #DigitalStrategy #SEM #Branding #SMM #PPC #MarketingTips #BrandBuilding #SEOtips #OnlineAdvertising #SearchRankings #OnlinePresence #ROI #inovies https://t.co/HruRPasQRc https://t.co/y3EDXwwLBJ</t>
  </si>
  <si>
    <t>#DigitalMarketing #OnlineMarketing #SEO #EcommerceMarketing #ContentMarketing #DigitalStrategy #SEM #Branding #SMM #PPC #MarketingTips #BrandBuilding #SEOtips #OnlineAdvertising #SearchRankings #OnlinePresence #ROI #inovies https://t.co/HruRPasQRc https://t.co/zuk0UdrmRM</t>
  </si>
  <si>
    <t>#DigitalMarketing #OnlineMarketing #SEO #EcommerceMarketing #ContentMarketing #DigitalStrategy #SEM #Branding #SMM #PPC #MarketingTips #BrandBuilding #SEOtips #OnlineAdvertising #SearchRankings #OnlinePresence #ROI #inovies https://t.co/HruRPasQRc https://t.co/SIXkzNjHVt</t>
  </si>
  <si>
    <t>#DigitalMarketing #OnlineMarketing #SEO #EcommerceMarketing #ContentMarketing #DigitalStrategy #SEM #Branding #SMM #PPC #MarketingTips #BrandBuilding #SEOtips #OnlineAdvertising #SearchRankings #OnlinePresence #ROI #inovies https://t.co/HruRPasQRc https://t.co/NdD0rew7Nh</t>
  </si>
  <si>
    <t>#DigitalMarketing #OnlineMarketing #SEO #EcommerceMarketing #ContentMarketing #DigitalStrategy #SEM #Branding #SMM #PPC #MarketingTips #BrandBuilding #SEOtips #OnlineAdvertising #SearchRankings #OnlinePresence #ROI #inovies https://t.co/HruRPasQRc https://t.co/WL2ehm2j50</t>
  </si>
  <si>
    <t>#DigitalMarketing #OnlineMarketing #SEO #EcommerceMarketing #ContentMarketing #DigitalStrategy #SEM #Branding #SMM #PPC #MarketingTips #BrandBuilding #SEOtips #OnlineAdvertising #SearchRankings #OnlinePresence #ROI #inovies https://t.co/HruRPasQRc https://t.co/LOp8DTWzAh</t>
  </si>
  <si>
    <t>#DigitalMarketing #OnlineMarketing #SEO #EcommerceMarketing #ContentMarketing #DigitalStrategy #SEM #Branding #SMM #PPC #MarketingTips #BrandBuilding #SEOtips #OnlineAdvertising #SearchRankings #OnlinePresence #ROI #inovies https://t.co/HruRPasQRc https://t.co/M4ikHM2BPk</t>
  </si>
  <si>
    <t>#DigitalMarketing #OnlineMarketing #SEO #EcommerceMarketing #ContentMarketing #DigitalStrategy #SEM #Branding #SMM #PPC #MarketingTips #BrandBuilding #SEOtips #OnlineAdvertising #SearchRankings #OnlinePresence #ROI #inovies https://t.co/HruRPasQRc https://t.co/3WqrD5j2Ox</t>
  </si>
  <si>
    <t>#DigitalMarketing #OnlineMarketing #SEO #EcommerceMarketing #ContentMarketing #DigitalStrategy #SEM #Branding #SMM #PPC #MarketingTips #BrandBuilding #SEOtips #OnlineAdvertising #SearchRankings #OnlinePresence #ROI #inovies https://t.co/HruRPasQRc https://t.co/ij9whPJ3bI</t>
  </si>
  <si>
    <t>#DigitalMarketing #OnlineMarketing #SEO #EcommerceMarketing #ContentMarketing #DigitalStrategy #SEM #Branding #SMM #PPC #MarketingTips #BrandBuilding #SEOtips #OnlineAdvertising #SearchRankings #OnlinePresence #ROI #inovies https://t.co/HruRPasQRc https://t.co/W0LdQxvB7K</t>
  </si>
  <si>
    <t>#DigitalMarketing #OnlineMarketing #SEO #EcommerceMarketing #ContentMarketing #DigitalStrategy #SEM #Branding #SMM #PPC #MarketingTips #BrandBuilding #SEOtips #OnlineAdvertising #SearchRankings #OnlinePresence #ROI #inovies https://t.co/HruRPasQRc https://t.co/DhohRWAa5U</t>
  </si>
  <si>
    <t>#DigitalMarketing #OnlineMarketing #SEO #EcommerceMarketing #ContentMarketing #DigitalStrategy #SEM #Branding #SMM #PPC #MarketingTips #BrandBuilding #SEOtips #OnlineAdvertising #SearchRankings #OnlinePresence #ROI #inovies https://t.co/HruRPasQRc https://t.co/rsj3YLCjtM</t>
  </si>
  <si>
    <t>#DigitalMarketing #OnlineMarketing #SEO #EcommerceMarketing #ContentMarketing #DigitalStrategy #SEM #Branding #SMM #PPC #MarketingTips #BrandBuilding #SEOtips #OnlineAdvertising #SearchRankings #OnlinePresence #ROI #inovies https://t.co/HruRPasQRc https://t.co/eA5hWXV1Xa</t>
  </si>
  <si>
    <t>#DigitalMarketing #OnlineMarketing #SEO #EcommerceMarketing #ContentMarketing #DigitalStrategy #SEM #Branding #SMM #PPC #MarketingTips #BrandBuilding #SEOtips #OnlineAdvertising #SearchRankings #OnlinePresence #ROI #inovies https://t.co/HruRPasQRc https://t.co/OlM2gO3f0u</t>
  </si>
  <si>
    <t>#DigitalMarketing #OnlineMarketing #SEO #EcommerceMarketing #ContentMarketing #DigitalStrategy #SEM #Branding #SMM #PPC #MarketingTips #BrandBuilding #SEOtips #OnlineAdvertising #SearchRankings #OnlinePresence #ROI #inovies https://t.co/HruRPasQRc https://t.co/Gv3Dc3jyhf</t>
  </si>
  <si>
    <t>#DigitalMarketing #OnlineMarketing #SEO #EcommerceMarketing #ContentMarketing #DigitalStrategy #SEM #Branding #SMM #PPC #MarketingTips #BrandBuilding #SEOtips #OnlineAdvertising #SearchRankings #OnlinePresence #ROI #inovies https://t.co/HruRPasQRc https://t.co/fOwuKGZgFO</t>
  </si>
  <si>
    <t>#DigitalMarketing #OnlineMarketing #SEO #EcommerceMarketing #ContentMarketing #DigitalStrategy #SEM #Branding #SMM #PPC #MarketingTips #BrandBuilding #SEOtips #OnlineAdvertising #SearchRankings #OnlinePresence #ROI #inovies https://t.co/HruRPasQRc https://t.co/BVIZNsPxws</t>
  </si>
  <si>
    <t>#DigitalMarketing #OnlineMarketing #SEO #EcommerceMarketing #ContentMarketing #DigitalStrategy #SEM #Branding #SMM #PPC #MarketingTips #BrandBuilding #SEOtips #OnlineAdvertising #SearchRankings #OnlinePresence #ROI #inovies https://t.co/HruRPasQRc https://t.co/iC3L0H9Aql</t>
  </si>
  <si>
    <t>#DigitalMarketing #OnlineMarketing #SEO #EcommerceMarketing #ContentMarketing #DigitalStrategy #SEM #Branding #SMM #PPC #MarketingTips #BrandBuilding #SEOtips #OnlineAdvertising #SearchRankings #OnlinePresence #ROI #inovies https://t.co/HruRPasQRc https://t.co/pzokEefGKA</t>
  </si>
  <si>
    <t>#DigitalMarketing #OnlineMarketing #SEO #EcommerceMarketing #ContentMarketing #DigitalStrategy #SEM #Branding #SMM #PPC #MarketingTips #BrandBuilding #SEOtips #OnlineAdvertising #SearchRankings #OnlinePresence #ROI #inovies https://t.co/HruRPasQRc https://t.co/CGUYj396mv</t>
  </si>
  <si>
    <t>#StandByPVSunilKumarIPS</t>
  </si>
  <si>
    <t>How to upgrade #Executives https://t.co/G0l0STJfUL</t>
  </si>
  <si>
    <t>#Apple #samsung https://t.co/9zTjVxQNyb</t>
  </si>
  <si>
    <t>#Creative Works https://t.co/u8wvTDrNWo</t>
  </si>
  <si>
    <t>How Cloud Implementation Is Helping In Transforming Business platforms https://t.co/zLamlfYyUz</t>
  </si>
  <si>
    <t>Google announces its new gaming platform called Stadia  https://t.co/XbEVzSxKkd</t>
  </si>
  <si>
    <t>#seo at #inovies https://t.co/7yPRyTEyjn</t>
  </si>
  <si>
    <t>Empathize with your OPPONENTS</t>
  </si>
  <si>
    <t>New Changes To Be Introduced By SEBI to promote the growth of the Indian startup ecosystem. https://t.co/byPdmkRTQl</t>
  </si>
  <si>
    <t>#startups https://t.co/RxMjnPzW9i</t>
  </si>
  <si>
    <t>#seo #metatags #metarobotstag https://t.co/JvlPLtdjdW</t>
  </si>
  <si>
    <t>#metarobotstag https://t.co/hkzrru2BCH</t>
  </si>
  <si>
    <t>#metatags #metarobotstag https://t.co/c6tOnnQEOc</t>
  </si>
  <si>
    <t>The Top 12 #LoadBalancing Techniques to Keep on Your Radar in 2024
#inovies #SEO #SMM #SMO #branding #Digitalmarketing #digitalmarketingagency #Marketing https://t.co/cNwxujxUK4 https://t.co/YXpasGz4IX</t>
  </si>
  <si>
    <t>#digitalmarketingagency #DigitalMarketing #SMM #SEO https://t.co/OAJe8N669i #socialmediamarketing #SEM #inovies #branding #Hyderabad #PPC #Marketing #MarketingStrategy https://t.co/KQsoBKsFGw</t>
  </si>
  <si>
    <t>#digitalmarketingagency #DigitalMarketing #SMM #SEO https://t.co/OAJe8N669i #socialmediamarketing #SEM #inovies #branding #Hyderabad #PPC #Marketing #MarketingStrategy https://t.co/BlTBoCGFIx</t>
  </si>
  <si>
    <t>#digitalmarketingagency #DigitalMarketing #SMM #SEO https://t.co/OAJe8N669i #socialmediamarketing #SEM #inovies #branding #Hyderabad #PPC #Marketing #MarketingStrategy https://t.co/GnI9rePSKo</t>
  </si>
  <si>
    <t>Technical SEO: Found an extremely obscure issue on this client's PDPs which none of the SEO tools found. Took some digging to get to the bottom of it. Check out the results once we roll out the fix!
#inovies #SEO #SMM #SMO #branding #Digitalmarketing https://t.co/cNwxujxUK4 https://t.co/qvas52Pwh2</t>
  </si>
  <si>
    <t>23 Collaborate with influencers for reach: Partner with influencers relevant to your industry, like a fitness blogger promoting a health supplement, to tap into their engaged audience. #digitalmarketingagency #Hyderabad #Inovies</t>
  </si>
  <si>
    <t>Do you Agree?
Embracing change and fostering innovation: where challenges meet opportunities.
#inovies #SEO #SMM #SMO #branding #Digitalmarketing #digitalmarketingagency #Marketing https://t.co/cNwxujxUK4 https://t.co/mFObH77SDj</t>
  </si>
  <si>
    <t>#DigitalMarketing #OnlineMarketing #SEO #EcommerceMarketing #ContentMarketing #DigitalStrategy #SEM #Branding #SMM #PPC #MarketingTips #BrandBuilding #SEOtips #OnlineAdvertising #SearchRankings #OnlinePresence #ROI #inovies https://t.co/HruRPasQRc https://t.co/iIwwkAHjGV</t>
  </si>
  <si>
    <t>@Inovies https://t.co/189HhPBpHL</t>
  </si>
  <si>
    <t>Let the #world see the names in Jeffrey #Epstein's little black book. 
#EpsteinClientList https://t.co/u5U5n6CyZG</t>
  </si>
  <si>
    <t>Operation #ProsperityGuardian in the #RedSea with global powers joining forces.
Can we truly call it #Prosperity when it comes at the cost of silent suffering and unspoken #injustice?
Are we guardians of prosperity or #bystanders to a narrative written in the ink of silence? https://t.co/L33mnxqIVH</t>
  </si>
  <si>
    <t>Choose the right social media platforms:Identify and focus on platforms where your target audience is most active, whether it's Instagram, LinkedIn, Twitter, or others. #digitalmarketingagency #Hyderabad #Inovies https://t.co/sHR7uMu0IX</t>
  </si>
  <si>
    <t>Monitor and respond to comments and messages: Actively monitor and respond to comments and direct messages to maintain a positive online presence.
#digitalmarketingagency #Hyderabad #Inovies https://t.co/HruRPasQRc</t>
  </si>
  <si>
    <t>Engage with trending topics and hashtags: Stay current by participating in trending topics and using relevant hashtags to increase content visibility. #digitalmarketingagency #Hyderabad #Inovies https://t.co/HruRPasQRc</t>
  </si>
  <si>
    <t>Run social media contests and giveaways: Boost engagement and expand your reach by organizing contests or giveaways on social media. #digitalmarketingagency #Hyderabad #Inovies https://t.co/HruRPasQRc</t>
  </si>
  <si>
    <t>Participate in industry-related Twitter chats: Engage in relevant Twitter chats to connect with industry peers, share expertise, and expand your network. #digitalmarketingagency #Hyderabad #Inovies https://t.co/HruRPasQRc</t>
  </si>
  <si>
    <t>Here are 100 unique digital marketing tips across various aspects of online marketing. _xD83D__xDC47_ 2nd set #digitalmarketingagency #Hyderabad #Inovies
https://t.co/sHR7uMu0IX</t>
  </si>
  <si>
    <t>24 Consider interactive content (polls, quizzes): Increase audience participation by creating a poll on social media asking about preferences or launching an interactive quiz related to your industry. #digitalmarketingagency #Hyderabad #Inovies</t>
  </si>
  <si>
    <t>15 Incorporate user-generated content: Feature customer reviews, photos, or testimonials on your website and social media to build trust and authenticity. #digitalmarketingagency #Hyderabad #In</t>
  </si>
  <si>
    <t>14 Utilize geo-targeting for local audiences: Tailor Facebook ads to target users in specific cities, promoting local events or exclusive in-store promotions. #digitalmarketingagency #Hyderabad #Inovies</t>
  </si>
  <si>
    <t>13 Prioritize mobile-friendly strategies: Optimize your website for mobile users, ensuring seamless navigation and a visually appealing experience on smartphones and tablets. #digitalmarketingagency #Hyderabad #Inovies</t>
  </si>
  <si>
    <t>12 Explore emerging digital marketing channels: Investigate new platforms like TikTok or Clubhouse to identify opportunities for reaching younger audiences in innovative ways. #digitalmarketingagency #Hyderabad #Inovies</t>
  </si>
  <si>
    <t>#DigitalMarketing  or #OnlineMarketing or #SEO via NodeXL https://t.co/zzUix96opq
@
Top hashtags:
#digitalmarketing
#seo
#marketing
#onlinemarketing
#socialmedia
#socialmediamarketing
#contentmarketing
#marketingtips
#branding
#ppc</t>
  </si>
  <si>
    <t>https://t.co/r7KYHtdX47
#DigitalMarketing #seo #inovies #Hyderabad https://t.co/mLIyOPFdUc</t>
  </si>
  <si>
    <t>#DigitalMarketing  or #OnlineMarketing or #SEO via NodeXL https://t.co/zzUix96opq
@
Top hashtags:
#digitalmarketing
#seo
#marketing
#onlinemarketing
#socialmedia
#socialmediamarketing
#contentmarketing
#marketingtips
#branding
#ppc /</t>
  </si>
  <si>
    <t>#DigitalMarketing  #OnlineMarketing #SEO #EcommerceMarketing #ContentMarketing #DigitalStrategy #SEM #Branding #SMM #PPC #MarketingTips #BrandBuilding #SEOtips #OnlineAdvertising #SearchRankings #OnlinePresence #ROI #inovies https://t.co/HruRPasQRc #Hyderabad https://t.co/fMJlyyDxkg</t>
  </si>
  <si>
    <t>#DigitalMarketing #OnlineMarketing #SEO #EcommerceMarketing #ContentMarketing #DigitalStrategy #SEM #Branding #SMM #PPC #MarketingTips #BrandBuilding #SEOtips #OnlineAdvertising #SearchRankings #OnlinePresence #ROI #inovies https://t.co/HruRPasQRc https://t.co/3b6Hs74zPS</t>
  </si>
  <si>
    <t>#DigitalMarketing #OnlineMarketing #SEO #EcommerceMarketing #ContentMarketing #DigitalStrategy #SEM #Branding #SMM #PPC #MarketingTips #BrandBuilding #SEOtips #OnlineAdvertising #SearchRankings #OnlinePresence #ROI #inovies https://t.co/HruRPasQRc https://t.co/oY2eTLaW69</t>
  </si>
  <si>
    <t>#DigitalMarketing #OnlineMarketing #SEO #EcommerceMarketing #ContentMarketing #DigitalStrategy #SEM #Branding #SMM #PPC #MarketingTips #BrandBuilding #SEOtips #OnlineAdvertising #SearchRankings #OnlinePresence #ROI #inovies https://t.co/HruRPasQRc https://t.co/uDJel6qPAv</t>
  </si>
  <si>
    <t>#DigitalMarketing #OnlineMarketing #SEO #EcommerceMarketing #ContentMarketing #DigitalStrategy #SEM #Branding #SMM #PPC #MarketingTips #BrandBuilding #SEOtips #OnlineAdvertising #SearchRankings #OnlinePresence #ROI #inovies https://t.co/HruRPasQRc https://t.co/zQ8vhm8o7y</t>
  </si>
  <si>
    <t>#DigitalMarketing #OnlineMarketing #SEO #EcommerceMarketing #ContentMarketing #DigitalStrategy #SEM #Branding #SMM #PPC #MarketingTips #BrandBuilding #SEOtips #OnlineAdvertising #SearchRankings #OnlinePresence #ROI #inovies https://t.co/HruRPasQRc https://t.co/wPPzsLeIOF</t>
  </si>
  <si>
    <t>#DigitalMarketing #OnlineMarketing #SEO #EcommerceMarketing #ContentMarketing #DigitalStrategy #SEM #Branding #SMM #PPC #MarketingTips #BrandBuilding #SEOtips #OnlineAdvertising #SearchRankings #OnlinePresence #ROI #inovies https://t.co/HruRPasQRc https://t.co/e41xmESTfV</t>
  </si>
  <si>
    <t>#DigitalMarketing #OnlineMarketing #SEO #EcommerceMarketing #ContentMarketing #DigitalStrategy #SEM #Branding #SMM #PPC #MarketingTips #BrandBuilding #SEOtips #OnlineAdvertising #SearchRankings #OnlinePresence #ROI #inovies https://t.co/HruRPasQRc https://t.co/DKdwJhmqRD</t>
  </si>
  <si>
    <t>#DigitalMarketing #OnlineMarketing #SEO #EcommerceMarketing #ContentMarketing #DigitalStrategy #SEM #Branding #SMM #PPC #MarketingTips #BrandBuilding #SEOtips #OnlineAdvertising #SearchRankings #OnlinePresence #ROI #inovies https://t.co/HruRPasQRc https://t.co/gToR7uQfsc</t>
  </si>
  <si>
    <t>#DigitalMarketing #OnlineMarketing #SEO #EcommerceMarketing #ContentMarketing #DigitalStrategy #SEM #Branding #SMM #PPC #MarketingTips #BrandBuilding #SEOtips #OnlineAdvertising #SearchRankings #OnlinePresence #ROI #inovies https://t.co/HruRPasQRc https://t.co/CqA5n6txef</t>
  </si>
  <si>
    <t>#DigitalMarketing #OnlineMarketing #SEO #EcommerceMarketing #ContentMarketing #DigitalStrategy #SEM #Branding #SMM #PPC #MarketingTips #BrandBuilding #SEOtips #OnlineAdvertising #SearchRankings #OnlinePresence #ROI #inovies https://t.co/HruRPasQRc https://t.co/mUdkveEroF</t>
  </si>
  <si>
    <t>#DigitalMarketing #OnlineMarketing #SEO #EcommerceMarketing #ContentMarketing #DigitalStrategy #SEM #Branding #SMM #PPC #MarketingTips #BrandBuilding #SEOtips #OnlineAdvertising #SearchRankings #OnlinePresence #ROI #inovies https://t.co/HruRPasQRc https://t.co/dIWiHn5R99</t>
  </si>
  <si>
    <t>#DigitalMarketing #OnlineMarketing #SEO #EcommerceMarketing #ContentMarketing #DigitalStrategy #SEM #Branding #SMM #PPC #MarketingTips #BrandBuilding #SEOtips #OnlineAdvertising #SearchRankings #OnlinePresence #ROI #inovies https://t.co/HruRPasQRc https://t.co/mPE1TUUD2B</t>
  </si>
  <si>
    <t>#DigitalMarketing #OnlineMarketing #SEO #EcommerceMarketing #ContentMarketing #DigitalStrategy #SEM #Branding #SMM #PPC #MarketingTips #BrandBuilding #SEOtips #OnlineAdvertising #SearchRankings #OnlinePresence #ROI #inovies https://t.co/HruRPasQRc https://t.co/rh1hMqXu6B</t>
  </si>
  <si>
    <t>#DigitalMarketing #OnlineMarketing #SEO #EcommerceMarketing #ContentMarketing #DigitalStrategy #SEM #Branding #SMM #PPC #MarketingTips #BrandBuilding #SEOtips #OnlineAdvertising #SearchRankings #OnlinePresence #ROI #inovies https://t.co/HruRPasQRc https://t.co/vKQpKrN5bY</t>
  </si>
  <si>
    <t>#DigitalMarketing #OnlineMarketing #SEO #EcommerceMarketing #ContentMarketing #DigitalStrategy #SEM #Branding #SMM #PPC #MarketingTips #BrandBuilding #SEOtips #OnlineAdvertising #SearchRankings #OnlinePresence #ROI #inovies https://t.co/HruRPasQRc https://t.co/spSB5QB6xO</t>
  </si>
  <si>
    <t>#DigitalMarketing #OnlineMarketing #SEO #EcommerceMarketing #ContentMarketing #DigitalStrategy #SEM #Branding #SMM #PPC #MarketingTips #BrandBuilding #SEOtips #OnlineAdvertising #SearchRankings #OnlinePresence #ROI #inovies https://t.co/HruRPasQRc https://t.co/FpZ62IWEb9</t>
  </si>
  <si>
    <t>#DigitalMarketing #OnlineMarketing #SEO #EcommerceMarketing #ContentMarketing #DigitalStrategy #SEM #Branding #SMM #PPC #MarketingTips #BrandBuilding #SEOtips #OnlineAdvertising #SearchRankings #OnlinePresence #ROI #inovies https://t.co/HruRPasQRc https://t.co/24rsBMILo4</t>
  </si>
  <si>
    <t>#DigitalMarketing #OnlineMarketing #SEO #EcommerceMarketing #ContentMarketing #DigitalStrategy #SEM #Branding #SMM #PPC #MarketingTips #BrandBuilding #SEOtips #OnlineAdvertising #SearchRankings #OnlinePresence #ROI #inovies https://t.co/HruRPasQRc https://t.co/reqXbt7EEv</t>
  </si>
  <si>
    <t>#DigitalMarketing #OnlineMarketing #SEO #EcommerceMarketing #ContentMarketing #DigitalStrategy #SEM #Branding #SMM #PPC #MarketingTips #BrandBuilding #SEOtips #OnlineAdvertising #SearchRankings #OnlinePresence #ROI #inovies https://t.co/HruRPasQRc https://t.co/3bdwkfRIlK</t>
  </si>
  <si>
    <t>#DigitalMarketing #OnlineMarketing #SEO #EcommerceMarketing #ContentMarketing #DigitalStrategy #SEM #Branding #SMM #PPC #MarketingTips #BrandBuilding #SEOtips #OnlineAdvertising #SearchRankings #OnlinePresence #ROI #inovies https://t.co/HruRPasQRc https://t.co/eGJgoMpkh0</t>
  </si>
  <si>
    <t>#DigitalMarketing #OnlineMarketing #SEO #EcommerceMarketing #ContentMarketing #DigitalStrategy #SEM #Branding #SMM #PPC #MarketingTips #BrandBuilding #SEOtips #OnlineAdvertising #SearchRankings #OnlinePresence #ROI #inovies https://t.co/HruRPasQRc https://t.co/hdCFJjbedl</t>
  </si>
  <si>
    <t>#DigitalMarketing #OnlineMarketing #SEO #EcommerceMarketing #ContentMarketing #DigitalStrategy #SEM #Branding #SMM #PPC #MarketingTips #BrandBuilding #SEOtips #OnlineAdvertising #SearchRankings #OnlinePresence #ROI #inovies https://t.co/HruRPasQRc https://t.co/8eZCnsKCpq</t>
  </si>
  <si>
    <t>#DigitalMarketing #OnlineMarketing #SEO #EcommerceMarketing #ContentMarketing #DigitalStrategy #SEM #Branding #SMM #PPC #MarketingTips #BrandBuilding #SEOtips #OnlineAdvertising #SearchRankings #OnlinePresence #ROI #inovies https://t.co/HruRPasQRc https://t.co/7O67I98GMv</t>
  </si>
  <si>
    <t>#DigitalMarketing #OnlineMarketing #SEO #EcommerceMarketing #ContentMarketing #DigitalStrategy #SEM #Branding #SMM #PPC #MarketingTips #BrandBuilding #SEOtips #OnlineAdvertising #SearchRankings #OnlinePresence #ROI #inovies https://t.co/HruRPasQRc https://t.co/DyoZ9zWHZY</t>
  </si>
  <si>
    <t>#DigitalMarketing #OnlineMarketing #SEO #EcommerceMarketing #ContentMarketing #DigitalStrategy #SEM #Branding #SMM #PPC #MarketingTips #BrandBuilding #SEOtips #OnlineAdvertising #SearchRankings #OnlinePresence #ROI #inovies https://t.co/HruRPasQRc https://t.co/BjfOYCCiwC</t>
  </si>
  <si>
    <t>#DigitalMarketing #OnlineMarketing #SEO #EcommerceMarketing #ContentMarketing #DigitalStrategy #SEM #Branding #SMM #PPC #MarketingTips #BrandBuilding #SEOtips #OnlineAdvertising #SearchRankings #OnlinePresence #ROI #inovies https://t.co/HruRPasQRc https://t.co/gtshiRekkE</t>
  </si>
  <si>
    <t>#DigitalMarketing #OnlineMarketing #SEO #EcommerceMarketing #ContentMarketing #DigitalStrategy #SEM #Branding #SMM #PPC #MarketingTips #BrandBuilding #SEOtips #OnlineAdvertising #SearchRankings #OnlinePresence #ROI #inovies https://t.co/HruRPasQRc https://t.co/IC4fpbwKQb</t>
  </si>
  <si>
    <t>#DigitalMarketing #OnlineMarketing #SEO #EcommerceMarketing #ContentMarketing #DigitalStrategy #SEM #Branding #SMM #PPC #MarketingTips #BrandBuilding #SEOtips #OnlineAdvertising #SearchRankings #OnlinePresence #ROI #inovies https://t.co/HruRPasQRc https://t.co/DFdYymMxn9</t>
  </si>
  <si>
    <t>#DigitalMarketing #OnlineMarketing #SEO #EcommerceMarketing #ContentMarketing #DigitalStrategy #SEM #Branding #SMM #PPC #MarketingTips #BrandBuilding #SEOtips #OnlineAdvertising #SearchRankings #OnlinePresence #ROI #inovies https://t.co/HruRPasQRc https://t.co/F3oxCQdVeR</t>
  </si>
  <si>
    <t>#DigitalMarketing #OnlineMarketing #SEO #EcommerceMarketing #ContentMarketing #DigitalStrategy #SEM #Branding #SMM #PPC #MarketingTips #BrandBuilding #SEOtips #OnlineAdvertising #SearchRankings #OnlinePresence #ROI #inovies https://t.co/HruRPasQRc https://t.co/Px7NGGdxW1</t>
  </si>
  <si>
    <t>#DigitalMarketing #OnlineMarketing #SEO #EcommerceMarketing #ContentMarketing #DigitalStrategy #SEM #Branding #SMM #PPC #MarketingTips #BrandBuilding #SEOtips #OnlineAdvertising #SearchRankings #OnlinePresence #ROI #inovies https://t.co/HruRPasQRc https://t.co/exOTZzTJZp</t>
  </si>
  <si>
    <t>#DigitalMarketing #OnlineMarketing #SEO #EcommerceMarketing #ContentMarketing #DigitalStrategy #SEM #Branding #SMM #PPC #MarketingTips #BrandBuilding #SEOtips #OnlineAdvertising #SearchRankings #OnlinePresence #ROI #inovies https://t.co/HruRPasQRc https://t.co/BU0n0C6URV</t>
  </si>
  <si>
    <t>#DigitalMarketing #OnlineMarketing #SEO #EcommerceMarketing #ContentMarketing #DigitalStrategy #SEM #Branding #SMM #PPC #MarketingTips #BrandBuilding #SEOtips #OnlineAdvertising #SearchRankings #OnlinePresence #ROI #inovies https://t.co/HruRPasQRc https://t.co/GmJEEqw3vc</t>
  </si>
  <si>
    <t>#DigitalMarketing #OnlineMarketing #SEO #EcommerceMarketing #ContentMarketing #DigitalStrategy #SEM #Branding #SMM #PPC #MarketingTips #BrandBuilding #SEOtips #OnlineAdvertising #SearchRankings #OnlinePresence #ROI #inovies https://t.co/HruRPasQRc https://t.co/WofEECMWSj</t>
  </si>
  <si>
    <t>#DigitalMarketing #OnlineMarketing #SEO #EcommerceMarketing #ContentMarketing #DigitalStrategy #SEM #Branding #SMM #PPC #MarketingTips #BrandBuilding #SEOtips #OnlineAdvertising #SearchRankings #OnlinePresence #ROI #inovies https://t.co/HruRPasQRc https://t.co/2gOuKHwbKo</t>
  </si>
  <si>
    <t>#DigitalMarketing #OnlineMarketing #SEO #EcommerceMarketing #ContentMarketing #DigitalStrategy #SEM #Branding #SMM #PPC #MarketingTips #BrandBuilding #SEOtips #OnlineAdvertising #SearchRankings #OnlinePresence #ROI #inovies https://t.co/HruRPasQRc https://t.co/Q4j5RWhpWn</t>
  </si>
  <si>
    <t>#DigitalMarketing #OnlineMarketing #SEO #EcommerceMarketing #ContentMarketing #DigitalStrategy #SEM #Branding #SMM #PPC #MarketingTips #BrandBuilding #SEOtips #OnlineAdvertising #SearchRankings #OnlinePresence #ROI #inovies https://t.co/HruRPasQRc https://t.co/tXSpsim2XM</t>
  </si>
  <si>
    <t>#DigitalMarketing #OnlineMarketing #SEO #EcommerceMarketing #ContentMarketing #DigitalStrategy #SEM #Branding #SMM #PPC #MarketingTips #BrandBuilding #SEOtips #OnlineAdvertising #SearchRankings #OnlinePresence #ROI #inovies https://t.co/HruRPasQRc https://t.co/VInymHdIIy</t>
  </si>
  <si>
    <t>#DigitalMarketing #OnlineMarketing #SEO #EcommerceMarketing #ContentMarketing #DigitalStrategy #SEM #Branding #SMM #PPC #MarketingTips #BrandBuilding #SEOtips #OnlineAdvertising #SearchRankings #OnlinePresence #ROI #inovies https://t.co/HruRPasQRc https://t.co/vNrZQLZVsX</t>
  </si>
  <si>
    <t>#DigitalMarketing #OnlineMarketing #SEO #EcommerceMarketing #ContentMarketing #DigitalStrategy #SEM #Branding #SMM #PPC #MarketingTips #BrandBuilding #SEOtips #OnlineAdvertising #SearchRankings #OnlinePresence #ROI #inovies https://t.co/HruRPasQRc https://t.co/nHSgacUPOU</t>
  </si>
  <si>
    <t>#DigitalMarketing #OnlineMarketing #SEO #EcommerceMarketing #ContentMarketing #DigitalStrategy #SEM #Branding #SMM #PPC #MarketingTips #BrandBuilding #SEOtips #OnlineAdvertising #SearchRankings #OnlinePresence #ROI #inovies https://t.co/sHR7uMu0IX https://t.co/CYivtEQRjH</t>
  </si>
  <si>
    <t>Incorporating AI into your digital marketing strategy can lead to more efficient, targeted, and data-driven campaigns, ultimately improving the overall effectiveness of your marketing efforts.
Contact #inovies for any #DigitalMarketing Requirements</t>
  </si>
  <si>
    <t>Continuous Learning and Adaptation _xD83D__xDE4C_
Stay updated on AI developments in the #digitalmarketing landscape.
Embrace a culture of continuous learning to leverage new AI tools.
Be adaptive and responsive to the evolving needs of your target audience.
#inovies</t>
  </si>
  <si>
    <t>Security and Fraud Prevention _xD83D__xDEA8_
Use AI for #cybersecurity to protect customer data.
Implement fraud detection algorithms to secure online transactions.
Build trust with customers by ensuring a secure digital environment.
#inovies</t>
  </si>
  <si>
    <t>Stephen Hawking was a great scientist and an extraordinary man whose work and and legacy will live on for many years.</t>
  </si>
  <si>
    <t>Subjects that should be mandatory in schools: 
 #Taxes 
#Coding 
#Cooking 
#Insurance 
#Weightlifting 
#SelfDefense 
#SurvivalSkills 
#SocialEtiquette 
#PublicSpeaking 
#PersonalFinance 
#CarMaintenance 
#BasicHomeRepair 
#StressManagement  
What would you add?
#inovies</t>
  </si>
  <si>
    <t>#GEMINI: The largest and most capable AI model from #GoogleDeepMind 
NOW IT'S TIME FOR BOT WARS
#ChatGPT #ConversationalAI #AIChat #Chatbot
#NaturalLanguageProcessing #GPT3 #LanguageModel #OpenAI #AIAssistants #SmartConversations #inovies #CompetitorXChat #AIConversations https://t.co/AzGNAhnIUU</t>
  </si>
  <si>
    <t>#startups : Bold ideas require Brilliant Minds.</t>
  </si>
  <si>
    <t>https://t.co/l70Vv6QO3G https://t.co/A65gGJJl0F</t>
  </si>
  <si>
    <t>New job offer: India it jobs inovies requires technical hyderabad    http://bit.ly/iS7GIJ</t>
  </si>
  <si>
    <t>INOVIES | IT Technology | Web Design and Development| Indusutrial Craft http://t.co/pTtnXeA5 via @sharethis</t>
  </si>
  <si>
    <t>INOVIES | IT Technology | Web Design and Development| Indusutrial Craft http://t.co/dFXmqIun via @sharethis</t>
  </si>
  <si>
    <t>INOVIES | IT Technology | Web Design and Development| Indusutrial Craft http://t.co/QHextqae via @sharethis</t>
  </si>
  <si>
    <t>@espn "Imagine," like when your dreams kill you inovies? They're both silly and fugly.</t>
  </si>
  <si>
    <t>@Inovies Thank you for following,  _xD83D__xDC1B_  Have you joined our G+ Community _xD83D__xDC49_  https://t.co/JdxdutDFSu</t>
  </si>
  <si>
    <t>web</t>
  </si>
  <si>
    <t>freshers</t>
  </si>
  <si>
    <t>standbypvsunilkumarips</t>
  </si>
  <si>
    <t>fridayfeeling</t>
  </si>
  <si>
    <t>uxjobs india</t>
  </si>
  <si>
    <t>winners may 19may 19may2015 19may2016 19may2017 19may2018 19may2019 19may2020 19may2021 19may2022 webguruawards throwback</t>
  </si>
  <si>
    <t>webdesign inovies</t>
  </si>
  <si>
    <t>best digitalmarketing consulting company hyderabad inovies s</t>
  </si>
  <si>
    <t>growthhacker</t>
  </si>
  <si>
    <t>digital_marketing_agency hyderabad digitamarketing_company</t>
  </si>
  <si>
    <t>best_digital_marketing agency seo_company hyderabad</t>
  </si>
  <si>
    <t>goodfirms reviews mobileappdevelopment</t>
  </si>
  <si>
    <t>sharethelove</t>
  </si>
  <si>
    <t>webdesign</t>
  </si>
  <si>
    <t>website</t>
  </si>
  <si>
    <t>tech</t>
  </si>
  <si>
    <t>appdevelopment appdevelopmentagencies appdevelopers appdevelopmentcompanies appdevelopment appdev</t>
  </si>
  <si>
    <t>appdevelopment appdevelopers appdevelopmentcompanies appdevelopmentagencies mobileappdevelopment</t>
  </si>
  <si>
    <t>wikipedia dawoodibrahim inovies</t>
  </si>
  <si>
    <t>catchmoredata</t>
  </si>
  <si>
    <t>digitalmarketingservices</t>
  </si>
  <si>
    <t>webdevelopment webdev</t>
  </si>
  <si>
    <t>webdesign websitedesign webdevelopment website web websitedevelopment</t>
  </si>
  <si>
    <t>webdesign websitedevelopment websitedesign website webdeveloper</t>
  </si>
  <si>
    <t>inoviescontentmarketing</t>
  </si>
  <si>
    <t>contentwritingservices</t>
  </si>
  <si>
    <t>inoviesdigitalmarketingcompany</t>
  </si>
  <si>
    <t>inoviessocialmediamarketingservices</t>
  </si>
  <si>
    <t>socialmediamarketingservices</t>
  </si>
  <si>
    <t>inoviesseoservices</t>
  </si>
  <si>
    <t>webdesigncompany</t>
  </si>
  <si>
    <t>bestwebsitedesigncompany</t>
  </si>
  <si>
    <t>bestdigitalmarketingservicesinhyderabad</t>
  </si>
  <si>
    <t>webservicesinhyderabad</t>
  </si>
  <si>
    <t>digitalmarketingagency</t>
  </si>
  <si>
    <t>webdevelopmentcompany</t>
  </si>
  <si>
    <t>webdesign webdesigner webdesigncourse webdeveloper</t>
  </si>
  <si>
    <t>webdesigningcompanies</t>
  </si>
  <si>
    <t>websitedesigner</t>
  </si>
  <si>
    <t>webdesign websitedevelopment websitedesign website websiteinfo</t>
  </si>
  <si>
    <t>websitedesign websitedevelopment webdesigner websites websiteinfo websitereviews website</t>
  </si>
  <si>
    <t>websitedevelopment webdesigner websitedesign webdeveloper</t>
  </si>
  <si>
    <t>ecommercebusiness ecommercewebsitedesign webdevelopment webdevelopment webdeveloper webdeveloper websitedesign</t>
  </si>
  <si>
    <t>webdevelopment webdesigner webdeveloper webdesign websitedesign</t>
  </si>
  <si>
    <t>webdevelopment webdesigner webdeveloper webdevelopers webdeveloper website</t>
  </si>
  <si>
    <t>webdesign websitedevelopment webservices webdevelopment webdevelopment</t>
  </si>
  <si>
    <t>webdesign ecommerce ecommercebusiness webdesigner websitedesign</t>
  </si>
  <si>
    <t>responsivewebdesign webdesign webdevelopment webdesigner</t>
  </si>
  <si>
    <t>webdesign webdevelopment webdeveloper webdevelopers webdevelopers</t>
  </si>
  <si>
    <t>webdesign ecommercewebdesign webdesigner websitedesign websitedevelopment websiteinfo</t>
  </si>
  <si>
    <t>webdesign webdevelopment webdeveloper webdevelopers</t>
  </si>
  <si>
    <t>ecommercewebdesign</t>
  </si>
  <si>
    <t>inovieswebdevelopmentcompany</t>
  </si>
  <si>
    <t>websitedesigncompany</t>
  </si>
  <si>
    <t>socialmediamarketingagency</t>
  </si>
  <si>
    <t>seocompaniesinhyderabad</t>
  </si>
  <si>
    <t>payperclickmanagementservices</t>
  </si>
  <si>
    <t>webdesigningservicesinhyderabad</t>
  </si>
  <si>
    <t>bestdigitalmarketingcompanyinhyderabad</t>
  </si>
  <si>
    <t>contentpromotion</t>
  </si>
  <si>
    <t>salesefficiency salestips crm</t>
  </si>
  <si>
    <t>writingjobs freelance writing jobs</t>
  </si>
  <si>
    <t>websitedesigningcompany</t>
  </si>
  <si>
    <t>nominee gotd vote webguru webguruawards customized application development digital marketing technical writing client hyderabad business international companies global statistics india</t>
  </si>
  <si>
    <t>winners may 19may 19may2015 19may2016 19may2017 19may2018 19may2019 19may2020 19may2021 webguruawards throwback</t>
  </si>
  <si>
    <t>webguru webguruawards customized application development digital marketing technical client hyderabad international global statistics competitors segments india</t>
  </si>
  <si>
    <t>drugfreetelangana hyderabad jubileehills hyderabadpolice saynotodrugs inovies</t>
  </si>
  <si>
    <t>india saudiarabia digitization electronicmanufacturing inovies uae</t>
  </si>
  <si>
    <t>usa</t>
  </si>
  <si>
    <t>submission inovies digitalmarketingagency</t>
  </si>
  <si>
    <t>telangana inovies</t>
  </si>
  <si>
    <t>digitalmarketing datainsights seo inovies</t>
  </si>
  <si>
    <t>paypalentrepreneurcontest</t>
  </si>
  <si>
    <t>nasa optical communications future inovies</t>
  </si>
  <si>
    <t>freespeech democracy responsibleexpression</t>
  </si>
  <si>
    <t>digitalmarketing digitalmarketingagency</t>
  </si>
  <si>
    <t>top hyderabad list mobileapp companies</t>
  </si>
  <si>
    <t>classifiedads classifieds</t>
  </si>
  <si>
    <t>uxjobs</t>
  </si>
  <si>
    <t>freshers walkins</t>
  </si>
  <si>
    <t>indywood_it_excellence_award indywood itexcellenceaward inovies webdevelopment digitalmarketing</t>
  </si>
  <si>
    <t>standwithpvsunilkumarips</t>
  </si>
  <si>
    <t>discussion</t>
  </si>
  <si>
    <t>7hsportsevents tcpl tv5 eliteacademy hoteljubilleridge cricket corporate hyderabad telangana</t>
  </si>
  <si>
    <t>happymonday</t>
  </si>
  <si>
    <t>book</t>
  </si>
  <si>
    <t>followfriday</t>
  </si>
  <si>
    <t>web design web development</t>
  </si>
  <si>
    <t>logo vector</t>
  </si>
  <si>
    <t>india jobs indiaj mba indiajobsearch</t>
  </si>
  <si>
    <t>india indiajobs</t>
  </si>
  <si>
    <t>seo august2020 seocompanies seoagencies searchengineoptimizationservices seoservices</t>
  </si>
  <si>
    <t>uiuxdesigningagencies uiuxdesigners webdesign uiuxdesign</t>
  </si>
  <si>
    <t>uiuxdesigningagencies</t>
  </si>
  <si>
    <t>indywood_it_excellence_award</t>
  </si>
  <si>
    <t>standbypvsunilkumarips standbypvsunilkumarips standbypvsunilkumarips standbypvsunilkumarips standbypvsunilkumarips standbypvsunilkumarip standbypvsunilkumarips standbypvsunilkumarips standbypvsunilkumarips standbypvsunilkumarips standbypvsunilkumarips</t>
  </si>
  <si>
    <t>pallaviprashanth biggbosstelugu7 inovies</t>
  </si>
  <si>
    <t>ppc conversion rate optz best company in hyderabad inovies digitalmarketing seo smo india contentmarketing webdesign webdevelopment</t>
  </si>
  <si>
    <t>best local marketing company in hyderabad inovies digitalmarketing seo smo india contentmarketing webdesign webdevelopment</t>
  </si>
  <si>
    <t>best social media marketing company hyderabad india digitalmarketing seo smo contentmarketng</t>
  </si>
  <si>
    <t>best digitalmarketing consulting company hyderabad inovies seoservices smo smm india</t>
  </si>
  <si>
    <t>actionable growth hacking tactics at inovies best digitalmarketing services in hyderabad india</t>
  </si>
  <si>
    <t>excellent customer acquistion company in hyderabad india realneed best digital tactics techniques</t>
  </si>
  <si>
    <t>sloganwriting taglinewriting</t>
  </si>
  <si>
    <t>newsletter emailwriting services</t>
  </si>
  <si>
    <t>technicalblogwriting inovies</t>
  </si>
  <si>
    <t>hireourdedicatedcontentwriters</t>
  </si>
  <si>
    <t>presales sales marketing communicationservices</t>
  </si>
  <si>
    <t>trainingmaterial</t>
  </si>
  <si>
    <t>website contentwriting services</t>
  </si>
  <si>
    <t>technicaldocumentationservices</t>
  </si>
  <si>
    <t>socialmedia blogs posts inovies</t>
  </si>
  <si>
    <t>deliberation startups inovies</t>
  </si>
  <si>
    <t>future webdevelopment inovies</t>
  </si>
  <si>
    <t>initialamountupfront inovies</t>
  </si>
  <si>
    <t>websitedesign webdevelopment inovies</t>
  </si>
  <si>
    <t>inovies goodmobile mvp</t>
  </si>
  <si>
    <t>userexperience inovies</t>
  </si>
  <si>
    <t>service aboutbrand speak inovies</t>
  </si>
  <si>
    <t>applefamous inovies</t>
  </si>
  <si>
    <t>logodesign websitedesign hyderabad</t>
  </si>
  <si>
    <t>changingtoerp inovies</t>
  </si>
  <si>
    <t>inovies socialmediastrategies mastermarketer</t>
  </si>
  <si>
    <t>inovies onpageauditchecklist</t>
  </si>
  <si>
    <t>projectcommunicationplan inovies</t>
  </si>
  <si>
    <t>actionablegrowthhackingtactics</t>
  </si>
  <si>
    <t>emailmarketingcompany</t>
  </si>
  <si>
    <t>webdesigning webdevelopment hyderabad</t>
  </si>
  <si>
    <t>uidevelopment company hyderabad</t>
  </si>
  <si>
    <t>mobileapp designcompany hyderabad</t>
  </si>
  <si>
    <t>webdesign websitedesign hyderabad</t>
  </si>
  <si>
    <t>inovies responsivewebdesign</t>
  </si>
  <si>
    <t>standbypvsunilkumarips standbypvsunilkumarips unknownmiraclesofgodkabir happybirthdaynbk thursdaymorning thursdaythoughts thursdaymotivation nbk107 nandamuribalakrishna narishakti4newindia save_male_nurses shanijayanti hbdnbk thursdayvibes</t>
  </si>
  <si>
    <t>celebraciodaniversari laviaenfa80 totsambnovios inovies</t>
  </si>
  <si>
    <t>jobs india</t>
  </si>
  <si>
    <t>article</t>
  </si>
  <si>
    <t>forum nodebb</t>
  </si>
  <si>
    <t>free images free website webdesign</t>
  </si>
  <si>
    <t>mobilefriendlywebsite responsivewebsite responsivedesign</t>
  </si>
  <si>
    <t>excoecaria jobs career careers employmen</t>
  </si>
  <si>
    <t>seocompaniesinhyderabad seoservicescompanyinhyderabad seoinhyderabad</t>
  </si>
  <si>
    <t>seoservicesinhyderabad</t>
  </si>
  <si>
    <t>ppcservicesinhyderabad payperclick payperclickmarketing payperclickadvertising</t>
  </si>
  <si>
    <t>seoservicesinhyderabad seocompaniesinhyderabad seoinhyderabad bestseoservicesinhyderabad seoservicescompanyinhyderabad</t>
  </si>
  <si>
    <t>seoservicesinhyderabad seocompaniesinhyderabad bestseoservicesinhyderabad seoinhyderabad</t>
  </si>
  <si>
    <t>inoviesdigitalmarketingagency</t>
  </si>
  <si>
    <t>inoviesppccompany</t>
  </si>
  <si>
    <t>inovieswebdevelopmentcompany inovieswebdevelopmentservices</t>
  </si>
  <si>
    <t>payperclickadvertising ppcmanagementcompanyindia ppcmanagementservicesindia</t>
  </si>
  <si>
    <t>seoservicescompanyinhyderabad seoinhyderabad bestseocompanyinhyderabad</t>
  </si>
  <si>
    <t>webdevelopmentcompanyinhyderabad websitedevelopmentcompanyinhyderabad webdevelopersinhyderabad</t>
  </si>
  <si>
    <t>ecommercewebsitedevelopmentcompany ecommercewebsitedevelopmentservices</t>
  </si>
  <si>
    <t>androidmobileappdevelopmentcompany androidapplicationdevelopmentcompany</t>
  </si>
  <si>
    <t>bestwebsitedevelopmentcompanyinhyderabad websitedevelopmentinhyderabad webapplicationdevelopmentcompanyinhyderabad</t>
  </si>
  <si>
    <t>jobs job</t>
  </si>
  <si>
    <t>ppccompany ppcagency payperclickadvertising payperclickmarketing</t>
  </si>
  <si>
    <t>ppcagency ppcagecnyhyderabad</t>
  </si>
  <si>
    <t>biggbosstelugu7</t>
  </si>
  <si>
    <t>manthan</t>
  </si>
  <si>
    <t>thankfulfor followers</t>
  </si>
  <si>
    <t>selfhealing love mindfulness understanding life</t>
  </si>
  <si>
    <t>dunkireview salaarceasefire companioninneed hbdysjagan asksrk iplauction</t>
  </si>
  <si>
    <t>seo digitalmarketing</t>
  </si>
  <si>
    <t>digitalmarketing onlinemarketing seo ecommercemarketing contentmarketing digitalstrategy sem branding smm ppc marketingtips brandbuilding seotips onlineadvertising searchrankings onlinepresence roi inovies</t>
  </si>
  <si>
    <t>inovies digitalmarketing</t>
  </si>
  <si>
    <t>ecommerce inovies</t>
  </si>
  <si>
    <t>inovies marketing</t>
  </si>
  <si>
    <t>startup</t>
  </si>
  <si>
    <t>entrepreneur</t>
  </si>
  <si>
    <t>webdesigningcompany</t>
  </si>
  <si>
    <t>responsivewebdesigncompany</t>
  </si>
  <si>
    <t>seo smm smo digitalmarketingagency digitalmarketing marketing inovies branding</t>
  </si>
  <si>
    <t>digitalmarketingagency hyderabad inovies</t>
  </si>
  <si>
    <t>digitalmarketing onlinemarketing seo ecommercemarketing contentmarketing digitalstrategy sem branding smm ppc marketingtips brandbuilding seotips onlineadvertising searchrankings onlinepresence roi inovies hyderabad</t>
  </si>
  <si>
    <t>inovies leadgeneration digitalmarketing</t>
  </si>
  <si>
    <t>digitalmarketing seo</t>
  </si>
  <si>
    <t>dunkireview salaarceasefire companioninneed hbdysjagan asksrk iplauction boycottpvrinox stockmarketcrash epsteinclientlist lincoln christie tusk republicans devil livwhu inovies</t>
  </si>
  <si>
    <t>seo inovies digitalmarketing smm marketingstrategy</t>
  </si>
  <si>
    <t>joebiden motorcade jillbiden secretservice inovies</t>
  </si>
  <si>
    <t>inovies seo digitalmarketing digitalmarketingagency</t>
  </si>
  <si>
    <t>digitalmarketingagency digitalmarketing smm seo socialmediamarketing sem inovies branding hyderabad ppc marketing marketingstrategy</t>
  </si>
  <si>
    <t>online website seo</t>
  </si>
  <si>
    <t>seo smm smo digitalmarketingagency digitalmarketing inovies marketing branding</t>
  </si>
  <si>
    <t>92mps india politicstoday redalert inovies bjp bjpgovernment congress congressparty goodgovernance</t>
  </si>
  <si>
    <t>breaking_news covid jn1 india advisory inovies</t>
  </si>
  <si>
    <t>adobe figma acquisition designers inovies</t>
  </si>
  <si>
    <t>socialmedia</t>
  </si>
  <si>
    <t>inovies seo smm smo branding digitalmarketing digitalmarketingagency marketing</t>
  </si>
  <si>
    <t>anticorruptionday dontignoreus deepikapadukone</t>
  </si>
  <si>
    <t>socialmedia inovies</t>
  </si>
  <si>
    <t>testing inovies</t>
  </si>
  <si>
    <t>content inovies</t>
  </si>
  <si>
    <t>seo inovies</t>
  </si>
  <si>
    <t>algorithms campaign roi inovies</t>
  </si>
  <si>
    <t>marketing analytics inovies</t>
  </si>
  <si>
    <t>chatbots ai inovies</t>
  </si>
  <si>
    <t>personalizedcustomerexperience inovies</t>
  </si>
  <si>
    <t>digitalmarketing marketingstrategy aiinmarketing contentcreation socialmediamarketing datadrivendecisions seostrategies emailautomation onlineadvertising customerengagement marketinganalytics brandbuilding</t>
  </si>
  <si>
    <t>proxy techinnovation cybersecurity networks technews internetprivacy inovies</t>
  </si>
  <si>
    <t>ai artificialintelligence machinelearning automation robotics aifuture techinnovation techjobs jobopportunity futureofworkai jobs inovies</t>
  </si>
  <si>
    <t>ai techprogress geminiai chatgpt inovies</t>
  </si>
  <si>
    <t>digitalmarketing seo searchengineoptimization contentmarketing backlinks onlinevisibility marketingstrategy keywordoptimization algorithmchanges industrytrends brandpresence audienceengagement inovies digitalmarketingagency</t>
  </si>
  <si>
    <t>digitalmarketing seo searchengineoptimization contentmarketing inovies</t>
  </si>
  <si>
    <t>businessmanagement chatgpt inovies seo smm smo branding digitalmarketing digitalmarketingagency marketing</t>
  </si>
  <si>
    <t>careerdevelopment careergrowth problemsolver inovies careeradvice</t>
  </si>
  <si>
    <t>socialmediamarketing inovies</t>
  </si>
  <si>
    <t>design development digitalmarketer</t>
  </si>
  <si>
    <t>digitalmarketing</t>
  </si>
  <si>
    <t>web webdeveloper seo digitalmarketing digitalmarketingagency seo smo smm marketing inovies fullstack frontend backend database server applications informationtechnology</t>
  </si>
  <si>
    <t>online</t>
  </si>
  <si>
    <t>digitalmarketing inovies</t>
  </si>
  <si>
    <t>who jn1variant covid coronavirus pandemic india india</t>
  </si>
  <si>
    <t>webdevelopment wordpresswebsitedesign wordpressdeveloper hyderabad inovies</t>
  </si>
  <si>
    <t>websitedesign websitedesignhyderabad webdesign webdesignhyderabad websitedesigning</t>
  </si>
  <si>
    <t>smartindia</t>
  </si>
  <si>
    <t>bitcoins blockchain niccary</t>
  </si>
  <si>
    <t>digitalmarketing googleplus inovies</t>
  </si>
  <si>
    <t>digitalmarketing pinterest inovies</t>
  </si>
  <si>
    <t>digitalmarketing youtube inovies</t>
  </si>
  <si>
    <t>digitalmarketing reddit inovies</t>
  </si>
  <si>
    <t>digitalmarketing linkedin inovies</t>
  </si>
  <si>
    <t>digitalmarketing twitter inovies</t>
  </si>
  <si>
    <t>socialmediamarketing snapchat inovies</t>
  </si>
  <si>
    <t>digitalmarketing instagram inovies</t>
  </si>
  <si>
    <t>digitalmarketing facebook inovies</t>
  </si>
  <si>
    <t>ecommerce</t>
  </si>
  <si>
    <t>inovies chatbots</t>
  </si>
  <si>
    <t>chatgpt inovies seo smm smo branding digitalmarketing digitalmarketingagency marketing</t>
  </si>
  <si>
    <t>sharing caring inovies</t>
  </si>
  <si>
    <t>blackrock bitcoin etfs sec global markets bitcoinetf inovies</t>
  </si>
  <si>
    <t>internetdown inovies</t>
  </si>
  <si>
    <t>socialmediamarketing technicalseo digitalmarketing localseo digitalmarketingagency</t>
  </si>
  <si>
    <t>executives</t>
  </si>
  <si>
    <t>apple samsung</t>
  </si>
  <si>
    <t>creative</t>
  </si>
  <si>
    <t>startups</t>
  </si>
  <si>
    <t>seo metatags metarobotstag</t>
  </si>
  <si>
    <t>metarobotstag</t>
  </si>
  <si>
    <t>metatags metarobotstag</t>
  </si>
  <si>
    <t>loadbalancing inovies seo smm smo branding digitalmarketing digitalmarketingagency marketing</t>
  </si>
  <si>
    <t>inovies seo smm smo branding digitalmarketing</t>
  </si>
  <si>
    <t>world epstein epsteinclientlist</t>
  </si>
  <si>
    <t>prosperityguardian redsea prosperity injustice bystanders</t>
  </si>
  <si>
    <t>digitalmarketingagency hyderabad in</t>
  </si>
  <si>
    <t>digitalmarketing onlinemarketing seo digitalmarketing seo marketing onlinemarketing socialmedia socialmediamarketing contentmarketing marketingtips branding ppc</t>
  </si>
  <si>
    <t>digitalmarketing seo inovies hyderabad</t>
  </si>
  <si>
    <t>cybersecurity inovies</t>
  </si>
  <si>
    <t>taxes coding cooking insurance weightlifting selfdefense survivalskills socialetiquette publicspeaking personalfinance carmaintenance basichomerepair stressmanagement inovies</t>
  </si>
  <si>
    <t>gemini googledeepmind chatgpt conversationalai aichat chatbot naturallanguageprocessing gpt3 languagemodel openai aiassistants smartconversations inovies competitorxchat aiconversations</t>
  </si>
  <si>
    <t>https://twitter.com/suryakotianu/status/938667558806286337 https://goo.gl/UDmV7L</t>
  </si>
  <si>
    <t>https://youtu.be/z0QcZ0xernE https://Statusbrew.com</t>
  </si>
  <si>
    <t>http://company.contact https://www.inovies.com/web-design/ecommerce-website-design-company</t>
  </si>
  <si>
    <t>http://2020.contact https://www.inovies.com/web-design/website-design-packages</t>
  </si>
  <si>
    <t>http://pronounce.media https://Statusbrew.com</t>
  </si>
  <si>
    <t>https://www.inovies.com https://www.bizofit.com/business-directory/inovies/?p=1323233</t>
  </si>
  <si>
    <t>http://TopDevelopers.co https://bit.ly/3kr97ri</t>
  </si>
  <si>
    <t>http://www.twibs.com http://www.twibs.com/signin.php</t>
  </si>
  <si>
    <t>http://www.inoviesmarketing.com http://bit.ly/Krow5H</t>
  </si>
  <si>
    <t>https://twitter.com/i/web/status/1198924003072602113 https://twitter.com/i/web/status/1198924003072602113</t>
  </si>
  <si>
    <t>https://twitter.com/i/web/status/1199280373106003968 https://twitter.com/i/web/status/1199280373106003968</t>
  </si>
  <si>
    <t>http://cssnectar.com/css-gallery-inspiration/best-website-design-company-in-hyderabad-india/ http://CSSNectar.com</t>
  </si>
  <si>
    <t>https://cssnectar.com/css-gallery-inspiration/inovies/ http://CSSNectar.com</t>
  </si>
  <si>
    <t>http://cssnectar.com/css-gallery-inspiration/best-web-design-company-in-uae/ http://CSSNectar.com</t>
  </si>
  <si>
    <t>http://bit.ly/blu-fanpage https://Statusbrew.com</t>
  </si>
  <si>
    <t>https://www.inovies.com/digital-marketing/ https://g.co/kgs/Bq6zgR</t>
  </si>
  <si>
    <t>dragplus.com</t>
  </si>
  <si>
    <t>dlvr.it</t>
  </si>
  <si>
    <t>goo.gl</t>
  </si>
  <si>
    <t>dld.bz</t>
  </si>
  <si>
    <t>webguruawards.com</t>
  </si>
  <si>
    <t>paper.li</t>
  </si>
  <si>
    <t>followupthen.com</t>
  </si>
  <si>
    <t>twitter.com goo.gl</t>
  </si>
  <si>
    <t>customerthink.com</t>
  </si>
  <si>
    <t>inovies.com</t>
  </si>
  <si>
    <t>freehostforum.com</t>
  </si>
  <si>
    <t>bit.ly</t>
  </si>
  <si>
    <t>bitly.com</t>
  </si>
  <si>
    <t>tinyurl.com</t>
  </si>
  <si>
    <t>x.com</t>
  </si>
  <si>
    <t>fb.me</t>
  </si>
  <si>
    <t>ift.tt</t>
  </si>
  <si>
    <t>chetanasforum.com</t>
  </si>
  <si>
    <t>writeupcafe.com</t>
  </si>
  <si>
    <t>ost.im</t>
  </si>
  <si>
    <t>youtu.be statusbrew.com</t>
  </si>
  <si>
    <t>company.contact inovies.com</t>
  </si>
  <si>
    <t>cutt.ly</t>
  </si>
  <si>
    <t>b.link</t>
  </si>
  <si>
    <t>is.gd</t>
  </si>
  <si>
    <t>2020.contact inovies.com</t>
  </si>
  <si>
    <t>urlzs.com</t>
  </si>
  <si>
    <t>twitter.com</t>
  </si>
  <si>
    <t>vulpine.social</t>
  </si>
  <si>
    <t>pinterest.com</t>
  </si>
  <si>
    <t>cnn.com</t>
  </si>
  <si>
    <t>linkedin.com</t>
  </si>
  <si>
    <t>yourstory.com</t>
  </si>
  <si>
    <t>paypal-proserv.com</t>
  </si>
  <si>
    <t>grwth.link</t>
  </si>
  <si>
    <t>wp.me</t>
  </si>
  <si>
    <t>namanas.com</t>
  </si>
  <si>
    <t>designernews.co</t>
  </si>
  <si>
    <t>dreamcreationsevents.com</t>
  </si>
  <si>
    <t>micromanagerapps.com</t>
  </si>
  <si>
    <t>lnkd.in</t>
  </si>
  <si>
    <t>amzn.to</t>
  </si>
  <si>
    <t>smarturl.it</t>
  </si>
  <si>
    <t>pronounce.media statusbrew.com</t>
  </si>
  <si>
    <t>shar.es</t>
  </si>
  <si>
    <t>placementfloor.com</t>
  </si>
  <si>
    <t>seeklogo.com</t>
  </si>
  <si>
    <t>inovies.com bizofit.com</t>
  </si>
  <si>
    <t>co.in</t>
  </si>
  <si>
    <t>mtv.com</t>
  </si>
  <si>
    <t>careerage.com</t>
  </si>
  <si>
    <t>topdevelopers.co bit.ly</t>
  </si>
  <si>
    <t>geekrelief.com</t>
  </si>
  <si>
    <t>mynetcomms.com</t>
  </si>
  <si>
    <t>altereco.media</t>
  </si>
  <si>
    <t>instagram.com</t>
  </si>
  <si>
    <t>twibs.com twibs.com</t>
  </si>
  <si>
    <t>awwwards.com</t>
  </si>
  <si>
    <t>inoviesmarketing.com bit.ly</t>
  </si>
  <si>
    <t>example.com</t>
  </si>
  <si>
    <t>twitter.com twitter.com</t>
  </si>
  <si>
    <t>talk.company</t>
  </si>
  <si>
    <t>design.blog</t>
  </si>
  <si>
    <t>wordpress.com</t>
  </si>
  <si>
    <t>cssnectar.com cssnectar.com</t>
  </si>
  <si>
    <t>cssnectar.com</t>
  </si>
  <si>
    <t>bit.ly statusbrew.com</t>
  </si>
  <si>
    <t>commun.it</t>
  </si>
  <si>
    <t>ow.ly</t>
  </si>
  <si>
    <t>willow.link</t>
  </si>
  <si>
    <t>facebook.com</t>
  </si>
  <si>
    <t>pallibatani.com</t>
  </si>
  <si>
    <t>nauk.in</t>
  </si>
  <si>
    <t>hindustantimes.com</t>
  </si>
  <si>
    <t>inovies.com g.co</t>
  </si>
  <si>
    <t>naukri.com</t>
  </si>
  <si>
    <t>microsoft.com</t>
  </si>
  <si>
    <t>youtube.com</t>
  </si>
  <si>
    <t>g.co</t>
  </si>
  <si>
    <t>digitalpoint.com</t>
  </si>
  <si>
    <t>pin.it</t>
  </si>
  <si>
    <t>klou.tt</t>
  </si>
  <si>
    <t>amazonaws.com</t>
  </si>
  <si>
    <t>monroeconsult inovies</t>
  </si>
  <si>
    <t>hockeywoodkings thegregorye robertdowneyjr</t>
  </si>
  <si>
    <t>t0nyh0ran pure_banners finreluk inovies</t>
  </si>
  <si>
    <t>inovies virtuoso_qa</t>
  </si>
  <si>
    <t>minipea inovies fmidesign</t>
  </si>
  <si>
    <t>youtube</t>
  </si>
  <si>
    <t>ipfconline1 inovies smokingchili jeremyscrivens johngow swiftymorgan</t>
  </si>
  <si>
    <t>inovies customerthink</t>
  </si>
  <si>
    <t>inovies goodfirms</t>
  </si>
  <si>
    <t>convince christinkardos roja_inovies</t>
  </si>
  <si>
    <t>star_knowledge nichetechsol improvingmx inovies digitbazar square63 intexsoft skynet_tv redwerk quovantis</t>
  </si>
  <si>
    <t>miamitechsperts rocketinsights dom_and_tom goodworklabs worryfreelabs nichetechsol inovies digitbazar square63</t>
  </si>
  <si>
    <t>hagodhem2 barbatosrasiel</t>
  </si>
  <si>
    <t>ghmconline ktrtrs commissionrghmc</t>
  </si>
  <si>
    <t>pquestiono limadireitabr fabiorabin</t>
  </si>
  <si>
    <t>rankvisibility inovies skotwaldron</t>
  </si>
  <si>
    <t>webguruawards inovies</t>
  </si>
  <si>
    <t>jeremyherb inovies katiebolillis natashabertrand evanperez zcohencnn</t>
  </si>
  <si>
    <t>revanth_anumula bhatticlp</t>
  </si>
  <si>
    <t>shellypalmer linkedin</t>
  </si>
  <si>
    <t>inovies paypal</t>
  </si>
  <si>
    <t>bedasampath sfi_arjun</t>
  </si>
  <si>
    <t>nithin_bussa pv_sunil_kumar</t>
  </si>
  <si>
    <t>neilpatel neilpatel</t>
  </si>
  <si>
    <t>impressicodigi inovies nethues navaratantech tvishat switchsoft thecolourmoon</t>
  </si>
  <si>
    <t>mrblackog</t>
  </si>
  <si>
    <t>topdevelopersco leveronline dashtwo inovies digivate digitlresource straightnorth perfect_search gexton ethanewebtech</t>
  </si>
  <si>
    <t>faisalafridi007 natsecjeff</t>
  </si>
  <si>
    <t>nandi_tyres inovies cricclubs rsmgears thhyderabad</t>
  </si>
  <si>
    <t>crimebooks01 inovies</t>
  </si>
  <si>
    <t>eagles rodney_mcleod4</t>
  </si>
  <si>
    <t>goasirvia wendyvandepoll roja_inovies</t>
  </si>
  <si>
    <t>thriveagency leveronline dashtwo inovies digivate digitlresource straightnorth perfect_search gexton ethanewebtech</t>
  </si>
  <si>
    <t>topdevelopersco thriveagency dashtwo inovies digivate digitlresource straightnorth perfect_search gexton ethanewebtech</t>
  </si>
  <si>
    <t>a1future ripenappstech phoenix_bizz promatics softwaredevin evontech inovies octalitsolution sunarc_tech</t>
  </si>
  <si>
    <t>topdevelopersco a1future ripenappstech phoenix_bizz promatics softwaredevin inovies octalitsolution sunarc_tech topdevelopersco evontech</t>
  </si>
  <si>
    <t>tonycompton inovies av_tms</t>
  </si>
  <si>
    <t>inovies av_tms pennylanevideos</t>
  </si>
  <si>
    <t>rspraveenswaero inovies</t>
  </si>
  <si>
    <t>agindre lci gabrielattal gabrielattal cerballiance biogroup_labo inovies eaglaboratories</t>
  </si>
  <si>
    <t>biogroup_labo inovies labobiopyrenees</t>
  </si>
  <si>
    <t>inovies w3webdesign_in</t>
  </si>
  <si>
    <t>marie_veille shiatsudomontel nsahuc superpromo2o18 nguyen56712041 rhonevallee besson1258 avisproduitweb at_graphisme coacheloquence roja_inovies lamontilienne26 vladobotsvadze</t>
  </si>
  <si>
    <t>dinesh_vetal successlake inovies</t>
  </si>
  <si>
    <t>inovies manthanaward</t>
  </si>
  <si>
    <t>bskhod inovies</t>
  </si>
  <si>
    <t>inovies pnburrows</t>
  </si>
  <si>
    <t>https://t.co/cFQ6nSypry https://t.co/cFQ6nSypry https://pbs.twimg.com/media/EDiiSASU4AU8txn.jpg https://pbs.twimg.com/media/EDiiTRxVAAA-W5z.jpg</t>
  </si>
  <si>
    <t>https://t.co/1jU6knqzwa https://pbs.twimg.com/ext_tw_video_thumb/1659543765441212417/pu/img/s2xgeU5eSt-3S9xg.jpg</t>
  </si>
  <si>
    <t>https://t.co/TCdfc7yzzs https://pbs.twimg.com/media/DQbRJ0UUQAYtAx5.jpg</t>
  </si>
  <si>
    <t>https://t.co/BNCAQweBA9 https://pbs.twimg.com/media/EDma9tvXUAIcWHF.jpg</t>
  </si>
  <si>
    <t>https://t.co/WJnMVGHFJe https://pbs.twimg.com/media/ECkVmDLUwAAVf52.jpg</t>
  </si>
  <si>
    <t>https://t.co/6T2V0tKIfH https://pbs.twimg.com/media/DL727WvVoAAFkjO.jpg</t>
  </si>
  <si>
    <t>https://t.co/1z0AWWWg46 https://pbs.twimg.com/media/EyM8LFOVoAMSFqr.png</t>
  </si>
  <si>
    <t>https://t.co/pVZj2abwcE https://pbs.twimg.com/media/Ekc1zduU0AEdSKk.png</t>
  </si>
  <si>
    <t>https://t.co/eEWIpnmlQL https://pbs.twimg.com/media/GBmOQ42XAAEEFLW.jpg</t>
  </si>
  <si>
    <t>http://t.co/x95ca00Lad https://pbs.twimg.com/media/B5otJauCcAAcpZL.png</t>
  </si>
  <si>
    <t>http://t.co/GbPETAqX5U https://pbs.twimg.com/media/B4Ben6eCQAA_JUa.png</t>
  </si>
  <si>
    <t>http://t.co/pxdm9uvUQc https://pbs.twimg.com/media/B37YnZ9CEAIYfz0.png</t>
  </si>
  <si>
    <t>https://t.co/Nn7Ni6bCmO https://pbs.twimg.com/media/EJ9G5LxWkAAa6Ai.png</t>
  </si>
  <si>
    <t>https://t.co/FnqgWrMy4D https://pbs.twimg.com/media/EMsWsZGWkAELdf8.png</t>
  </si>
  <si>
    <t>https://t.co/mzGQEqWdAw https://pbs.twimg.com/media/EMi7MFFUUAAUqmf.jpg</t>
  </si>
  <si>
    <t>https://t.co/pdDZcjJJuT https://pbs.twimg.com/media/EMcthApWkAoosAt.jpg</t>
  </si>
  <si>
    <t>https://t.co/s1g6kbkfD1 https://pbs.twimg.com/media/EMTgVChWwAAlxx_.jpg</t>
  </si>
  <si>
    <t>https://t.co/j7Wsh2XLxM https://pbs.twimg.com/media/EMOBqnBWkAYyNg7.jpg</t>
  </si>
  <si>
    <t>https://t.co/sNSvmUSnMV https://pbs.twimg.com/media/EL5o3xaWoAEfV5r.jpg</t>
  </si>
  <si>
    <t>https://t.co/RDz3peXP95 https://pbs.twimg.com/media/ELqcSccW4AIixmh.jpg</t>
  </si>
  <si>
    <t>https://t.co/5kvNdDaHtA https://pbs.twimg.com/media/ELk3VmAXkAEZ6Dm.jpg</t>
  </si>
  <si>
    <t>https://t.co/7aqhsI1qdd https://pbs.twimg.com/media/ENaXXj8WoAA8csh.jpg</t>
  </si>
  <si>
    <t>https://t.co/ywH6hyfrW8 https://pbs.twimg.com/media/ENVZkRUXYAEL5_v.jpg</t>
  </si>
  <si>
    <t>https://t.co/N9ufrCpLbW https://pbs.twimg.com/media/ENRmPB8XYAMNJf0.jpg</t>
  </si>
  <si>
    <t>https://t.co/oDRffEcyT6 https://pbs.twimg.com/media/ENRk50bXUAAT9v9.jpg</t>
  </si>
  <si>
    <t>https://t.co/ne0LrQlKUb https://pbs.twimg.com/media/ENQQ2SLXYAEYVoY.jpg</t>
  </si>
  <si>
    <t>https://t.co/wTCo7uzJiI https://pbs.twimg.com/media/ENGwxucX0AAvstN.jpg</t>
  </si>
  <si>
    <t>https://t.co/Pti79FmR7Z https://pbs.twimg.com/media/ENF9MYUWkAciJKH.jpg</t>
  </si>
  <si>
    <t>https://t.co/WwgQWZYEk4 https://pbs.twimg.com/media/ENCFCyMW4AA_kDq.jpg</t>
  </si>
  <si>
    <t>https://t.co/SUsKY7yKlp https://pbs.twimg.com/media/ENA_kcIXYAA_jFg.jpg</t>
  </si>
  <si>
    <t>https://t.co/6rnxrAhRyh https://pbs.twimg.com/media/EMxnWDLW4AEpspD.jpg</t>
  </si>
  <si>
    <t>https://t.co/rvivLvlsq9 https://pbs.twimg.com/media/ENlnjXZX0AE54t8.jpg</t>
  </si>
  <si>
    <t>https://t.co/QCLgseTTEV https://pbs.twimg.com/media/ENalCL7WsAA1SX0.jpg</t>
  </si>
  <si>
    <t>https://t.co/5X6HRSeX5g https://pbs.twimg.com/media/EQolvB1UUAEjVKy.jpg</t>
  </si>
  <si>
    <t>https://t.co/trFUAEL2np https://pbs.twimg.com/media/EQjcmh3WkAET5Je.jpg</t>
  </si>
  <si>
    <t>https://t.co/3nlSkQekWI https://pbs.twimg.com/media/EN0QnsGUcAA5QfZ.jpg</t>
  </si>
  <si>
    <t>https://t.co/pruFgjkkea https://pbs.twimg.com/media/ENvI3TQWsAAVGQA.jpg</t>
  </si>
  <si>
    <t>https://t.co/ppP9FPErXG https://pbs.twimg.com/media/ENqzbffW4AEdf3I.jpg</t>
  </si>
  <si>
    <t>https://t.co/a7ls5p9Huq https://pbs.twimg.com/media/ELaz9YRXkAILow7.jpg</t>
  </si>
  <si>
    <t>https://t.co/Bb9w3ZctRY https://pbs.twimg.com/media/ELWKDX9UYAAMufF.jpg</t>
  </si>
  <si>
    <t>https://t.co/XyzAfGrsFY https://pbs.twimg.com/media/ELWH26VXYAAxVz1.jpg</t>
  </si>
  <si>
    <t>https://t.co/t74emfK1BQ https://pbs.twimg.com/media/ELGL20_XYAA0lSl.jpg</t>
  </si>
  <si>
    <t>https://t.co/GdbYOKIwI2 https://pbs.twimg.com/media/ELGJrzaWkAE3lBe.jpg</t>
  </si>
  <si>
    <t>https://t.co/hWn9Ybs0CL https://pbs.twimg.com/media/ELAJNdkXkAAuoWs.jpg</t>
  </si>
  <si>
    <t>https://t.co/srt848Ot2K https://pbs.twimg.com/media/ELACYo7WoAAMmtT.png</t>
  </si>
  <si>
    <t>https://t.co/jBxvlCoSWB https://pbs.twimg.com/media/EXym2AhU8AEAGj8.png</t>
  </si>
  <si>
    <t>https://t.co/voo9sxmdyy https://pbs.twimg.com/media/EX_NgYBU0AI6oIM.jpg</t>
  </si>
  <si>
    <t>https://t.co/6DkCvGv86H https://pbs.twimg.com/media/EX5HJpAVAAArT4c.jpg</t>
  </si>
  <si>
    <t>https://t.co/3kPSvjqVHG https://pbs.twimg.com/media/ENRmdJqUUAAZPB4.jpg</t>
  </si>
  <si>
    <t>https://t.co/ayvMNIvdAT https://pbs.twimg.com/media/ENGwQiAU4AA6DbZ.jpg</t>
  </si>
  <si>
    <t>https://t.co/z1UvcZv1YM https://pbs.twimg.com/media/ENCEmKrUcAARLh8.jpg</t>
  </si>
  <si>
    <t>https://t.co/vmsSLnas9h https://pbs.twimg.com/media/EMxoAZXUcAAHduO.jpg</t>
  </si>
  <si>
    <t>https://t.co/eCh12VDW8f https://pbs.twimg.com/media/EMtLTXDUcAADnKx.jpg</t>
  </si>
  <si>
    <t>https://t.co/wDansMdPPR https://pbs.twimg.com/media/ENakx4kUEAIE8n3.jpg</t>
  </si>
  <si>
    <t>https://t.co/IwRo61F0Sp https://pbs.twimg.com/media/ENqzIqEVUAEU8C0.jpg</t>
  </si>
  <si>
    <t>https://t.co/vxQDDZRliV https://pbs.twimg.com/media/ENloWQ9UcAIGXeG.jpg</t>
  </si>
  <si>
    <t>https://t.co/QYYqd2MH0E https://pbs.twimg.com/media/ELWJtLIVAAUI4N8.jpg</t>
  </si>
  <si>
    <t>https://t.co/qEHV2gIYSk https://pbs.twimg.com/media/ELWIJL1UUAE91U0.jpg</t>
  </si>
  <si>
    <t>https://t.co/WVlRj6FFZl https://pbs.twimg.com/media/ELAMOnhUYAAsXfO.jpg</t>
  </si>
  <si>
    <t>https://t.co/VgLLV8oTvL https://pbs.twimg.com/media/ELAJvbGUUAAIoup.jpg</t>
  </si>
  <si>
    <t>https://t.co/WtgOwWCA4b https://pbs.twimg.com/media/EK8fDhtUYAI4qRP.jpg</t>
  </si>
  <si>
    <t>https://t.co/3AzZjq8WRF https://pbs.twimg.com/media/EVznBx6VcAgnwpb.jpg</t>
  </si>
  <si>
    <t>https://t.co/btV8EHJm5r https://pbs.twimg.com/media/EVtilvZU8AIcFjw.jpg</t>
  </si>
  <si>
    <t>https://t.co/yqLGEVilE7 https://pbs.twimg.com/media/EVpjI6BUwAYL4Kz.jpg</t>
  </si>
  <si>
    <t>https://t.co/5pasmMJju5 https://pbs.twimg.com/media/EVpi43LUUAQgbjD.jpg</t>
  </si>
  <si>
    <t>https://t.co/1TCF43w0ke https://pbs.twimg.com/media/EVKof-nUcAAjFeU.png</t>
  </si>
  <si>
    <t>https://t.co/45VkRnjPu8 https://pbs.twimg.com/media/EVKoIWwUUAICwez.jpg</t>
  </si>
  <si>
    <t>https://t.co/vvz68I1FI4 https://pbs.twimg.com/media/EXf8z6-U4AAXBFW.jpg</t>
  </si>
  <si>
    <t>https://t.co/x2daLYAgHp https://pbs.twimg.com/media/EXa8DScUYAAXF0D.jpg</t>
  </si>
  <si>
    <t>https://t.co/vrHiGe9Z96 https://pbs.twimg.com/media/EXU0gaNUcAAh0DS.jpg</t>
  </si>
  <si>
    <t>https://t.co/uZQgb6Zoyu https://pbs.twimg.com/media/EXRHFKuUYAA267b.jpg</t>
  </si>
  <si>
    <t>https://t.co/iMoutVVm9j https://pbs.twimg.com/media/EXKAp-VUEAEGqi0.jpg</t>
  </si>
  <si>
    <t>https://t.co/DSfixhl8s0 https://pbs.twimg.com/media/EW2tAOdUYAASKxg.jpg</t>
  </si>
  <si>
    <t>https://t.co/fBXfYM49zD https://pbs.twimg.com/media/EWxxfsUXkAYvJE6.jpg</t>
  </si>
  <si>
    <t>https://t.co/u7QNIXj8ic https://pbs.twimg.com/media/EWr8Zm2UcAAbRRO.jpg</t>
  </si>
  <si>
    <t>https://t.co/00fsNksMBP https://pbs.twimg.com/media/EWYQ_2vVcAEJLBL.jpg</t>
  </si>
  <si>
    <t>https://t.co/ZKzlgHzlTW https://pbs.twimg.com/media/EWS83OBUcAU_8cJ.jpg</t>
  </si>
  <si>
    <t>https://t.co/IfKXp8LZbq https://pbs.twimg.com/media/EWNEfdIU4AQQMKZ.jpg</t>
  </si>
  <si>
    <t>https://t.co/1ZvbfE9MRx https://pbs.twimg.com/media/EV39ESyUwAAbxSd.jpg</t>
  </si>
  <si>
    <t>https://t.co/7Zib50RO5B https://pbs.twimg.com/media/EMi9L62UcAABD8R.jpg</t>
  </si>
  <si>
    <t>https://t.co/NlAEyciWvT https://pbs.twimg.com/media/EMdD7mCUwAELH2w.jpg</t>
  </si>
  <si>
    <t>https://t.co/ryPJSWLc6D https://pbs.twimg.com/media/EMTfCQiUcAAOhjn.jpg</t>
  </si>
  <si>
    <t>https://t.co/082PVyD7Dv https://pbs.twimg.com/media/EL5iljTU8AANfOj.jpg</t>
  </si>
  <si>
    <t>https://t.co/PgeO2DmZJz https://pbs.twimg.com/media/ELqbkHIUwAADUSQ.jpg</t>
  </si>
  <si>
    <t>https://t.co/KOEVNusaCg https://pbs.twimg.com/media/ELlNDnOUEAAM9zf.jpg</t>
  </si>
  <si>
    <t>https://t.co/8pgmgBA8xO https://pbs.twimg.com/media/ELfxOoEUEAAGP27.jpg</t>
  </si>
  <si>
    <t>https://t.co/Q8Nwc4A6e6 https://pbs.twimg.com/media/DGxUKFFXcAAebOa.jpg</t>
  </si>
  <si>
    <t>https://t.co/uQZlDMTHnQ https://pbs.twimg.com/media/DGxT3FhXsAEZ8gG.jpg</t>
  </si>
  <si>
    <t>https://t.co/Ny6rddgi1D https://pbs.twimg.com/media/C5iakheXEAEZqP8.jpg</t>
  </si>
  <si>
    <t>https://t.co/WU2dZbNGjw https://t.co/WU2dZbNGjw https://t.co/WU2dZbNGjw https://t.co/WU2dZbNGjw https://pbs.twimg.com/media/EFr-caLUUAAKXBx.jpg https://pbs.twimg.com/media/EFr-eH2U8AEFAgc.jpg https://pbs.twimg.com/media/EFr-fvlUYAAOeDf.jpg https://pbs.twimg.com/media/EFr-hFcUUAAVkEC.jpg</t>
  </si>
  <si>
    <t>https://t.co/Jpzr0A58vw https://pbs.twimg.com/media/Fdz--pcXgAATj4M.jpg</t>
  </si>
  <si>
    <t>https://t.co/IRYhvc7BNt https://pbs.twimg.com/media/DNQh8_NV4AElc_Q.jpg</t>
  </si>
  <si>
    <t>https://t.co/4vF5iNeAgh https://pbs.twimg.com/media/DdajHcnVwAAR907.jpg</t>
  </si>
  <si>
    <t>https://t.co/K3rDsi0F9Z https://pbs.twimg.com/ext_tw_video_thumb/1527320742605762560/pu/img/TP1xFhA6TCOwHTsi.jpg</t>
  </si>
  <si>
    <t>https://t.co/F3VLcxM78r https://pbs.twimg.com/media/Ddk5lziVMAA16C-.jpg</t>
  </si>
  <si>
    <t>https://t.co/lurZ3RpWnI https://pbs.twimg.com/media/Ddxf9C7V0AA4csq.jpg</t>
  </si>
  <si>
    <t>https://t.co/U5XsXqP6r6 https://pbs.twimg.com/ext_tw_video_thumb/1736583344513511424/pu/img/9dOn_MlzoMXEQxHL.jpg</t>
  </si>
  <si>
    <t>https://t.co/iqPTyqLf8s https://pbs.twimg.com/media/GBZwcLqWwAABk7M.jpg</t>
  </si>
  <si>
    <t>https://t.co/zUXuGU3Ys0 https://pbs.twimg.com/ext_tw_video_thumb/1736903995816390656/pu/img/N8rUW4AbJSAEq-tn.jpg</t>
  </si>
  <si>
    <t>https://t.co/bE8yWD826P https://pbs.twimg.com/media/EJat5M-UEAAztzQ.jpg</t>
  </si>
  <si>
    <t>https://t.co/YvWZhV3bmW https://pbs.twimg.com/media/C5iakheXEAEZqP8.jpg</t>
  </si>
  <si>
    <t>https://t.co/6PgfgegaqS https://t.co/6PgfgegaqS https://pbs.twimg.com/media/Fb13ajLWQAEt1pr.jpg https://pbs.twimg.com/media/Fb13ai1XwAA0V5W.jpg</t>
  </si>
  <si>
    <t>https://t.co/SX2nIDNofr https://pbs.twimg.com/media/DYoR20GU8AAUe3D.jpg</t>
  </si>
  <si>
    <t>https://t.co/QnUnTOqdHT https://pbs.twimg.com/media/EDF6AApWwAAqeZc.jpg</t>
  </si>
  <si>
    <t>https://t.co/Tl0AYbqo9D https://t.co/Tl0AYbqo9D https://pbs.twimg.com/media/DLEnv-bV4AAqAqM.jpg https://pbs.twimg.com/media/DLEnz6NUQAUVGhv.jpg</t>
  </si>
  <si>
    <t>https://t.co/4S7A7UlOBk https://pbs.twimg.com/media/Dw4ys3_UwAA-Uqv.jpg</t>
  </si>
  <si>
    <t>https://t.co/ayiCzxrFV2 https://pbs.twimg.com/media/C-QjweGXYAEU1xl.jpg</t>
  </si>
  <si>
    <t>https://t.co/xJEHrVJyKY https://pbs.twimg.com/media/C-QhsGsXYAAnY2i.jpg</t>
  </si>
  <si>
    <t>https://t.co/7Hkf2mGvhH https://pbs.twimg.com/media/EEU8ul5UUAEfsiR.png</t>
  </si>
  <si>
    <t>https://t.co/xv1MJSJHC0 https://pbs.twimg.com/media/ENWMn0jXkAESZs6.png</t>
  </si>
  <si>
    <t>https://t.co/3y6Jeb4ak6 https://pbs.twimg.com/media/EepuQKMUcAA5RXj.png</t>
  </si>
  <si>
    <t>https://t.co/3k6dEsr7I9 https://pbs.twimg.com/media/FTKnlbpWAAA8guS.png</t>
  </si>
  <si>
    <t>https://t.co/jhiELs0dGk https://pbs.twimg.com/media/EiHCmP8VkAAnzKF.jpg</t>
  </si>
  <si>
    <t>https://t.co/4P5fhpbTmy https://pbs.twimg.com/media/DQbRJ0UUQAYtAx5.jpg</t>
  </si>
  <si>
    <t>https://t.co/8wtHBwHpkb https://pbs.twimg.com/media/DQcEfsqU8AEDHU2.jpg</t>
  </si>
  <si>
    <t>https://t.co/ZXn0ciZlfX https://pbs.twimg.com/media/DQcDqZXV4AAXkm9.jpg</t>
  </si>
  <si>
    <t>https://t.co/QlXdBX0YwU https://pbs.twimg.com/media/DQcAnDuVoAEiOGL.jpg</t>
  </si>
  <si>
    <t>https://t.co/vaHCNPfiWE https://pbs.twimg.com/media/DQbRJ0UUQAYtAx5.jpg</t>
  </si>
  <si>
    <t>https://t.co/JPULJ9i5IC https://pbs.twimg.com/media/DQbPZsXVQAEFSTG.jpg</t>
  </si>
  <si>
    <t>https://t.co/EFmIXHcBKp https://pbs.twimg.com/media/DQbM4dwVoAA3xtt.jpg</t>
  </si>
  <si>
    <t>https://t.co/JqIWvaBNGM https://pbs.twimg.com/media/DNEQK9rUMAE-j2K.jpg</t>
  </si>
  <si>
    <t>https://t.co/Spix09XX6t https://pbs.twimg.com/media/DNEOjtcU8AAyXmZ.jpg</t>
  </si>
  <si>
    <t>https://t.co/okxVMjvvv8 https://pbs.twimg.com/media/DNEODRDUEAAsYd7.jpg</t>
  </si>
  <si>
    <t>https://t.co/AcQzqIGnyI https://pbs.twimg.com/media/DNENQM8VoAAbzAW.jpg</t>
  </si>
  <si>
    <t>https://t.co/VpcqySjBpI https://pbs.twimg.com/media/DNEMvIEUIAA88qF.jpg</t>
  </si>
  <si>
    <t>https://t.co/Y9YPGpkIiA https://pbs.twimg.com/media/DNELgWlUEAAeWnu.jpg</t>
  </si>
  <si>
    <t>https://t.co/RS4qToNyBk https://pbs.twimg.com/media/DNEK_z2U8AENymT.jpg</t>
  </si>
  <si>
    <t>https://t.co/THy278IDiW https://pbs.twimg.com/media/DNEG7qMVAAAKpTB.jpg</t>
  </si>
  <si>
    <t>https://t.co/NjLjBF6mRp https://pbs.twimg.com/media/DNEF-VmU8AAB3Zt.jpg</t>
  </si>
  <si>
    <t>https://t.co/ybNURGi4Iz https://pbs.twimg.com/media/DMV3y63UEAENpAa.jpg</t>
  </si>
  <si>
    <t>https://t.co/cjJq5Oxes7 https://pbs.twimg.com/media/DBsa34RXsAAqL-o.jpg</t>
  </si>
  <si>
    <t>https://t.co/cKj8LhAyI2 https://pbs.twimg.com/media/DBDgB4pU0AAw6L2.jpg</t>
  </si>
  <si>
    <t>https://t.co/aLVwGE6Hxz https://pbs.twimg.com/media/DDaWa2NUIAApy5z.jpg</t>
  </si>
  <si>
    <t>https://t.co/KzSaU3uLsH https://pbs.twimg.com/media/DDVEFvQVwAArPsm.jpg</t>
  </si>
  <si>
    <t>https://t.co/YdGohx3kbJ https://pbs.twimg.com/media/DDAWKGJUAAAa_Vp.jpg</t>
  </si>
  <si>
    <t>https://t.co/0zb1Gm3q7I https://pbs.twimg.com/media/DC7NWt6VwAAEgfG.jpg</t>
  </si>
  <si>
    <t>https://t.co/zkSvMXx5ql https://pbs.twimg.com/media/DC7NIPrUAAAFFnN.jpg</t>
  </si>
  <si>
    <t>https://t.co/KpDpvbywTD https://pbs.twimg.com/media/DC7M_qAUQAAQQfK.jpg</t>
  </si>
  <si>
    <t>https://t.co/x55x2jJ9ls https://pbs.twimg.com/media/DMVyLH8VoAANU0A.jpg</t>
  </si>
  <si>
    <t>https://t.co/Em1Er16Znu https://pbs.twimg.com/tweet_video_thumb/DMV6cIEVwAEH0-d.jpg</t>
  </si>
  <si>
    <t>https://t.co/HxllZwJ6tx https://pbs.twimg.com/tweet_video_thumb/DMV6PMHU8AEQjtm.jpg</t>
  </si>
  <si>
    <t>https://t.co/1CGxQJtkNj https://pbs.twimg.com/media/DMV9JiNVwAAzW9X.jpg</t>
  </si>
  <si>
    <t>https://t.co/wAIvQsUm4Q https://pbs.twimg.com/media/DMV8-SsU8AAoLIA.jpg</t>
  </si>
  <si>
    <t>https://t.co/ng0VbrUY9D https://pbs.twimg.com/media/DMV81isUEAAHpzg.jpg</t>
  </si>
  <si>
    <t>https://t.co/WsQ1yWUWXo https://pbs.twimg.com/media/DMV8sy5U8AENcmu.jpg</t>
  </si>
  <si>
    <t>https://t.co/PXItnVIucZ https://pbs.twimg.com/media/DMV8j9iUIAEol_v.jpg</t>
  </si>
  <si>
    <t>https://t.co/tLFs9VI5k1 https://pbs.twimg.com/media/DMV8XZQU8AEZY9d.jpg</t>
  </si>
  <si>
    <t>https://t.co/wWkCNW8mNX https://pbs.twimg.com/media/DMV8M9cVwAAe6i4.jpg</t>
  </si>
  <si>
    <t>https://t.co/GKv48NI830 https://pbs.twimg.com/media/DMV8Db_UEAEtsOc.jpg</t>
  </si>
  <si>
    <t>https://t.co/iciuk5rhYW https://pbs.twimg.com/media/DMV3kP8VwAA4w5y.jpg</t>
  </si>
  <si>
    <t>https://t.co/EKDzXNQ8pr https://pbs.twimg.com/media/DMV3QOFVAAEJQqN.jpg</t>
  </si>
  <si>
    <t>https://t.co/2HYtvEb7ZU https://pbs.twimg.com/media/DMV3CUkVwAAXLgH.jpg</t>
  </si>
  <si>
    <t>https://t.co/cGIrzHwpXz https://pbs.twimg.com/media/DMV20GwV4AA_VO6.jpg</t>
  </si>
  <si>
    <t>https://t.co/B4nZcLPzV8 https://pbs.twimg.com/media/DMV2TbWVoAAYNNb.jpg</t>
  </si>
  <si>
    <t>https://t.co/fBiCCQCqJq https://pbs.twimg.com/media/DMV1aO9UEAIRL84.jpg</t>
  </si>
  <si>
    <t>https://t.co/mRA2sfjgll https://pbs.twimg.com/media/DMV0-qIUEAEFDFu.jpg</t>
  </si>
  <si>
    <t>https://t.co/0Tf0h9cpSr https://pbs.twimg.com/media/DMV9cYRUEAEllUk.jpg</t>
  </si>
  <si>
    <t>https://t.co/gKvBuwNevL https://pbs.twimg.com/media/DMV9SMeUQAAF_pX.jpg</t>
  </si>
  <si>
    <t>https://t.co/iTrGv2Q0AU https://pbs.twimg.com/media/DMV4_8wVQAAjHT_.jpg</t>
  </si>
  <si>
    <t>https://t.co/VAJKcyaFs8 https://pbs.twimg.com/tweet_video_thumb/DMV42FDUMAAYf4x.jpg</t>
  </si>
  <si>
    <t>https://t.co/amoarPM5OW https://pbs.twimg.com/media/DM-xfdHVAAIeN9O.jpg</t>
  </si>
  <si>
    <t>https://t.co/VmbhZZFuQb https://pbs.twimg.com/media/DMV754RUMAEGym4.jpg</t>
  </si>
  <si>
    <t>https://t.co/kUDdwVBQ4H https://pbs.twimg.com/media/DMV7w0mVwAAHG5D.jpg</t>
  </si>
  <si>
    <t>https://t.co/LsuNvNtXok https://pbs.twimg.com/media/DMV7mraV4AAcfFz.jpg</t>
  </si>
  <si>
    <t>https://t.co/1ikfNkk25Y https://pbs.twimg.com/media/DMV7cfNVoAI6i-Y.jpg</t>
  </si>
  <si>
    <t>https://t.co/GsdFrBkoAg https://pbs.twimg.com/tweet_video_thumb/DMV5wpmUMAAhOz7.jpg</t>
  </si>
  <si>
    <t>https://t.co/If0enwZx5X https://pbs.twimg.com/tweet_video_thumb/DMV5hg7VoAUwQaT.jpg</t>
  </si>
  <si>
    <t>https://t.co/hLF9YU9b8V https://pbs.twimg.com/tweet_video_thumb/DMV5WnhVAAAWrrb.jpg</t>
  </si>
  <si>
    <t>https://t.co/com5igxRvP https://pbs.twimg.com/tweet_video_thumb/DMV5L7MVQAEmU0t.jpg</t>
  </si>
  <si>
    <t>https://t.co/EfXlgBDuow https://pbs.twimg.com/media/DMV0v58VoAA9W9I.jpg</t>
  </si>
  <si>
    <t>https://t.co/q5DGOSYBAm https://pbs.twimg.com/media/DMV0A8WVAAAUTPC.jpg</t>
  </si>
  <si>
    <t>https://t.co/8WZODgSXFZ https://pbs.twimg.com/media/DMVzr3iV4AAauHo.jpg</t>
  </si>
  <si>
    <t>https://t.co/uKjIOiSd7R https://pbs.twimg.com/media/DMVzLeiVAAAcjaZ.jpg</t>
  </si>
  <si>
    <t>https://t.co/0h8liV7D7b https://pbs.twimg.com/media/DCwP3D6UwAEgE67.jpg</t>
  </si>
  <si>
    <t>https://t.co/Tn8U6oWMzn https://pbs.twimg.com/media/DCLc5nAUMAA6Xaq.jpg</t>
  </si>
  <si>
    <t>https://t.co/nnOheXJjy4 https://pbs.twimg.com/media/DNEDgNLVoAEHO3x.jpg</t>
  </si>
  <si>
    <t>https://t.co/ZDLfmEJXeJ https://pbs.twimg.com/media/DM_JynNV4AYDh4h.jpg</t>
  </si>
  <si>
    <t>https://t.co/uvKO8xeRIc https://pbs.twimg.com/media/DM_EpnxUMAAJB-3.jpg</t>
  </si>
  <si>
    <t>https://t.co/tD0M1iLEr0 https://pbs.twimg.com/media/DM-9C3aUQAA7LS5.jpg</t>
  </si>
  <si>
    <t>https://t.co/EgJmZ1xxsV https://pbs.twimg.com/media/DM-2J9TUQAAurDC.jpg</t>
  </si>
  <si>
    <t>https://t.co/eIDiCrcIgw https://pbs.twimg.com/media/DM-vHbOVwAAHEGJ.jpg</t>
  </si>
  <si>
    <t>https://t.co/S06Vy1PkOK https://pbs.twimg.com/media/DMV7RcXUQAUoXpT.jpg</t>
  </si>
  <si>
    <t>https://t.co/ygvPVjait7 https://pbs.twimg.com/media/DMV6pGUVAAUQw1u.jpg</t>
  </si>
  <si>
    <t>https://t.co/SQ1Q9mlw9v https://pbs.twimg.com/media/DMV4rnTVwAA9Uro.jpg</t>
  </si>
  <si>
    <t>https://t.co/l4Vr045MvA https://pbs.twimg.com/media/DMV4cdIUIAYnqUU.jpg</t>
  </si>
  <si>
    <t>https://t.co/oNMUDm6TFT https://pbs.twimg.com/media/DQbRJ0UUQAYtAx5.jpg</t>
  </si>
  <si>
    <t>https://t.co/BqZI4dRPVx https://pbs.twimg.com/media/DbdgWA3WkAAwY1z.jpg</t>
  </si>
  <si>
    <t>https://t.co/1uFaXYkmGJ https://pbs.twimg.com/media/EKNvBeyU4AAhw_k.png</t>
  </si>
  <si>
    <t>https://t.co/KLkfkvLXNb https://pbs.twimg.com/media/EJ-Ve9jU0AAdU-V.png</t>
  </si>
  <si>
    <t>https://t.co/Fc1SB5xf0G https://pbs.twimg.com/media/EJFYNd7U0AA1NPX.jpg</t>
  </si>
  <si>
    <t>https://t.co/vhe1pzHwat https://pbs.twimg.com/media/EKSzI0zUYAEnlSC.png</t>
  </si>
  <si>
    <t>https://t.co/3eARVcANkC https://pbs.twimg.com/media/EPcvYN5UcAEhcF7.jpg</t>
  </si>
  <si>
    <t>https://t.co/C3rlXrw1SI https://pbs.twimg.com/media/EO93UrkU0AItcyQ.jpg</t>
  </si>
  <si>
    <t>https://t.co/cjeizk6kh3 https://pbs.twimg.com/media/EO4tD2rVUAE9Zov.jpg</t>
  </si>
  <si>
    <t>https://t.co/QJuf13krar https://pbs.twimg.com/media/EK3ARi9UEAArXhZ.jpg</t>
  </si>
  <si>
    <t>https://t.co/AgHWvCqqEr https://pbs.twimg.com/media/EKdLHKsVAAAZwhX.png</t>
  </si>
  <si>
    <t>https://t.co/xAEWab0Emc https://pbs.twimg.com/media/EVuRUNPVcAAYaxZ.jpg</t>
  </si>
  <si>
    <t>https://t.co/0ZmxhcyrJv https://pbs.twimg.com/media/EVkBrdCUYAASgPj.jpg</t>
  </si>
  <si>
    <t>https://t.co/4AbmCJXiay https://pbs.twimg.com/media/EVKIhleVAAE2NpU.jpg</t>
  </si>
  <si>
    <t>https://t.co/Ladk9U0T3S https://pbs.twimg.com/media/EXfVs-CUEAAq-BO.jpg</t>
  </si>
  <si>
    <t>https://t.co/gFwU5q8Z1O https://pbs.twimg.com/media/EXaSHfiVcAAcXg_.jpg</t>
  </si>
  <si>
    <t>https://t.co/BLBP8NUMV4 https://pbs.twimg.com/media/EWxNG0uXsAEfKgC.jpg</t>
  </si>
  <si>
    <t>http://t.co/IW1qAuXAaA https://pbs.twimg.com/media/CGOvi_XUQAE9Cvb.jpg</t>
  </si>
  <si>
    <t>https://t.co/U7AWjmAuFY https://pbs.twimg.com/media/C6UAmzrWgAAEaVf.jpg</t>
  </si>
  <si>
    <t>http://t.co/mVG4a1i8Qj https://pbs.twimg.com/media/CGKBNcrUUAA_uMX.jpg</t>
  </si>
  <si>
    <t>https://t.co/gXWi2LPKib https://pbs.twimg.com/media/CkKcDbAUoAAXMVL.jpg</t>
  </si>
  <si>
    <t>https://t.co/TY1uRHfntd https://pbs.twimg.com/media/EIhx9yLU4AAGXQ6.jpg</t>
  </si>
  <si>
    <t>https://t.co/kWzJAHjJ1X https://t.co/kWzJAHjJ1X https://pbs.twimg.com/ext_tw_video_thumb/1736510103035969536/pu/img/MZIVwLODI9q0wAJK.jpg https://pbs.twimg.com/ext_tw_video_thumb/1736510103015084032/pu/img/hl-OF9UmPfiMUOY_.jpg</t>
  </si>
  <si>
    <t>https://t.co/qHgi8M1cFF https://pbs.twimg.com/media/DHu7ukAXcAAuWO3.jpg</t>
  </si>
  <si>
    <t>https://t.co/fSfKoL3leZ https://pbs.twimg.com/media/DuRAqsiUwAAMUnB.jpg</t>
  </si>
  <si>
    <t>https://t.co/CQ8QKd3m8r https://pbs.twimg.com/media/DtvaqyNU0AAL7CP.jpg</t>
  </si>
  <si>
    <t>https://t.co/MLVfDwPH5E https://pbs.twimg.com/media/GAw5_PrXIAAtFiK.jpg</t>
  </si>
  <si>
    <t>http://t.co/O2FxJYTMLb https://pbs.twimg.com/media/CFEISs5VIAAfkk5.jpg</t>
  </si>
  <si>
    <t>https://t.co/atQHquhm9q https://pbs.twimg.com/media/DjBXf7bUYAAZ_aG.jpg</t>
  </si>
  <si>
    <t>http://t.co/uiMTy6kWBW https://pbs.twimg.com/media/BkTQbP-CYAAc0Xs.jpg</t>
  </si>
  <si>
    <t>http://t.co/sQ3PGHIuyt https://pbs.twimg.com/media/BbMw4sMCEAAkMpu.jpg</t>
  </si>
  <si>
    <t>http://t.co/FZbwV1GNje https://pbs.twimg.com/media/BRJz1pNCEAAz5xL.jpg</t>
  </si>
  <si>
    <t>http://t.co/ma5n9fhd4d https://pbs.twimg.com/media/BOfT58jCEAIRaiq.jpg</t>
  </si>
  <si>
    <t>http://t.co/C2UfieyVCQ https://pbs.twimg.com/media/BOfTmbjCQAAMFrv.jpg</t>
  </si>
  <si>
    <t>https://t.co/2tEJvOI7CG https://pbs.twimg.com/media/Dryybl7VAAES8_4.jpg</t>
  </si>
  <si>
    <t>https://t.co/q2y4umSbHU https://pbs.twimg.com/media/DtvaMaXU0AAFzJ3.jpg</t>
  </si>
  <si>
    <t>https://t.co/CNk3z9VQ1t https://pbs.twimg.com/media/DJ2KPSfVAAABeCq.jpg</t>
  </si>
  <si>
    <t>https://t.co/N0bm6EBueh https://pbs.twimg.com/media/DHvo0JSVwAAdMhN.jpg</t>
  </si>
  <si>
    <t>https://t.co/uBw8YO3iPp https://pbs.twimg.com/tweet_video_thumb/DHvLa4SV0AIjPuF.jpg</t>
  </si>
  <si>
    <t>https://t.co/nWzCsh9QHE https://pbs.twimg.com/media/DHcB4zvUIAIA6i-.jpg</t>
  </si>
  <si>
    <t>https://t.co/GrIoeorE4d https://pbs.twimg.com/media/DHNL8PrVoAAvz81.jpg</t>
  </si>
  <si>
    <t>https://t.co/wzz1Ohx8cd https://pbs.twimg.com/ext_tw_video_thumb/893817086648111104/pu/img/1XkW0M-I8vrnbkki.jpg</t>
  </si>
  <si>
    <t>https://t.co/wORuapal5O https://pbs.twimg.com/media/DGPS1kiVwAAK5R0.jpg</t>
  </si>
  <si>
    <t>https://t.co/3RcoAN1XUG https://pbs.twimg.com/media/GA5XCptWUAAXhQF.jpg</t>
  </si>
  <si>
    <t>https://t.co/z86R1SL7XT https://pbs.twimg.com/media/GA5W1bbXEAAWy4P.jpg</t>
  </si>
  <si>
    <t>https://t.co/e0bL31z5Wt https://pbs.twimg.com/media/GA5WgepW0AEqgim.jpg</t>
  </si>
  <si>
    <t>https://t.co/4jYcxqJWwi https://pbs.twimg.com/media/GA5WSa4XkAAWpdd.jpg</t>
  </si>
  <si>
    <t>https://t.co/sdoNwszTBT https://pbs.twimg.com/media/GAz2nDcWwAANYU7.jpg</t>
  </si>
  <si>
    <t>https://t.co/lqMHxRr11i https://pbs.twimg.com/media/GAz2d5XXsAA1lMW.jpg</t>
  </si>
  <si>
    <t>https://t.co/B3MvMhSXGb https://pbs.twimg.com/media/GAz2UajXgAEwb55.jpg</t>
  </si>
  <si>
    <t>https://t.co/jdWiGkAtma https://pbs.twimg.com/media/GAz2KXgWEAAr6LP.jpg</t>
  </si>
  <si>
    <t>https://t.co/9LqaQEfDB0 https://pbs.twimg.com/media/GAxV74KW0AAEpei.jpg</t>
  </si>
  <si>
    <t>https://t.co/tCVGUIQxqj https://pbs.twimg.com/media/GAxVyqhXYAAwpR2.jpg</t>
  </si>
  <si>
    <t>https://t.co/0K9Nhx9bnV https://pbs.twimg.com/media/GAxVmW_WIAAA8lp.jpg</t>
  </si>
  <si>
    <t>https://t.co/5p7mnPOsSV https://pbs.twimg.com/media/GAxVUdpXcAA6NBk.jpg</t>
  </si>
  <si>
    <t>https://t.co/Zgmy0zM1CK https://pbs.twimg.com/media/GAxMt_GXAAEIzTA.jpg</t>
  </si>
  <si>
    <t>https://t.co/qWcKt6EqaR https://pbs.twimg.com/media/GAxMlO-WUAAslGb.jpg</t>
  </si>
  <si>
    <t>https://t.co/5EcHuZCHPE https://pbs.twimg.com/media/GAxMcJ0XQAEKtaK.jpg</t>
  </si>
  <si>
    <t>https://t.co/3z4tMUz7WF https://pbs.twimg.com/media/GAxMTj8XwAEArjd.jpg</t>
  </si>
  <si>
    <t>https://t.co/bJQFTpiPOq https://pbs.twimg.com/media/GAxMG14WoAAHYZ2.jpg</t>
  </si>
  <si>
    <t>https://t.co/uVHUsnqlJA https://pbs.twimg.com/media/GAxL-jUWMAAdiCo.jpg</t>
  </si>
  <si>
    <t>https://t.co/k0njWUSj7U https://pbs.twimg.com/media/GAxL03FXoAA8ACA.jpg</t>
  </si>
  <si>
    <t>https://t.co/cd2S0oOhZd https://pbs.twimg.com/media/GAxLqhbXAAApf_2.jpg</t>
  </si>
  <si>
    <t>https://t.co/FpUKSHXTzx https://pbs.twimg.com/media/GAw9qeJXgAAAacr.jpg</t>
  </si>
  <si>
    <t>https://t.co/blKlANPqaU https://pbs.twimg.com/media/GAw9hJGWwAAi46q.jpg</t>
  </si>
  <si>
    <t>https://t.co/c6FQqcruxE https://pbs.twimg.com/media/GAw9XIUXoAAy_3o.jpg</t>
  </si>
  <si>
    <t>https://t.co/nBVV6RseiV https://pbs.twimg.com/media/GAw9MC3XQAA86P2.jpg</t>
  </si>
  <si>
    <t>https://t.co/iuGTjV1LFg https://pbs.twimg.com/media/GAw9CixWwAAwL9-.jpg</t>
  </si>
  <si>
    <t>https://t.co/Ob4O6YO2xk https://pbs.twimg.com/media/GAw84LRWIAAqdXE.jpg</t>
  </si>
  <si>
    <t>https://t.co/51qroRTPTS https://pbs.twimg.com/media/GAw8wIAWwAAvNIp.jpg</t>
  </si>
  <si>
    <t>https://t.co/oPHiXccT5K https://pbs.twimg.com/media/GAw8jW6WgAAtj5j.jpg</t>
  </si>
  <si>
    <t>https://t.co/YJ2uLIKoDd https://pbs.twimg.com/media/GAw4WxtWwAACRM-.jpg</t>
  </si>
  <si>
    <t>https://t.co/XQlZU3JjSY https://pbs.twimg.com/media/GAw4NymX0AA0csN.jpg</t>
  </si>
  <si>
    <t>https://t.co/5QlUQrylRp https://pbs.twimg.com/media/GAw38N2XcAA7WiF.jpg</t>
  </si>
  <si>
    <t>https://t.co/0pk2BeZM3M https://pbs.twimg.com/media/GAw3utvXYAAu9SK.jpg</t>
  </si>
  <si>
    <t>https://t.co/9OjLW4FHT9 https://pbs.twimg.com/media/GAw3iugWcAAaDSL.jpg</t>
  </si>
  <si>
    <t>https://t.co/4DylLjUb4Y https://pbs.twimg.com/media/GAw3WTAXAAAFk2d.jpg</t>
  </si>
  <si>
    <t>https://t.co/gguLVnP44E https://pbs.twimg.com/media/GAw3L1jX0AEiF8Q.jpg</t>
  </si>
  <si>
    <t>https://t.co/uul1rMmZQi https://pbs.twimg.com/media/GAw3BVAWMAAsUlO.jpg</t>
  </si>
  <si>
    <t>https://t.co/pk4EVQgZkY https://pbs.twimg.com/media/E3dd4wTVUAEYSg2.jpg</t>
  </si>
  <si>
    <t>https://t.co/P6w3oPxhOn https://pbs.twimg.com/media/Di7wggeX4AAFKR6.jpg</t>
  </si>
  <si>
    <t>https://t.co/keMZAzNaxN https://pbs.twimg.com/media/Diw8NujUYAA4_h5.jpg</t>
  </si>
  <si>
    <t>https://t.co/l5XP8oxOjR https://pbs.twimg.com/media/Dim4g9CXsAAJ8W9.jpg</t>
  </si>
  <si>
    <t>https://t.co/crxMitnVx2 https://pbs.twimg.com/media/Dihfb3JV4AE8Sx_.jpg</t>
  </si>
  <si>
    <t>https://t.co/YvIsjJ8diQ https://pbs.twimg.com/media/DieAB5mUwAAY9OJ.jpg</t>
  </si>
  <si>
    <t>https://t.co/a55n5HvV27 https://pbs.twimg.com/tweet_video_thumb/DhLyOiiU8AEMu7w.jpg</t>
  </si>
  <si>
    <t>https://t.co/U68hzFD2x7 https://pbs.twimg.com/media/DhBZ8WgU8AI7Alq.jpg</t>
  </si>
  <si>
    <t>https://t.co/2mDusC3A0V https://pbs.twimg.com/media/Dg2hrV1UcAAcsy4.jpg</t>
  </si>
  <si>
    <t>https://t.co/mNEvOiurj2 https://pbs.twimg.com/ext_tw_video_thumb/1737654409847250944/pu/img/9Qr8AB3QcfdYzOMC.jpg</t>
  </si>
  <si>
    <t>https://t.co/c4tWiWoW7L https://pbs.twimg.com/media/GBqM4vYXAAAKRLx.jpg</t>
  </si>
  <si>
    <t>https://t.co/DliJnJJgYy https://pbs.twimg.com/ext_tw_video_thumb/1736803502045765632/pu/img/yGYnGOoJ9nReT5Uv.jpg</t>
  </si>
  <si>
    <t>https://t.co/mB6TmRCSWn https://pbs.twimg.com/tweet_video_thumb/GBJIbjka8AAeKnL.jpg</t>
  </si>
  <si>
    <t>https://t.co/l3PyJitDxj https://pbs.twimg.com/tweet_video_thumb/GBJIUQAbcAA3Rek.jpg</t>
  </si>
  <si>
    <t>https://t.co/gvVUToDd7C https://pbs.twimg.com/tweet_video_thumb/GBJINsaakAAO075.jpg</t>
  </si>
  <si>
    <t>https://t.co/XylgpfA2mu https://pbs.twimg.com/tweet_video_thumb/GBJHfIZbEAAbupv.jpg</t>
  </si>
  <si>
    <t>https://t.co/s5DbdBX53M https://pbs.twimg.com/tweet_video_thumb/GBJHW6AbEAA5190.jpg</t>
  </si>
  <si>
    <t>https://t.co/onQIogeIxi https://pbs.twimg.com/tweet_video_thumb/GBJHS8iaYAAevQ0.jpg</t>
  </si>
  <si>
    <t>https://t.co/SwIDIMhENO https://pbs.twimg.com/tweet_video_thumb/GBJHORNbAAA8RqI.jpg</t>
  </si>
  <si>
    <t>https://t.co/c5NHX9XSbw https://pbs.twimg.com/tweet_video_thumb/GBJHKhubAAAnOd3.jpg</t>
  </si>
  <si>
    <t>https://t.co/BWV2uwEC9w https://pbs.twimg.com/tweet_video_thumb/GBJGWbNaUAAv9pO.jpg</t>
  </si>
  <si>
    <t>https://t.co/plnw6E2e3Z https://pbs.twimg.com/tweet_video_thumb/GBJGKaKaIAAHAzm.jpg</t>
  </si>
  <si>
    <t>https://t.co/LtpZLtb0PJ https://pbs.twimg.com/tweet_video_thumb/GBJFiUnawAAeX3d.jpg</t>
  </si>
  <si>
    <t>https://t.co/PrwszUCt0P https://pbs.twimg.com/tweet_video_thumb/GBJFaFSa0AA8dQs.jpg</t>
  </si>
  <si>
    <t>https://t.co/KREnyu5okm https://pbs.twimg.com/tweet_video_thumb/GBJDlJqa8AAJLRN.jpg</t>
  </si>
  <si>
    <t>https://t.co/suCyIWkyH6 https://pbs.twimg.com/tweet_video_thumb/GBJDfgdbIAAyWOk.jpg</t>
  </si>
  <si>
    <t>https://t.co/Z2v1dWUPjm https://pbs.twimg.com/tweet_video_thumb/GBJDb7sbQAA3zRk.jpg</t>
  </si>
  <si>
    <t>https://t.co/UWYlq5Ed54 https://pbs.twimg.com/tweet_video_thumb/GBJDYTEaEAASM7q.jpg</t>
  </si>
  <si>
    <t>https://t.co/goTeEYE9jK https://pbs.twimg.com/tweet_video_thumb/GBJDTRya8AAIIMw.jpg</t>
  </si>
  <si>
    <t>https://t.co/pFHSARz9xt https://pbs.twimg.com/tweet_video_thumb/GBJDOQma8AALadr.jpg</t>
  </si>
  <si>
    <t>https://t.co/tKoVOmgxhF https://pbs.twimg.com/tweet_video_thumb/GBJDJ1dbAAAyRe7.jpg</t>
  </si>
  <si>
    <t>https://t.co/0xmGGcvAAa https://pbs.twimg.com/tweet_video_thumb/GBJDAZraQAAhXVr.jpg</t>
  </si>
  <si>
    <t>https://t.co/m9MjIw1y1D https://pbs.twimg.com/tweet_video_thumb/GBJB_UIaIAAfSHj.jpg</t>
  </si>
  <si>
    <t>https://t.co/blEIcRlEGf https://pbs.twimg.com/tweet_video_thumb/GBJB5TIawAAPdGi.jpg</t>
  </si>
  <si>
    <t>https://t.co/4sw6kZOqZ9 https://pbs.twimg.com/tweet_video_thumb/GBJB0D1b0AAm_E0.jpg</t>
  </si>
  <si>
    <t>https://t.co/edpudi2eCW https://pbs.twimg.com/tweet_video_thumb/GBJBr89bsAAIVCv.jpg</t>
  </si>
  <si>
    <t>https://t.co/loMbiQ8G7a https://pbs.twimg.com/tweet_video_thumb/GBJBoEpbYAAPKYa.jpg</t>
  </si>
  <si>
    <t>https://t.co/s7mP6SXfqZ https://pbs.twimg.com/tweet_video_thumb/GBJBjpFboAAcz9E.jpg</t>
  </si>
  <si>
    <t>https://t.co/VSrmyfAMfZ https://pbs.twimg.com/tweet_video_thumb/GBJBdpNasAAKXrq.jpg</t>
  </si>
  <si>
    <t>https://t.co/0UxMtD5zrV https://pbs.twimg.com/tweet_video_thumb/GBJBYAeaEAAUTmH.jpg</t>
  </si>
  <si>
    <t>https://t.co/UhJkJaY6Vr https://pbs.twimg.com/tweet_video_thumb/GBI_SWAaQAEflRI.jpg</t>
  </si>
  <si>
    <t>https://t.co/XKnQbEDUn4 https://pbs.twimg.com/tweet_video_thumb/GBIxFJ4bIAAE2PG.jpg</t>
  </si>
  <si>
    <t>https://t.co/igJpAN9Hmh https://pbs.twimg.com/tweet_video_thumb/GBIwtNIbIAAmc5a.jpg</t>
  </si>
  <si>
    <t>https://t.co/bX5HilWyFy https://pbs.twimg.com/tweet_video_thumb/GBIwTkjbYAA7s6W.jpg</t>
  </si>
  <si>
    <t>https://t.co/rlY59oYi5Y https://pbs.twimg.com/tweet_video_thumb/GBIwFK_aYAAxxij.jpg</t>
  </si>
  <si>
    <t>https://t.co/whY42pSOkQ https://pbs.twimg.com/tweet_video_thumb/GBIvoi8bwAAeQTt.jpg</t>
  </si>
  <si>
    <t>https://t.co/DVC9njUWyJ https://pbs.twimg.com/tweet_video_thumb/GBIvgu-a4AAd6sl.jpg</t>
  </si>
  <si>
    <t>https://t.co/8HgZSosiHy https://pbs.twimg.com/tweet_video_thumb/GBIvHpobsAAJfyt.jpg</t>
  </si>
  <si>
    <t>https://t.co/mQeOjupeQ5 https://pbs.twimg.com/tweet_video_thumb/GBIsoG-bwAAr_LT.jpg</t>
  </si>
  <si>
    <t>https://t.co/jsYihWrSgo https://pbs.twimg.com/tweet_video_thumb/GBIsdoJbAAA4568.jpg</t>
  </si>
  <si>
    <t>https://t.co/jNWWLxhoCL https://pbs.twimg.com/tweet_video_thumb/GBIsTyeaoAAhDbb.jpg</t>
  </si>
  <si>
    <t>https://t.co/nGU34XMwve https://pbs.twimg.com/tweet_video_thumb/GBIsJ6gbIAAAYyC.jpg</t>
  </si>
  <si>
    <t>https://t.co/htWiocHhHE https://pbs.twimg.com/tweet_video_thumb/GBIr4u2awAAvVr8.jpg</t>
  </si>
  <si>
    <t>https://t.co/O7WjVGWKwF https://pbs.twimg.com/tweet_video_thumb/GBIryAcbQAEvYEA.jpg</t>
  </si>
  <si>
    <t>https://t.co/zw7kDn8WyU https://pbs.twimg.com/tweet_video_thumb/GBIrnTtbwAAEQGo.jpg</t>
  </si>
  <si>
    <t>https://t.co/8yfON6XUin https://pbs.twimg.com/tweet_video_thumb/GBIrdrFagAEGDlk.jpg</t>
  </si>
  <si>
    <t>https://t.co/rTj13N2Ni3 https://pbs.twimg.com/tweet_video_thumb/GBIrLpqbkAAuy7c.jpg</t>
  </si>
  <si>
    <t>https://t.co/sxqKGxE4Hd https://pbs.twimg.com/tweet_video_thumb/GBIrBTxa0AAY1pL.jpg</t>
  </si>
  <si>
    <t>https://t.co/ICyK8YI7C5 https://pbs.twimg.com/tweet_video_thumb/GBIq7-FaIAAb-Oa.jpg</t>
  </si>
  <si>
    <t>https://t.co/foIm07qJ1U https://pbs.twimg.com/tweet_video_thumb/GBIqvG1awAAeTR0.jpg</t>
  </si>
  <si>
    <t>https://t.co/TVkOANvRl6 https://pbs.twimg.com/tweet_video_thumb/GBIql0baAAAicni.jpg</t>
  </si>
  <si>
    <t>https://t.co/BsM2x797cu https://pbs.twimg.com/tweet_video_thumb/GBIqfwSbIAARm_z.jpg</t>
  </si>
  <si>
    <t>https://t.co/8jB4XKPRTZ https://pbs.twimg.com/tweet_video_thumb/GBIqZj9a0AAYBX6.jpg</t>
  </si>
  <si>
    <t>https://t.co/rX2lqF1c52 https://pbs.twimg.com/tweet_video_thumb/GBIqSjtagAA6X8o.jpg</t>
  </si>
  <si>
    <t>https://t.co/c0lcJYvqcQ https://pbs.twimg.com/media/DEXd7_VUIAEf8ym.jpg</t>
  </si>
  <si>
    <t>http://t.co/78rXekFRH0 https://pbs.twimg.com/media/CDHX0lyVIAM8W-K.jpg</t>
  </si>
  <si>
    <t>http://t.co/3YAMZEBxVu https://pbs.twimg.com/media/CBqj6tZUgAAlEXH.png</t>
  </si>
  <si>
    <t>http://t.co/WiCfAUpkXZ http://t.co/WiCfAUpkXZ https://pbs.twimg.com/media/ByXhim3CEAEbpEv.jpg https://pbs.twimg.com/media/ByXhhsvCIAELNQY.jpg</t>
  </si>
  <si>
    <t>http://t.co/ZYI7QUIFsa http://t.co/ZYI7QUIFsa https://pbs.twimg.com/media/ByM9GBLCEAAvoi5.jpg https://pbs.twimg.com/media/ByM8__7CUAA79M8.jpg</t>
  </si>
  <si>
    <t>https://t.co/QdmH4HFB0n https://pbs.twimg.com/media/GB5PjRFW8AAPKR_.jpg</t>
  </si>
  <si>
    <t>https://t.co/npLHq1OKT8 https://pbs.twimg.com/ext_tw_video_thumb/1736883514581131264/pu/img/YzejkCvFsb1uURMc.jpg</t>
  </si>
  <si>
    <t>https://t.co/7CYiM1B8j7 https://pbs.twimg.com/tweet_video_thumb/GBpg7qoXIAAm5x8.jpg</t>
  </si>
  <si>
    <t>https://t.co/llDcuVsXJp https://pbs.twimg.com/media/GBlxWnfWIAAu4qg.jpg</t>
  </si>
  <si>
    <t>https://t.co/hOKBf0HvYn https://pbs.twimg.com/media/GBlpPWKXQAAKNg5.jpg</t>
  </si>
  <si>
    <t>https://t.co/RY0EVJ93RW https://pbs.twimg.com/tweet_video_thumb/GBJImBuaYAAoDmx.jpg</t>
  </si>
  <si>
    <t>https://t.co/aXMLcXhGOz https://pbs.twimg.com/media/DGx9jVOVoAAn5mi.jpg</t>
  </si>
  <si>
    <t>https://t.co/Vf99c7vaPy https://pbs.twimg.com/media/DGxqiNCV0AAHVPB.jpg</t>
  </si>
  <si>
    <t>https://t.co/X2ZSynHIdL https://pbs.twimg.com/media/GB5VHqcWMAAEm05.jpg</t>
  </si>
  <si>
    <t>https://t.co/cAPcMvVLLQ https://pbs.twimg.com/media/GA5WFXqXAAAVOqJ.jpg</t>
  </si>
  <si>
    <t>https://t.co/HI5smZDqwy https://pbs.twimg.com/media/GA5VxXGWwAArPZi.jpg</t>
  </si>
  <si>
    <t>https://t.co/c1dboAafHL https://pbs.twimg.com/media/GA5VdVtXcAIVQxJ.jpg</t>
  </si>
  <si>
    <t>https://t.co/M4m73XuGip https://pbs.twimg.com/media/GA5VBBvWkAATcdX.jpg</t>
  </si>
  <si>
    <t>https://t.co/EpI5sxvZd8 https://pbs.twimg.com/media/GA5Uu7vW8AAe2C6.jpg</t>
  </si>
  <si>
    <t>https://t.co/xLKx7DQ1wx https://pbs.twimg.com/media/GA5UYLhW8AA8pYn.jpg</t>
  </si>
  <si>
    <t>https://t.co/pgiYPbGz44 https://pbs.twimg.com/media/GA5TUh_XkAApEkd.jpg</t>
  </si>
  <si>
    <t>https://t.co/aWpsB1PVTe https://pbs.twimg.com/media/GAxKTR9XsAA1BCU.jpg</t>
  </si>
  <si>
    <t>https://t.co/Cuo3puAJPi https://pbs.twimg.com/media/GAxJ_1yWIAA5Kex.jpg</t>
  </si>
  <si>
    <t>https://t.co/xFCtP1TJjE https://pbs.twimg.com/media/GAxJ4XgWUAABFFI.jpg</t>
  </si>
  <si>
    <t>https://t.co/VaszB7d4zC https://pbs.twimg.com/media/GAwzbuAXsAAlojp.jpg</t>
  </si>
  <si>
    <t>https://t.co/dGhd061KQ6 https://pbs.twimg.com/media/GAw_cDPXUAAB6A6.jpg</t>
  </si>
  <si>
    <t>https://t.co/kmztWhhr4W https://pbs.twimg.com/media/GAw_StjXwAACS1f.jpg</t>
  </si>
  <si>
    <t>https://t.co/HjUGB8f4Gv https://pbs.twimg.com/media/GAw_KkXWgAAQ9ja.jpg</t>
  </si>
  <si>
    <t>https://t.co/Go7anFZ5u9 https://pbs.twimg.com/media/GAw_C-hXAAACCv7.jpg</t>
  </si>
  <si>
    <t>https://t.co/bz6nupD0iI https://pbs.twimg.com/media/GAw7SxqX0AAZlDi.jpg</t>
  </si>
  <si>
    <t>https://t.co/8Li2RWLcrf https://pbs.twimg.com/media/GAw7JTEWcAAByD6.jpg</t>
  </si>
  <si>
    <t>https://t.co/1FLrsy1c5w https://pbs.twimg.com/media/GAw6-opXsAAvi6E.jpg</t>
  </si>
  <si>
    <t>https://t.co/kkeNGLzDrv https://pbs.twimg.com/media/GAw60mTWwAA17FS.jpg</t>
  </si>
  <si>
    <t>https://t.co/Eo83zNIWit https://pbs.twimg.com/media/GAw6p9NXIAAG_C1.jpg</t>
  </si>
  <si>
    <t>https://t.co/DbEskkgRPe https://pbs.twimg.com/media/GAw6c3QXUAAcBvc.jpg</t>
  </si>
  <si>
    <t>https://t.co/fteofloBEX https://pbs.twimg.com/media/GAw6UHyXsAE34kj.jpg</t>
  </si>
  <si>
    <t>https://t.co/tUxRsDavX0 https://pbs.twimg.com/media/GAw6KhcWYAAsRPr.jpg</t>
  </si>
  <si>
    <t>https://t.co/AY44zecHFR https://pbs.twimg.com/media/GAv9RUJW0AA6Qcw.jpg</t>
  </si>
  <si>
    <t>https://t.co/st8XQ1QFOR https://pbs.twimg.com/ext_tw_video_thumb/1732675078096093184/pu/img/KQb1xbey7WTzkt8G.jpg</t>
  </si>
  <si>
    <t>https://t.co/KdBAfCAxwp https://pbs.twimg.com/media/GAun6bjXUAAroYM.png</t>
  </si>
  <si>
    <t>https://t.co/SzWILu2kSI https://pbs.twimg.com/media/GAukaBDXIAAO8aJ.jpg</t>
  </si>
  <si>
    <t>https://t.co/iPVeCcjmD7 https://pbs.twimg.com/media/GAuGMqFWQAAxzh9.jpg</t>
  </si>
  <si>
    <t>https://t.co/si4V7rLrfQ https://pbs.twimg.com/tweet_video_thumb/GAt90_PW0AAjcVr.jpg</t>
  </si>
  <si>
    <t>https://t.co/VKVLDUor9r https://pbs.twimg.com/media/GB5R9MdWoAA-jFR.jpg</t>
  </si>
  <si>
    <t>https://t.co/wIUtFMVDkb https://pbs.twimg.com/media/DusYvaSU8AAJulQ.jpg</t>
  </si>
  <si>
    <t>https://t.co/f8lvG3ZjRa https://pbs.twimg.com/media/DuScm64VAAEfSoV.jpg</t>
  </si>
  <si>
    <t>https://t.co/3944868Nui https://pbs.twimg.com/media/DHBFYwvUAAA2_96.jpg</t>
  </si>
  <si>
    <t>https://t.co/vKRh6RbY1L https://pbs.twimg.com/media/DHBE144UQAA2NTO.jpg</t>
  </si>
  <si>
    <t>https://t.co/foqLsls2U3 https://pbs.twimg.com/media/DFVmk0QUAAI8wX-.jpg</t>
  </si>
  <si>
    <t>https://t.co/YBHRh6T5zb https://pbs.twimg.com/tweet_video_thumb/GB5QdjXXMAEuEv1.jpg</t>
  </si>
  <si>
    <t>https://t.co/pojwrjBCuP https://pbs.twimg.com/media/DISiVX3UMAA6otC.jpg</t>
  </si>
  <si>
    <t>https://t.co/soN8V9f6LO https://pbs.twimg.com/tweet_video_thumb/CYrECUiUAAEuzdH.png</t>
  </si>
  <si>
    <t>http://t.co/qFTWZ4K9WX https://pbs.twimg.com/media/B2j_mqCCQAA3SOp.jpg</t>
  </si>
  <si>
    <t>http://t.co/5jdyE9jXUG https://pbs.twimg.com/media/B2j_JMUCEAAkB5N.jpg</t>
  </si>
  <si>
    <t>http://t.co/gSZ2FfiCMk https://pbs.twimg.com/media/B2fcwKpCMAAG8ZL.jpg</t>
  </si>
  <si>
    <t>http://t.co/8EJCFmYitZ https://pbs.twimg.com/media/B170yvZCcAAMfRL.jpg</t>
  </si>
  <si>
    <t>http://t.co/jTs1FxVY5L http://t.co/jTs1FxVY5L https://pbs.twimg.com/media/B122BzSCcAAfroF.jpg https://pbs.twimg.com/media/B122BzTCEAAzPoW.jpg</t>
  </si>
  <si>
    <t>http://t.co/ToWUGYrLYn https://pbs.twimg.com/media/B1se3-rCQAAu9DS.jpg</t>
  </si>
  <si>
    <t>https://t.co/VTz2RfXcZ4 https://pbs.twimg.com/ext_tw_video_thumb/1737921589428060161/pu/img/suuHbcoyBrWqz1oO.jpg</t>
  </si>
  <si>
    <t>https://t.co/pxat485RlF https://pbs.twimg.com/ext_tw_video_thumb/1737648092546011136/pu/img/kPwfyr_EZsHNBprW.jpg</t>
  </si>
  <si>
    <t>https://t.co/sNmBMuqB14 https://pbs.twimg.com/media/GA5Yi8NWwAAGDW9.jpg</t>
  </si>
  <si>
    <t>https://t.co/Sze3QJqMJ7 https://pbs.twimg.com/media/GA5YAZ1W8AE_54t.jpg</t>
  </si>
  <si>
    <t>https://t.co/Xq9nNX64bh https://pbs.twimg.com/media/GA5XsTQWsAAWUDS.jpg</t>
  </si>
  <si>
    <t>https://t.co/SyY055c5bF https://pbs.twimg.com/media/GA5XYaJXgAA7Zuo.jpg</t>
  </si>
  <si>
    <t>https://t.co/WoYSGvs2ol https://pbs.twimg.com/media/GAz2BsWXcAASk1E.jpg</t>
  </si>
  <si>
    <t>https://t.co/o36yKniPZq https://pbs.twimg.com/media/GAz1xuaXYAAO0Ch.jpg</t>
  </si>
  <si>
    <t>https://t.co/s3Qyi39rsq https://pbs.twimg.com/media/GAz1ppmWAAAWehN.jpg</t>
  </si>
  <si>
    <t>https://t.co/rUMoDq4K1Z https://pbs.twimg.com/media/GAz1g_6W8AAS5vU.jpg</t>
  </si>
  <si>
    <t>https://t.co/3VKnrXKdHw https://pbs.twimg.com/media/GAxVLofW8AAPs3-.jpg</t>
  </si>
  <si>
    <t>https://t.co/qYOmOy9mak https://pbs.twimg.com/media/GAxVANyW4AAezKw.jpg</t>
  </si>
  <si>
    <t>https://t.co/ubrYSNOu7w https://pbs.twimg.com/media/GAxNkv1WUAAhmnc.jpg</t>
  </si>
  <si>
    <t>https://t.co/aqwG1CKumD https://pbs.twimg.com/media/GAxNb6TXUAAlTqI.jpg</t>
  </si>
  <si>
    <t>https://t.co/YCfqql124j https://pbs.twimg.com/media/GAxNSx1XAAAIb8L.jpg</t>
  </si>
  <si>
    <t>https://t.co/v0EzvTuuBG https://pbs.twimg.com/media/GAxNJ-9W0AAUIZc.jpg</t>
  </si>
  <si>
    <t>https://t.co/P9jTHOofij https://pbs.twimg.com/media/GAxNBHZW8AA-OvI.jpg</t>
  </si>
  <si>
    <t>https://t.co/5fTZSprxLX https://pbs.twimg.com/media/GAxM4KmXwAAf24q.jpg</t>
  </si>
  <si>
    <t>https://t.co/m4lLr0jSbk https://pbs.twimg.com/media/GAw-7EtWsAAexu9.jpg</t>
  </si>
  <si>
    <t>https://t.co/bu9JSOFduf https://pbs.twimg.com/media/GAw-uTPWYAAlEmK.jpg</t>
  </si>
  <si>
    <t>https://t.co/ho7LjX9XaT https://pbs.twimg.com/media/GAw-lo-WAAAytTe.jpg</t>
  </si>
  <si>
    <t>https://t.co/jbdqmyjpFa https://pbs.twimg.com/media/GAw-dhTWMAAyWtM.jpg</t>
  </si>
  <si>
    <t>https://t.co/zV406QSBZq https://pbs.twimg.com/media/GAw-Lz5XEAA6yQ7.jpg</t>
  </si>
  <si>
    <t>https://t.co/Dz8p1SClhF https://pbs.twimg.com/media/GAw-CG0XsAAVsc1.jpg</t>
  </si>
  <si>
    <t>https://t.co/PdMUMXUJBX https://pbs.twimg.com/media/GAw95WnWMAAGxID.jpg</t>
  </si>
  <si>
    <t>https://t.co/73tFJ69uAi https://pbs.twimg.com/media/GAw9yLWXcAA7u8a.jpg</t>
  </si>
  <si>
    <t>https://t.co/u7zgicVrHK https://pbs.twimg.com/media/GAw516mXgAA15R-.jpg</t>
  </si>
  <si>
    <t>https://t.co/ZWVMdBxmS9 https://pbs.twimg.com/media/GAw5oDTXsAAIfqy.jpg</t>
  </si>
  <si>
    <t>https://t.co/rJiElprm4A https://pbs.twimg.com/media/GAw5efJWkAAfS-_.jpg</t>
  </si>
  <si>
    <t>https://t.co/RLKvuB5eEN https://pbs.twimg.com/media/GAw5TfSW8AEqwMN.jpg</t>
  </si>
  <si>
    <t>https://t.co/xpvfNFUXsI https://pbs.twimg.com/media/GAw5IkLWwAApiIv.jpg</t>
  </si>
  <si>
    <t>https://t.co/hoGBVa86UX https://pbs.twimg.com/media/GAw4-b7XYAAgP5J.jpg</t>
  </si>
  <si>
    <t>https://t.co/MdXs87NuOH https://pbs.twimg.com/media/GAw4nwUXoAAmQ5L.jpg</t>
  </si>
  <si>
    <t>https://t.co/WgE3FG4BjS https://pbs.twimg.com/media/GAw4fQYWQAArTIb.jpg</t>
  </si>
  <si>
    <t>https://t.co/EUSp8IfdUM https://pbs.twimg.com/media/DJN4jTEVwAEMM0n.jpg</t>
  </si>
  <si>
    <t>https://t.co/f4kwgcalTM https://pbs.twimg.com/media/DJN4U_fUwAAoAH4.jpg</t>
  </si>
  <si>
    <t>https://t.co/GgYjqFhec9 https://pbs.twimg.com/media/DJN4Ip6UwAEv797.jpg</t>
  </si>
  <si>
    <t>https://t.co/YLIksdDD2x https://pbs.twimg.com/media/DJN38hKUQAEEfCi.jpg</t>
  </si>
  <si>
    <t>https://t.co/VyrtEkcOLy https://pbs.twimg.com/media/DJN3rfRUwAAxA9T.jpg</t>
  </si>
  <si>
    <t>https://t.co/TxkQPQVGkT https://pbs.twimg.com/media/DJN2yYtUIAAU_KL.jpg</t>
  </si>
  <si>
    <t>https://t.co/mcUbigrKFu https://pbs.twimg.com/media/DJN2lXCUIAA4Ndc.jpg</t>
  </si>
  <si>
    <t>https://t.co/bmxxTQ9F0z https://pbs.twimg.com/media/DJN2JyrUQAQO5n_.jpg</t>
  </si>
  <si>
    <t>https://t.co/MkoyLI0us6 https://pbs.twimg.com/media/DJN1na7UwAAgIcW.jpg</t>
  </si>
  <si>
    <t>https://t.co/wZ9KvGLyBv https://pbs.twimg.com/media/C85o_fcUwAAhidy.jpg</t>
  </si>
  <si>
    <t>https://t.co/cqwLamLQzu https://pbs.twimg.com/media/C6s0LQoXAAEGaXo.jpg</t>
  </si>
  <si>
    <t>https://t.co/wD35UzRtjL https://pbs.twimg.com/media/C560IRYXEAAVMRA.jpg</t>
  </si>
  <si>
    <t>https://t.co/9IKJ6bElmL https://pbs.twimg.com/media/GB5XV_nWsAA2SXe.jpg</t>
  </si>
  <si>
    <t>http://t.co/4NntZI5Ae3 https://pbs.twimg.com/media/Bk2WV73CMAAcNNP.jpg</t>
  </si>
  <si>
    <t>http://t.co/1Fiey9LLbf https://pbs.twimg.com/media/BdngOvEIMAA6Gtk.jpg</t>
  </si>
  <si>
    <t>http://t.co/IzTmmjpEWb https://pbs.twimg.com/media/Bdnf966IIAASKWx.jpg</t>
  </si>
  <si>
    <t>https://t.co/tJDOFIP3Kn https://pbs.twimg.com/media/GB5YDC_XQAEFzgw.jpg</t>
  </si>
  <si>
    <t>https://t.co/AwJUhxJuye https://pbs.twimg.com/ext_tw_video_thumb/1737556613408362496/pu/img/9bHsX8_iCDbxJMAv.jpg</t>
  </si>
  <si>
    <t>https://t.co/JjY3EDZuWF https://pbs.twimg.com/media/GBq_TMfWcAAl7Bb.jpg</t>
  </si>
  <si>
    <t>https://t.co/zdPhM3itv3 https://pbs.twimg.com/tweet_video_thumb/GBlny6SW8AApm1_.jpg</t>
  </si>
  <si>
    <t>https://t.co/slKDd57DII https://pbs.twimg.com/tweet_video_thumb/GBJGhTebAAACTLL.jpg</t>
  </si>
  <si>
    <t>https://t.co/fnIcKoujMN https://pbs.twimg.com/tweet_video_thumb/GBJGdHQaUAAcuFB.jpg</t>
  </si>
  <si>
    <t>https://t.co/eISxiC4eTC https://pbs.twimg.com/tweet_video_thumb/GBJFSfibUAAPrHx.jpg</t>
  </si>
  <si>
    <t>https://t.co/Cl7f8zhal8 https://pbs.twimg.com/tweet_video_thumb/GBJFMpHaUAAsQxG.jpg</t>
  </si>
  <si>
    <t>https://t.co/7nLPv19b1g https://pbs.twimg.com/tweet_video_thumb/GBJFHebbwAAKAsR.jpg</t>
  </si>
  <si>
    <t>https://t.co/12UbrzpwSo https://pbs.twimg.com/tweet_video_thumb/GBJD5b5a4AAlNSD.jpg</t>
  </si>
  <si>
    <t>https://t.co/sGp6pN1jPH https://pbs.twimg.com/tweet_video_thumb/GBJCztRakAA9l24.jpg</t>
  </si>
  <si>
    <t>https://t.co/e4WfoxfaXf https://pbs.twimg.com/tweet_video_thumb/GBJCtunaoAAB3uO.jpg</t>
  </si>
  <si>
    <t>https://t.co/DJK9lvepKI https://pbs.twimg.com/tweet_video_thumb/GBJCiPCbEAArgQF.jpg</t>
  </si>
  <si>
    <t>https://t.co/674Wll8P6J https://pbs.twimg.com/tweet_video_thumb/GBJCce9bcAAEDoh.jpg</t>
  </si>
  <si>
    <t>https://t.co/CThSUdkAXT https://pbs.twimg.com/tweet_video_thumb/GBJCYlfbAAAw7sI.jpg</t>
  </si>
  <si>
    <t>https://t.co/1D4A7CuUzD https://pbs.twimg.com/tweet_video_thumb/GBJCVjvbMAAr87z.jpg</t>
  </si>
  <si>
    <t>https://t.co/cfq33nivgH https://pbs.twimg.com/tweet_video_thumb/GBJCLmzbcAAk4vf.jpg</t>
  </si>
  <si>
    <t>https://t.co/MLuGJADmGR https://pbs.twimg.com/tweet_video_thumb/GBJCFg8bsAAIcPS.jpg</t>
  </si>
  <si>
    <t>https://t.co/739YIcGlYO https://pbs.twimg.com/tweet_video_thumb/GBJBShra8AE0E72.jpg</t>
  </si>
  <si>
    <t>https://t.co/F4mQBgYNN7 https://pbs.twimg.com/tweet_video_thumb/GBJBKpMaQAAtugP.jpg</t>
  </si>
  <si>
    <t>https://t.co/mzSf7Vk4oj https://pbs.twimg.com/tweet_video_thumb/GBJBFRNaUAEfFrJ.jpg</t>
  </si>
  <si>
    <t>https://t.co/sickI3a18V https://pbs.twimg.com/tweet_video_thumb/GBJA7Bna0AAArUa.jpg</t>
  </si>
  <si>
    <t>https://t.co/ZQujfXnCpJ https://pbs.twimg.com/tweet_video_thumb/GBJAMm5aQAA7Hbs.jpg</t>
  </si>
  <si>
    <t>https://t.co/OvGW1ctqUE https://pbs.twimg.com/tweet_video_thumb/GBI_xsoasAADCCG.jpg</t>
  </si>
  <si>
    <t>https://t.co/9XAQrJNZLY https://pbs.twimg.com/tweet_video_thumb/GBI_pJPaUAIciBF.jpg</t>
  </si>
  <si>
    <t>https://t.co/RdYWaLK0es https://pbs.twimg.com/tweet_video_thumb/GBI_ejobkAAc4bZ.jpg</t>
  </si>
  <si>
    <t>https://t.co/kRLmGG2Zo5 https://pbs.twimg.com/tweet_video_thumb/GBIuATgawAAE-IC.jpg</t>
  </si>
  <si>
    <t>https://t.co/z5eOnGYR94 https://pbs.twimg.com/tweet_video_thumb/GBIt3RUakAAEbL5.jpg</t>
  </si>
  <si>
    <t>https://t.co/oe8dh13DwP https://pbs.twimg.com/tweet_video_thumb/GBItuvYacAAIqzN.jpg</t>
  </si>
  <si>
    <t>https://t.co/M6xkdXXOTl https://pbs.twimg.com/tweet_video_thumb/GBItohlaMAAdRni.jpg</t>
  </si>
  <si>
    <t>https://t.co/ohnFrQ9uB8 https://pbs.twimg.com/tweet_video_thumb/GBItKrhaIAAxdzk.jpg</t>
  </si>
  <si>
    <t>https://t.co/ghFOvDN7IU https://pbs.twimg.com/tweet_video_thumb/GBItDgjaMAAKwNm.jpg</t>
  </si>
  <si>
    <t>https://t.co/eeXGxXNebk https://pbs.twimg.com/tweet_video_thumb/GBIs8AiaEAA_tBO.jpg</t>
  </si>
  <si>
    <t>https://t.co/EXJhF6tl7f https://pbs.twimg.com/tweet_video_thumb/GBIsxl1bMAA4be9.jpg</t>
  </si>
  <si>
    <t>https://t.co/kn1F653tLe https://pbs.twimg.com/tweet_video_thumb/GBIqHdubUAA90O-.jpg</t>
  </si>
  <si>
    <t>https://t.co/b4Jhuwxh0Y https://pbs.twimg.com/tweet_video_thumb/GBIp8Q4akAATmPJ.jpg</t>
  </si>
  <si>
    <t>https://t.co/66vlQep8mR https://pbs.twimg.com/tweet_video_thumb/GBIp27iagAAn5Ht.jpg</t>
  </si>
  <si>
    <t>https://t.co/ZegosAJLc3 https://pbs.twimg.com/tweet_video_thumb/GBIpvqQaoAAK-Fs.jpg</t>
  </si>
  <si>
    <t>https://t.co/1OlmvnhtXZ https://pbs.twimg.com/tweet_video_thumb/GBIpoy5aEAAOLeH.jpg</t>
  </si>
  <si>
    <t>https://t.co/BZdbCJDigV https://pbs.twimg.com/tweet_video_thumb/GBIpkjKbUAAwzpL.jpg</t>
  </si>
  <si>
    <t>https://t.co/BPvFyCq6Ac https://pbs.twimg.com/tweet_video_thumb/GBIpfqKb0AABfyJ.jpg</t>
  </si>
  <si>
    <t>https://t.co/Pb5UY10OBA https://pbs.twimg.com/tweet_video_thumb/GBIpbe_aUAAH3yJ.jpg</t>
  </si>
  <si>
    <t>https://t.co/YlWKycfvbr https://pbs.twimg.com/tweet_video_thumb/GBIpWuyaAAAUZ9s.jpg</t>
  </si>
  <si>
    <t>https://t.co/cX41f5UguC https://pbs.twimg.com/tweet_video_thumb/GBIpTWGawAAIpaf.jpg</t>
  </si>
  <si>
    <t>https://t.co/gHDMQgrsvU https://pbs.twimg.com/tweet_video_thumb/GBIpNQhbUAA9bts.jpg</t>
  </si>
  <si>
    <t>https://t.co/aaJwCvjElO https://pbs.twimg.com/tweet_video_thumb/GBIpIAKbIAAncIY.jpg</t>
  </si>
  <si>
    <t>https://t.co/qXR9uppey7 https://pbs.twimg.com/tweet_video_thumb/GBIpCJga4AAY6z9.jpg</t>
  </si>
  <si>
    <t>https://t.co/apu9noPNsb https://pbs.twimg.com/tweet_video_thumb/GBIo-J9a8AADGAb.jpg</t>
  </si>
  <si>
    <t>https://t.co/AxzKQSLAyc https://pbs.twimg.com/tweet_video_thumb/GBIo6GIawAE7HrJ.jpg</t>
  </si>
  <si>
    <t>https://t.co/GygJbBG2Bc https://pbs.twimg.com/tweet_video_thumb/GBIo2APaEAAsEYf.jpg</t>
  </si>
  <si>
    <t>https://t.co/I2FSWyj7hN https://pbs.twimg.com/tweet_video_thumb/GBIox7lbgAAv7Hh.jpg</t>
  </si>
  <si>
    <t>https://t.co/BtekOxd3ag https://pbs.twimg.com/tweet_video_thumb/GBIot60boAAPW4c.jpg</t>
  </si>
  <si>
    <t>https://t.co/7w1SImEPdl https://pbs.twimg.com/tweet_video_thumb/GBIol7gaUAAAfHm.jpg</t>
  </si>
  <si>
    <t>https://t.co/ZlVm3R8lGE https://pbs.twimg.com/tweet_video_thumb/GBIof0RbcAAOFgA.jpg</t>
  </si>
  <si>
    <t>https://t.co/Lwqn7nvd9d https://pbs.twimg.com/tweet_video_thumb/GBIobibbsAA3aSy.jpg</t>
  </si>
  <si>
    <t>https://t.co/AzbdNVGqLt https://pbs.twimg.com/tweet_video_thumb/GBIoWuqbwAAlBJU.jpg</t>
  </si>
  <si>
    <t>https://t.co/jurGdPcXqs https://pbs.twimg.com/tweet_video_thumb/GBIoRTbbMAAMTJP.jpg</t>
  </si>
  <si>
    <t>https://t.co/cFDnBwO7er https://pbs.twimg.com/media/GBHfOSBWoAAxFZP.jpg</t>
  </si>
  <si>
    <t>https://t.co/rKy3fyzL1o https://pbs.twimg.com/media/GAz1Ww_WwAAASMX.jpg</t>
  </si>
  <si>
    <t>https://t.co/kQUGhBMZqS https://pbs.twimg.com/media/GAz1NgyXkAA5cvy.jpg</t>
  </si>
  <si>
    <t>https://t.co/Rw0xvzBOyC https://pbs.twimg.com/media/GAz0-0jXMAA-B-Z.jpg</t>
  </si>
  <si>
    <t>https://t.co/l5O52tP6zh https://pbs.twimg.com/media/GAz01DTXkAA9JdQ.jpg</t>
  </si>
  <si>
    <t>https://t.co/uRHrvLrIJX https://pbs.twimg.com/media/GAz0rD0XEAApYjH.jpg</t>
  </si>
  <si>
    <t>https://t.co/BpHHxVwSiR https://pbs.twimg.com/media/GAz0hw-XcAAPJqH.jpg</t>
  </si>
  <si>
    <t>https://t.co/IN7fBCVL3i https://pbs.twimg.com/media/GAz0NgDWAAA0zXB.jpg</t>
  </si>
  <si>
    <t>https://t.co/Etp2nnbcVr https://pbs.twimg.com/media/GAz0DFLWwAArj0H.jpg</t>
  </si>
  <si>
    <t>https://t.co/mEiSvW2WUM https://pbs.twimg.com/media/GAzz2TcXkAA6rsS.jpg</t>
  </si>
  <si>
    <t>https://t.co/pURAQPlAG7 https://pbs.twimg.com/media/GAzzjTaXgAAgZEY.jpg</t>
  </si>
  <si>
    <t>https://t.co/bLSmm91aL7 https://pbs.twimg.com/media/GAzyovwX0AAhzLl.jpg</t>
  </si>
  <si>
    <t>https://t.co/H0H4UnzMsk https://pbs.twimg.com/media/GAzwjUaXoAAKZ3t.jpg</t>
  </si>
  <si>
    <t>https://t.co/y3EDXwwLBJ https://pbs.twimg.com/media/GAxdzr7WsAAvbfa.jpg</t>
  </si>
  <si>
    <t>https://t.co/zuk0UdrmRM https://pbs.twimg.com/media/GAxdhtSW8AACWtQ.jpg</t>
  </si>
  <si>
    <t>https://t.co/SIXkzNjHVt https://pbs.twimg.com/media/GAxdYXOWoAECpj-.jpg</t>
  </si>
  <si>
    <t>https://t.co/NdD0rew7Nh https://pbs.twimg.com/media/GAxdOP2WUAAe9c5.jpg</t>
  </si>
  <si>
    <t>https://t.co/WL2ehm2j50 https://pbs.twimg.com/media/GAxdF52WgAAhxVb.jpg</t>
  </si>
  <si>
    <t>https://t.co/LOp8DTWzAh https://pbs.twimg.com/media/GAxc4KlWkAE__Wl.jpg</t>
  </si>
  <si>
    <t>https://t.co/M4ikHM2BPk https://pbs.twimg.com/media/GAxcqDHXwAED50B.jpg</t>
  </si>
  <si>
    <t>https://t.co/3WqrD5j2Ox https://pbs.twimg.com/media/GAxcaaIWQAAXgIW.jpg</t>
  </si>
  <si>
    <t>https://t.co/ij9whPJ3bI https://pbs.twimg.com/media/GAxb210XEAAab2M.jpg</t>
  </si>
  <si>
    <t>https://t.co/W0LdQxvB7K https://pbs.twimg.com/media/GAxbl48XAAAXFbD.jpg</t>
  </si>
  <si>
    <t>https://t.co/DhohRWAa5U https://pbs.twimg.com/media/GAxbcmDWUAAA1Uq.jpg</t>
  </si>
  <si>
    <t>https://t.co/rsj3YLCjtM https://pbs.twimg.com/media/GAxbQTPXoAAUeHF.jpg</t>
  </si>
  <si>
    <t>https://t.co/eA5hWXV1Xa https://pbs.twimg.com/media/GAxZkPZW0AAlgar.jpg</t>
  </si>
  <si>
    <t>https://t.co/OlM2gO3f0u https://pbs.twimg.com/media/GAxZYTUXAAA0oLq.jpg</t>
  </si>
  <si>
    <t>https://t.co/Gv3Dc3jyhf https://pbs.twimg.com/media/GAxZLSMXwAAfaEg.jpg</t>
  </si>
  <si>
    <t>https://t.co/fOwuKGZgFO https://pbs.twimg.com/media/GAxY8pfXwAAn0fM.jpg</t>
  </si>
  <si>
    <t>https://t.co/BVIZNsPxws https://pbs.twimg.com/media/GAxYumZWAAAE0E_.jpg</t>
  </si>
  <si>
    <t>https://t.co/iC3L0H9Aql https://pbs.twimg.com/media/GAxYgRmWMAAQb9K.jpg</t>
  </si>
  <si>
    <t>https://t.co/pzokEefGKA https://pbs.twimg.com/media/GAxXlqDXMAACuXs.jpg</t>
  </si>
  <si>
    <t>https://t.co/CGUYj396mv https://pbs.twimg.com/media/GAxXbImXgAAa1mK.jpg</t>
  </si>
  <si>
    <t>https://t.co/G0l0STJfUL https://pbs.twimg.com/media/EH44KnlVAAE-reF.jpg</t>
  </si>
  <si>
    <t>https://t.co/9zTjVxQNyb https://pbs.twimg.com/media/EHnwE1xUcAAoIS_.jpg</t>
  </si>
  <si>
    <t>https://t.co/u8wvTDrNWo https://pbs.twimg.com/media/EHEzKxVU0AA7cPU.jpg</t>
  </si>
  <si>
    <t>https://t.co/7yPRyTEyjn https://pbs.twimg.com/media/DyFnED7U0AAlL1c.jpg</t>
  </si>
  <si>
    <t>https://t.co/1yJy6B8b3C https://pbs.twimg.com/media/DxpWp6vVAAARnO4.jpg</t>
  </si>
  <si>
    <t>https://t.co/0FYT5htNVE https://pbs.twimg.com/media/DxVf0vbVYAMxsiA.jpg</t>
  </si>
  <si>
    <t>https://t.co/RxMjnPzW9i https://pbs.twimg.com/media/DvFVqSmVAAAJdEc.jpg</t>
  </si>
  <si>
    <t>https://t.co/JvlPLtdjdW https://pbs.twimg.com/media/Du12lyFX4AExahC.jpg</t>
  </si>
  <si>
    <t>https://t.co/hkzrru2BCH https://pbs.twimg.com/media/Du12WVlXgAEZ7lx.jpg</t>
  </si>
  <si>
    <t>https://t.co/c6tOnnQEOc https://pbs.twimg.com/media/Du12ArBWsAIx85o.jpg</t>
  </si>
  <si>
    <t>https://t.co/YXpasGz4IX https://pbs.twimg.com/media/GB5SzAyX0AEer95.jpg</t>
  </si>
  <si>
    <t>https://t.co/KQsoBKsFGw https://pbs.twimg.com/tweet_video_thumb/GBJHbYNasAA17Pi.jpg</t>
  </si>
  <si>
    <t>https://t.co/BlTBoCGFIx https://pbs.twimg.com/tweet_video_thumb/GBJD0I7bQAA0sgp.jpg</t>
  </si>
  <si>
    <t>https://t.co/GnI9rePSKo https://pbs.twimg.com/tweet_video_thumb/GBJDwMYb0AAZk1H.jpg</t>
  </si>
  <si>
    <t>https://t.co/qvas52Pwh2 https://pbs.twimg.com/media/GB5TtarXQAAjyq0.jpg</t>
  </si>
  <si>
    <t>https://t.co/mFObH77SDj https://pbs.twimg.com/media/GB5V-RaWYAAi6eL.jpg</t>
  </si>
  <si>
    <t>https://t.co/iIwwkAHjGV https://pbs.twimg.com/media/GAw2ngeWEAA2GkQ.jpg</t>
  </si>
  <si>
    <t>https://t.co/189HhPBpHL https://pbs.twimg.com/media/DG8Ce-uUwAAHjJE.jpg</t>
  </si>
  <si>
    <t>https://t.co/u5U5n6CyZG https://pbs.twimg.com/ext_tw_video_thumb/1737660056760393729/pu/img/B3zcrlzn-6HLWYlr.jpg</t>
  </si>
  <si>
    <t>https://t.co/L33mnxqIVH https://pbs.twimg.com/media/GBrUEKoWoAAeeZ0.jpg</t>
  </si>
  <si>
    <t>https://t.co/mLIyOPFdUc https://pbs.twimg.com/media/GA_0IsNWgAEnImx.jpg</t>
  </si>
  <si>
    <t>https://t.co/fMJlyyDxkg https://pbs.twimg.com/media/GA5cGdnWMAAnDhi.png</t>
  </si>
  <si>
    <t>https://t.co/3b6Hs74zPS https://pbs.twimg.com/media/GAz3Qg8W0AAVg2Y.jpg</t>
  </si>
  <si>
    <t>https://t.co/oY2eTLaW69 https://pbs.twimg.com/media/GAz3IazWkAAIV3w.jpg</t>
  </si>
  <si>
    <t>https://t.co/uDJel6qPAv https://pbs.twimg.com/media/GAz2_zYWMAAR180.jpg</t>
  </si>
  <si>
    <t>https://t.co/zQ8vhm8o7y https://pbs.twimg.com/media/GAz226TWMAAtcY4.jpg</t>
  </si>
  <si>
    <t>https://t.co/wPPzsLeIOF https://pbs.twimg.com/media/GAxXRkpWgAAL0Pb.jpg</t>
  </si>
  <si>
    <t>https://t.co/e41xmESTfV https://pbs.twimg.com/media/GAxXI9zXcAAzogr.jpg</t>
  </si>
  <si>
    <t>https://t.co/DKdwJhmqRD https://pbs.twimg.com/media/GAxW_cMW8AA6Buv.jpg</t>
  </si>
  <si>
    <t>https://t.co/gToR7uQfsc https://pbs.twimg.com/media/GAxWx_MXkAAhHdY.jpg</t>
  </si>
  <si>
    <t>https://t.co/CqA5n6txef https://pbs.twimg.com/media/GAxWoJ-XsAAghww.jpg</t>
  </si>
  <si>
    <t>https://t.co/mUdkveEroF https://pbs.twimg.com/media/GAxWfFyWYAAW6ob.jpg</t>
  </si>
  <si>
    <t>https://t.co/dIWiHn5R99 https://pbs.twimg.com/media/GAxWRGlW8AEW8ri.jpg</t>
  </si>
  <si>
    <t>https://t.co/mPE1TUUD2B https://pbs.twimg.com/media/GAxWFN2XQAAFIbL.jpg</t>
  </si>
  <si>
    <t>https://t.co/rh1hMqXu6B https://pbs.twimg.com/media/GAxLeQ6XoAEeJtb.jpg</t>
  </si>
  <si>
    <t>https://t.co/vKQpKrN5bY https://pbs.twimg.com/media/GAxLWJnWYAAyODM.jpg</t>
  </si>
  <si>
    <t>https://t.co/spSB5QB6xO https://pbs.twimg.com/media/GAxLNx5WsAAlllj.jpg</t>
  </si>
  <si>
    <t>https://t.co/FpZ62IWEb9 https://pbs.twimg.com/media/GAxLExoXkAA1kmK.jpg</t>
  </si>
  <si>
    <t>https://t.co/24rsBMILo4 https://pbs.twimg.com/media/GAxK3iUXQAAhdiS.jpg</t>
  </si>
  <si>
    <t>https://t.co/reqXbt7EEv https://pbs.twimg.com/media/GAxKvWPWwAAudSX.jpg</t>
  </si>
  <si>
    <t>https://t.co/3bdwkfRIlK https://pbs.twimg.com/media/GAxKmbCW8AAh-Hl.jpg</t>
  </si>
  <si>
    <t>https://t.co/eGJgoMpkh0 https://pbs.twimg.com/media/GAxKdu4WQAA8Q1l.jpg</t>
  </si>
  <si>
    <t>https://t.co/hdCFJjbedl https://pbs.twimg.com/media/GAw8WIbXkAA0wJN.jpg</t>
  </si>
  <si>
    <t>https://t.co/8eZCnsKCpq https://pbs.twimg.com/media/GAw8O3OWcAAXy8W.jpg</t>
  </si>
  <si>
    <t>https://t.co/7O67I98GMv https://pbs.twimg.com/media/GAw8GQMWwAANr9n.jpg</t>
  </si>
  <si>
    <t>https://t.co/DyoZ9zWHZY https://pbs.twimg.com/media/GAw79tyW0AAfBtd.jpg</t>
  </si>
  <si>
    <t>https://t.co/BjfOYCCiwC https://pbs.twimg.com/media/GAw7170WcAAhBhU.jpg</t>
  </si>
  <si>
    <t>https://t.co/gtshiRekkE https://pbs.twimg.com/media/GAw7tJEWoAEUH29.jpg</t>
  </si>
  <si>
    <t>https://t.co/IC4fpbwKQb https://pbs.twimg.com/media/GAw7k_7WoAgSOqN.jpg</t>
  </si>
  <si>
    <t>https://t.co/DFdYymMxn9 https://pbs.twimg.com/media/GAw7bdtWsAAGdLI.jpg</t>
  </si>
  <si>
    <t>https://t.co/F3oxCQdVeR https://pbs.twimg.com/media/GAw2ZEqWwAAZAr2.jpg</t>
  </si>
  <si>
    <t>https://t.co/Px7NGGdxW1 https://pbs.twimg.com/media/GAw2P1jXEAA7fTn.jpg</t>
  </si>
  <si>
    <t>https://t.co/exOTZzTJZp https://pbs.twimg.com/media/GAw2F0eX0AAArTS.jpg</t>
  </si>
  <si>
    <t>https://t.co/BU0n0C6URV https://pbs.twimg.com/media/GAw1x1UW4AAHNNK.jpg</t>
  </si>
  <si>
    <t>https://t.co/GmJEEqw3vc https://pbs.twimg.com/media/GAw1nJUX0AAkdW-.jpg</t>
  </si>
  <si>
    <t>https://t.co/WofEECMWSj https://pbs.twimg.com/media/GAw1danXoAA57jE.jpg</t>
  </si>
  <si>
    <t>https://t.co/2gOuKHwbKo https://pbs.twimg.com/media/GAw1KMqWcAA5fOE.jpg</t>
  </si>
  <si>
    <t>https://t.co/Q4j5RWhpWn https://pbs.twimg.com/media/GAw0_bRXQAAQiGx.jpg</t>
  </si>
  <si>
    <t>https://t.co/tXSpsim2XM https://pbs.twimg.com/media/GAw0zO8WgAACjCK.jpg</t>
  </si>
  <si>
    <t>https://t.co/VInymHdIIy https://pbs.twimg.com/media/GAw0oDHWAAAQeQA.jpg</t>
  </si>
  <si>
    <t>https://t.co/vNrZQLZVsX https://pbs.twimg.com/media/GAw0b0rXAAAFccc.jpg</t>
  </si>
  <si>
    <t>https://t.co/nHSgacUPOU https://pbs.twimg.com/media/GAw0N8yWAAAyGL3.jpg</t>
  </si>
  <si>
    <t>https://t.co/CYivtEQRjH https://pbs.twimg.com/media/GAwz6DFWsAA_Y-Q.jpg</t>
  </si>
  <si>
    <t>https://t.co/AzGNAhnIUU https://pbs.twimg.com/media/GAt31eAX0AAFOkB.jpg</t>
  </si>
  <si>
    <t>https://t.co/A65gGJJl0F https://pbs.twimg.com/media/C5Qw84IW8AA81t4.jpg</t>
  </si>
  <si>
    <t>photo photo</t>
  </si>
  <si>
    <t>video</t>
  </si>
  <si>
    <t>photo</t>
  </si>
  <si>
    <t>photo photo photo photo</t>
  </si>
  <si>
    <t>animated_gif</t>
  </si>
  <si>
    <t>video video</t>
  </si>
  <si>
    <t>erased5874570_3JhUFXRV79</t>
  </si>
  <si>
    <t>Twitter for Android</t>
  </si>
  <si>
    <t>Google</t>
  </si>
  <si>
    <t>Commun.it</t>
  </si>
  <si>
    <t>Twitter for iPhone</t>
  </si>
  <si>
    <t>Twitter Web Client</t>
  </si>
  <si>
    <t>SocialOomph</t>
  </si>
  <si>
    <t>Twitter Web App</t>
  </si>
  <si>
    <t>Paper.li</t>
  </si>
  <si>
    <t>erased12130307</t>
  </si>
  <si>
    <t>IFTTT</t>
  </si>
  <si>
    <t>erased994719</t>
  </si>
  <si>
    <t>Twitter for Websites</t>
  </si>
  <si>
    <t>TweetDeck</t>
  </si>
  <si>
    <t>Commun.it Intelligence</t>
  </si>
  <si>
    <t>www.whichwebdesigncompany.com</t>
  </si>
  <si>
    <t>Facebook</t>
  </si>
  <si>
    <t>WordTwit Plugin</t>
  </si>
  <si>
    <t>UberSocial for BlackBerry</t>
  </si>
  <si>
    <t>erased708509</t>
  </si>
  <si>
    <t>Jetpack.com</t>
  </si>
  <si>
    <t>LinksAlpha</t>
  </si>
  <si>
    <t>twitterfeed</t>
  </si>
  <si>
    <t>AudienseCo</t>
  </si>
  <si>
    <t>Buffer</t>
  </si>
  <si>
    <t>NetworkedBlogs</t>
  </si>
  <si>
    <t>WritingJobs</t>
  </si>
  <si>
    <t>Twitter for iPad</t>
  </si>
  <si>
    <t>Namanas</t>
  </si>
  <si>
    <t>Designer News Bot</t>
  </si>
  <si>
    <t>Sprout Social</t>
  </si>
  <si>
    <t>LinkedIn</t>
  </si>
  <si>
    <t>Placement Floor Online</t>
  </si>
  <si>
    <t>bizofit</t>
  </si>
  <si>
    <t>CareerAge Job Tweets Posting</t>
  </si>
  <si>
    <t>NetComms</t>
  </si>
  <si>
    <t>Nonli</t>
  </si>
  <si>
    <t>Instagram</t>
  </si>
  <si>
    <t>TweetUpdater</t>
  </si>
  <si>
    <t>SmarterQueue</t>
  </si>
  <si>
    <t>Twibs</t>
  </si>
  <si>
    <t>Triberr</t>
  </si>
  <si>
    <t>erased7008403_xujOpu7qxS</t>
  </si>
  <si>
    <t>Jobs_Board</t>
  </si>
  <si>
    <t>Hootsuite</t>
  </si>
  <si>
    <t>Deathwatch India</t>
  </si>
  <si>
    <t>Camera on iOS</t>
  </si>
  <si>
    <t>Semrush Social Media Tool</t>
  </si>
  <si>
    <t>Digital Point</t>
  </si>
  <si>
    <t>Post with Klout</t>
  </si>
  <si>
    <t>Tweet Jobs Posot India</t>
  </si>
  <si>
    <t>en</t>
  </si>
  <si>
    <t>qme</t>
  </si>
  <si>
    <t>ro</t>
  </si>
  <si>
    <t>in</t>
  </si>
  <si>
    <t>es</t>
  </si>
  <si>
    <t>zxx</t>
  </si>
  <si>
    <t>und</t>
  </si>
  <si>
    <t>et</t>
  </si>
  <si>
    <t>fr</t>
  </si>
  <si>
    <t>pt</t>
  </si>
  <si>
    <t>sv</t>
  </si>
  <si>
    <t>ca</t>
  </si>
  <si>
    <t>de</t>
  </si>
  <si>
    <t>qam</t>
  </si>
  <si>
    <t>qht</t>
  </si>
  <si>
    <t>12:05:04</t>
  </si>
  <si>
    <t>12:05:03</t>
  </si>
  <si>
    <t>12:44:06</t>
  </si>
  <si>
    <t>02:42:08</t>
  </si>
  <si>
    <t>12:25:29</t>
  </si>
  <si>
    <t>13:37:20</t>
  </si>
  <si>
    <t>05:41:06</t>
  </si>
  <si>
    <t>09:19:58</t>
  </si>
  <si>
    <t>16:03:19</t>
  </si>
  <si>
    <t>18:25:27</t>
  </si>
  <si>
    <t>15:16:54</t>
  </si>
  <si>
    <t>15:18:45</t>
  </si>
  <si>
    <t>18:07:05</t>
  </si>
  <si>
    <t>17:41:45</t>
  </si>
  <si>
    <t>08:37:03</t>
  </si>
  <si>
    <t>03:28:03</t>
  </si>
  <si>
    <t>19:07:52</t>
  </si>
  <si>
    <t>08:24:04</t>
  </si>
  <si>
    <t>12:57:53</t>
  </si>
  <si>
    <t>18:52:30</t>
  </si>
  <si>
    <t>10:27:05</t>
  </si>
  <si>
    <t>10:25:41</t>
  </si>
  <si>
    <t>15:23:52</t>
  </si>
  <si>
    <t>23:11:09</t>
  </si>
  <si>
    <t>07:34:38</t>
  </si>
  <si>
    <t>01:59:27</t>
  </si>
  <si>
    <t>16:48:29</t>
  </si>
  <si>
    <t>07:42:15</t>
  </si>
  <si>
    <t>13:09:38</t>
  </si>
  <si>
    <t>05:23:52</t>
  </si>
  <si>
    <t>07:16:36</t>
  </si>
  <si>
    <t>07:52:55</t>
  </si>
  <si>
    <t>08:22:14</t>
  </si>
  <si>
    <t>13:15:20</t>
  </si>
  <si>
    <t>13:40:16</t>
  </si>
  <si>
    <t>13:36:36</t>
  </si>
  <si>
    <t>12:48:02</t>
  </si>
  <si>
    <t>12:45:36</t>
  </si>
  <si>
    <t>12:29:15</t>
  </si>
  <si>
    <t>12:28:25</t>
  </si>
  <si>
    <t>12:22:27</t>
  </si>
  <si>
    <t>12:19:12</t>
  </si>
  <si>
    <t>12:07:46</t>
  </si>
  <si>
    <t>12:05:28</t>
  </si>
  <si>
    <t>12:00:14</t>
  </si>
  <si>
    <t>11:57:21</t>
  </si>
  <si>
    <t>11:55:25</t>
  </si>
  <si>
    <t>11:52:30</t>
  </si>
  <si>
    <t>11:51:42</t>
  </si>
  <si>
    <t>11:41:39</t>
  </si>
  <si>
    <t>11:38:15</t>
  </si>
  <si>
    <t>11:34:03</t>
  </si>
  <si>
    <t>11:33:24</t>
  </si>
  <si>
    <t>11:30:46</t>
  </si>
  <si>
    <t>11:29:41</t>
  </si>
  <si>
    <t>11:29:09</t>
  </si>
  <si>
    <t>11:06:50</t>
  </si>
  <si>
    <t>10:52:54</t>
  </si>
  <si>
    <t>10:35:47</t>
  </si>
  <si>
    <t>10:35:14</t>
  </si>
  <si>
    <t>10:33:57</t>
  </si>
  <si>
    <t>10:32:29</t>
  </si>
  <si>
    <t>10:30:16</t>
  </si>
  <si>
    <t>10:22:12</t>
  </si>
  <si>
    <t>10:14:07</t>
  </si>
  <si>
    <t>08:53:15</t>
  </si>
  <si>
    <t>08:52:42</t>
  </si>
  <si>
    <t>13:41:28</t>
  </si>
  <si>
    <t>06:31:51</t>
  </si>
  <si>
    <t>08:33:55</t>
  </si>
  <si>
    <t>06:46:35</t>
  </si>
  <si>
    <t>10:33:29</t>
  </si>
  <si>
    <t>12:40:00</t>
  </si>
  <si>
    <t>14:46:38</t>
  </si>
  <si>
    <t>09:20:23</t>
  </si>
  <si>
    <t>15:07:37</t>
  </si>
  <si>
    <t>15:06:14</t>
  </si>
  <si>
    <t>08:17:40</t>
  </si>
  <si>
    <t>08:15:28</t>
  </si>
  <si>
    <t>08:12:14</t>
  </si>
  <si>
    <t>08:06:01</t>
  </si>
  <si>
    <t>08:00:26</t>
  </si>
  <si>
    <t>00:05:11</t>
  </si>
  <si>
    <t>01:20:42</t>
  </si>
  <si>
    <t>12:12:00</t>
  </si>
  <si>
    <t>07:39:27</t>
  </si>
  <si>
    <t>10:04:36</t>
  </si>
  <si>
    <t>12:30:55</t>
  </si>
  <si>
    <t>15:30:20</t>
  </si>
  <si>
    <t>17:36:08</t>
  </si>
  <si>
    <t>07:57:22</t>
  </si>
  <si>
    <t>02:37:18</t>
  </si>
  <si>
    <t>04:20:48</t>
  </si>
  <si>
    <t>01:03:19</t>
  </si>
  <si>
    <t>17:04:19</t>
  </si>
  <si>
    <t>16:00:00</t>
  </si>
  <si>
    <t>11:36:00</t>
  </si>
  <si>
    <t>21:48:26</t>
  </si>
  <si>
    <t>19:15:47</t>
  </si>
  <si>
    <t>05:36:40</t>
  </si>
  <si>
    <t>05:36:38</t>
  </si>
  <si>
    <t>10:34:26</t>
  </si>
  <si>
    <t>09:37:44</t>
  </si>
  <si>
    <t>09:37:43</t>
  </si>
  <si>
    <t>05:05:54</t>
  </si>
  <si>
    <t>10:21:07</t>
  </si>
  <si>
    <t>03:38:02</t>
  </si>
  <si>
    <t>18:13:07</t>
  </si>
  <si>
    <t>04:56:35</t>
  </si>
  <si>
    <t>23:29:51</t>
  </si>
  <si>
    <t>05:49:35</t>
  </si>
  <si>
    <t>05:55:17</t>
  </si>
  <si>
    <t>06:32:10</t>
  </si>
  <si>
    <t>10:35:25</t>
  </si>
  <si>
    <t>05:06:14</t>
  </si>
  <si>
    <t>05:37:57</t>
  </si>
  <si>
    <t>10:43:45</t>
  </si>
  <si>
    <t>09:11:41</t>
  </si>
  <si>
    <t>10:10:57</t>
  </si>
  <si>
    <t>11:21:40</t>
  </si>
  <si>
    <t>09:22:08</t>
  </si>
  <si>
    <t>04:57:39</t>
  </si>
  <si>
    <t>05:49:09</t>
  </si>
  <si>
    <t>12:06:01</t>
  </si>
  <si>
    <t>12:00:12</t>
  </si>
  <si>
    <t>05:52:57</t>
  </si>
  <si>
    <t>09:36:15</t>
  </si>
  <si>
    <t>05:50:53</t>
  </si>
  <si>
    <t>11:46:42</t>
  </si>
  <si>
    <t>06:43:10</t>
  </si>
  <si>
    <t>07:03:01</t>
  </si>
  <si>
    <t>09:24:11</t>
  </si>
  <si>
    <t>05:57:21</t>
  </si>
  <si>
    <t>06:02:11</t>
  </si>
  <si>
    <t>06:04:11</t>
  </si>
  <si>
    <t>05:38:17</t>
  </si>
  <si>
    <t>05:46:18</t>
  </si>
  <si>
    <t>09:34:10</t>
  </si>
  <si>
    <t>10:31:10</t>
  </si>
  <si>
    <t>12:49:36</t>
  </si>
  <si>
    <t>10:23:33</t>
  </si>
  <si>
    <t>10:14:04</t>
  </si>
  <si>
    <t>06:14:16</t>
  </si>
  <si>
    <t>05:44:27</t>
  </si>
  <si>
    <t>11:58:46</t>
  </si>
  <si>
    <t>04:03:00</t>
  </si>
  <si>
    <t>05:21:59</t>
  </si>
  <si>
    <t>06:41:56</t>
  </si>
  <si>
    <t>09:39:20</t>
  </si>
  <si>
    <t>05:15:41</t>
  </si>
  <si>
    <t>10:21:48</t>
  </si>
  <si>
    <t>19:15:13</t>
  </si>
  <si>
    <t>04:03:02</t>
  </si>
  <si>
    <t>04:33:11</t>
  </si>
  <si>
    <t>15:17:35</t>
  </si>
  <si>
    <t>10:52:08</t>
  </si>
  <si>
    <t>12:07:07</t>
  </si>
  <si>
    <t>09:34:02</t>
  </si>
  <si>
    <t>11:44:46</t>
  </si>
  <si>
    <t>07:05:57</t>
  </si>
  <si>
    <t>10:22:07</t>
  </si>
  <si>
    <t>05:56:20</t>
  </si>
  <si>
    <t>09:33:18</t>
  </si>
  <si>
    <t>09:28:21</t>
  </si>
  <si>
    <t>10:55:31</t>
  </si>
  <si>
    <t>12:48:07</t>
  </si>
  <si>
    <t>12:41:16</t>
  </si>
  <si>
    <t>06:27:29</t>
  </si>
  <si>
    <t>06:16:37</t>
  </si>
  <si>
    <t>13:11:15</t>
  </si>
  <si>
    <t>12:42:11</t>
  </si>
  <si>
    <t>08:25:05</t>
  </si>
  <si>
    <t>08:23:12</t>
  </si>
  <si>
    <t>13:49:00</t>
  </si>
  <si>
    <t>13:48:25</t>
  </si>
  <si>
    <t>13:47:57</t>
  </si>
  <si>
    <t>13:44:11</t>
  </si>
  <si>
    <t>13:42:58</t>
  </si>
  <si>
    <t>13:36:42</t>
  </si>
  <si>
    <t>14:15:01</t>
  </si>
  <si>
    <t>09:44:54</t>
  </si>
  <si>
    <t>16:26:57</t>
  </si>
  <si>
    <t>07:21:33</t>
  </si>
  <si>
    <t>13:23:53</t>
  </si>
  <si>
    <t>14:24:25</t>
  </si>
  <si>
    <t>11:14:19</t>
  </si>
  <si>
    <t>11:50:31</t>
  </si>
  <si>
    <t>15:31:56</t>
  </si>
  <si>
    <t>14:46:31</t>
  </si>
  <si>
    <t>11:21:33</t>
  </si>
  <si>
    <t>08:56:57</t>
  </si>
  <si>
    <t>10:44:11</t>
  </si>
  <si>
    <t>07:15:55</t>
  </si>
  <si>
    <t>10:38:09</t>
  </si>
  <si>
    <t>09:43:31</t>
  </si>
  <si>
    <t>11:18:37</t>
  </si>
  <si>
    <t>10:57:24</t>
  </si>
  <si>
    <t>09:37:21</t>
  </si>
  <si>
    <t>14:30:29</t>
  </si>
  <si>
    <t>06:35:53</t>
  </si>
  <si>
    <t>07:20:24</t>
  </si>
  <si>
    <t>07:19:06</t>
  </si>
  <si>
    <t>10:52:10</t>
  </si>
  <si>
    <t>11:52:12</t>
  </si>
  <si>
    <t>20:30:03</t>
  </si>
  <si>
    <t>17:31:15</t>
  </si>
  <si>
    <t>13:43:59</t>
  </si>
  <si>
    <t>04:56:43</t>
  </si>
  <si>
    <t>05:32:35</t>
  </si>
  <si>
    <t>09:16:59</t>
  </si>
  <si>
    <t>01:17:05</t>
  </si>
  <si>
    <t>21:54:08</t>
  </si>
  <si>
    <t>12:04:00</t>
  </si>
  <si>
    <t>10:17:14</t>
  </si>
  <si>
    <t>10:55:46</t>
  </si>
  <si>
    <t>22:23:05</t>
  </si>
  <si>
    <t>04:39:38</t>
  </si>
  <si>
    <t>08:22:37</t>
  </si>
  <si>
    <t>05:18:19</t>
  </si>
  <si>
    <t>10:40:24</t>
  </si>
  <si>
    <t>07:53:40</t>
  </si>
  <si>
    <t>13:23:26</t>
  </si>
  <si>
    <t>04:58:34</t>
  </si>
  <si>
    <t>13:29:11</t>
  </si>
  <si>
    <t>21:03:50</t>
  </si>
  <si>
    <t>17:15:51</t>
  </si>
  <si>
    <t>16:13:52</t>
  </si>
  <si>
    <t>17:30:14</t>
  </si>
  <si>
    <t>04:13:29</t>
  </si>
  <si>
    <t>03:21:09</t>
  </si>
  <si>
    <t>16:30:50</t>
  </si>
  <si>
    <t>20:29:08</t>
  </si>
  <si>
    <t>23:35:19</t>
  </si>
  <si>
    <t>18:10:11</t>
  </si>
  <si>
    <t>12:29:20</t>
  </si>
  <si>
    <t>12:28:10</t>
  </si>
  <si>
    <t>04:19:28</t>
  </si>
  <si>
    <t>16:24:52</t>
  </si>
  <si>
    <t>04:09:54</t>
  </si>
  <si>
    <t>18:23:16</t>
  </si>
  <si>
    <t>09:57:34</t>
  </si>
  <si>
    <t>03:55:21</t>
  </si>
  <si>
    <t>02:42:48</t>
  </si>
  <si>
    <t>04:38:59</t>
  </si>
  <si>
    <t>07:26:27</t>
  </si>
  <si>
    <t>04:26:18</t>
  </si>
  <si>
    <t>10:48:26</t>
  </si>
  <si>
    <t>19:04:43</t>
  </si>
  <si>
    <t>08:42:01</t>
  </si>
  <si>
    <t>05:15:31</t>
  </si>
  <si>
    <t>03:57:20</t>
  </si>
  <si>
    <t>03:55:50</t>
  </si>
  <si>
    <t>03:55:40</t>
  </si>
  <si>
    <t>03:55:32</t>
  </si>
  <si>
    <t>03:49:58</t>
  </si>
  <si>
    <t>10:52:27</t>
  </si>
  <si>
    <t>01:10:41</t>
  </si>
  <si>
    <t>00:23:09</t>
  </si>
  <si>
    <t>00:58:32</t>
  </si>
  <si>
    <t>07:34:41</t>
  </si>
  <si>
    <t>20:48:47</t>
  </si>
  <si>
    <t>13:33:18</t>
  </si>
  <si>
    <t>04:28:02</t>
  </si>
  <si>
    <t>13:41:06</t>
  </si>
  <si>
    <t>12:34:52</t>
  </si>
  <si>
    <t>07:37:14</t>
  </si>
  <si>
    <t>20:38:45</t>
  </si>
  <si>
    <t>22:20:58</t>
  </si>
  <si>
    <t>12:03:40</t>
  </si>
  <si>
    <t>17:11:25</t>
  </si>
  <si>
    <t>21:34:30</t>
  </si>
  <si>
    <t>13:15:11</t>
  </si>
  <si>
    <t>02:50:59</t>
  </si>
  <si>
    <t>09:43:08</t>
  </si>
  <si>
    <t>05:56:24</t>
  </si>
  <si>
    <t>00:34:23</t>
  </si>
  <si>
    <t>04:28:07</t>
  </si>
  <si>
    <t>22:59:59</t>
  </si>
  <si>
    <t>19:59:57</t>
  </si>
  <si>
    <t>19:59:56</t>
  </si>
  <si>
    <t>00:33:37</t>
  </si>
  <si>
    <t>19:04:25</t>
  </si>
  <si>
    <t>19:04:22</t>
  </si>
  <si>
    <t>21:07:46</t>
  </si>
  <si>
    <t>19:57:21</t>
  </si>
  <si>
    <t>20:31:39</t>
  </si>
  <si>
    <t>18:22:10</t>
  </si>
  <si>
    <t>18:23:14</t>
  </si>
  <si>
    <t>12:23:48</t>
  </si>
  <si>
    <t>10:04:41</t>
  </si>
  <si>
    <t>10:18:38</t>
  </si>
  <si>
    <t>02:40:40</t>
  </si>
  <si>
    <t>17:12:17</t>
  </si>
  <si>
    <t>06:36:20</t>
  </si>
  <si>
    <t>19:19:01</t>
  </si>
  <si>
    <t>19:09:56</t>
  </si>
  <si>
    <t>08:20:42</t>
  </si>
  <si>
    <t>17:00:00</t>
  </si>
  <si>
    <t>06:55:07</t>
  </si>
  <si>
    <t>07:55:29</t>
  </si>
  <si>
    <t>15:12:57</t>
  </si>
  <si>
    <t>17:05:12</t>
  </si>
  <si>
    <t>21:03:07</t>
  </si>
  <si>
    <t>09:40:17</t>
  </si>
  <si>
    <t>07:57:31</t>
  </si>
  <si>
    <t>05:47:17</t>
  </si>
  <si>
    <t>21:03:33</t>
  </si>
  <si>
    <t>12:35:51</t>
  </si>
  <si>
    <t>12:27:23</t>
  </si>
  <si>
    <t>21:44:48</t>
  </si>
  <si>
    <t>12:33:42</t>
  </si>
  <si>
    <t>06:55:49</t>
  </si>
  <si>
    <t>09:36:42</t>
  </si>
  <si>
    <t>14:03:36</t>
  </si>
  <si>
    <t>06:33:40</t>
  </si>
  <si>
    <t>07:21:53</t>
  </si>
  <si>
    <t>09:32:13</t>
  </si>
  <si>
    <t>07:51:46</t>
  </si>
  <si>
    <t>13:30:58</t>
  </si>
  <si>
    <t>16:48:35</t>
  </si>
  <si>
    <t>21:43:30</t>
  </si>
  <si>
    <t>20:45:52</t>
  </si>
  <si>
    <t>09:43:22</t>
  </si>
  <si>
    <t>10:41:04</t>
  </si>
  <si>
    <t>18:20:01</t>
  </si>
  <si>
    <t>08:15:02</t>
  </si>
  <si>
    <t>10:58:49</t>
  </si>
  <si>
    <t>00:06:54</t>
  </si>
  <si>
    <t>21:19:50</t>
  </si>
  <si>
    <t>06:36:28</t>
  </si>
  <si>
    <t>15:01:25</t>
  </si>
  <si>
    <t>07:02:17</t>
  </si>
  <si>
    <t>23:36:29</t>
  </si>
  <si>
    <t>07:59:10</t>
  </si>
  <si>
    <t>01:53:25</t>
  </si>
  <si>
    <t>12:54:17</t>
  </si>
  <si>
    <t>11:00:02</t>
  </si>
  <si>
    <t>09:06:07</t>
  </si>
  <si>
    <t>16:33:13</t>
  </si>
  <si>
    <t>10:29:50</t>
  </si>
  <si>
    <t>10:54:05</t>
  </si>
  <si>
    <t>12:28:11</t>
  </si>
  <si>
    <t>07:51:17</t>
  </si>
  <si>
    <t>09:23:29</t>
  </si>
  <si>
    <t>20:10:37</t>
  </si>
  <si>
    <t>20:02:36</t>
  </si>
  <si>
    <t>05:26:56</t>
  </si>
  <si>
    <t>07:22:09</t>
  </si>
  <si>
    <t>08:56:37</t>
  </si>
  <si>
    <t>02:25:54</t>
  </si>
  <si>
    <t>16:55:36</t>
  </si>
  <si>
    <t>16:55:28</t>
  </si>
  <si>
    <t>00:12:25</t>
  </si>
  <si>
    <t>12:07:28</t>
  </si>
  <si>
    <t>10:57:00</t>
  </si>
  <si>
    <t>10:53:27</t>
  </si>
  <si>
    <t>10:40:00</t>
  </si>
  <si>
    <t>07:12:40</t>
  </si>
  <si>
    <t>07:05:00</t>
  </si>
  <si>
    <t>06:53:58</t>
  </si>
  <si>
    <t>13:10:03</t>
  </si>
  <si>
    <t>13:02:56</t>
  </si>
  <si>
    <t>13:00:45</t>
  </si>
  <si>
    <t>12:57:23</t>
  </si>
  <si>
    <t>12:55:29</t>
  </si>
  <si>
    <t>12:49:37</t>
  </si>
  <si>
    <t>12:47:45</t>
  </si>
  <si>
    <t>12:29:38</t>
  </si>
  <si>
    <t>13:43:46</t>
  </si>
  <si>
    <t>12:25:26</t>
  </si>
  <si>
    <t>13:00:58</t>
  </si>
  <si>
    <t>06:21:53</t>
  </si>
  <si>
    <t>06:06:21</t>
  </si>
  <si>
    <t>05:13:11</t>
  </si>
  <si>
    <t>07:19:50</t>
  </si>
  <si>
    <t>06:15:29</t>
  </si>
  <si>
    <t>06:31:18</t>
  </si>
  <si>
    <t>06:29:15</t>
  </si>
  <si>
    <t>13:31:58</t>
  </si>
  <si>
    <t>13:27:28</t>
  </si>
  <si>
    <t>12:53:48</t>
  </si>
  <si>
    <t>12:50:42</t>
  </si>
  <si>
    <t>12:23:38</t>
  </si>
  <si>
    <t>12:20:40</t>
  </si>
  <si>
    <t>12:20:22</t>
  </si>
  <si>
    <t>12:24:17</t>
  </si>
  <si>
    <t>12:23:16</t>
  </si>
  <si>
    <t>12:22:34</t>
  </si>
  <si>
    <t>12:16:21</t>
  </si>
  <si>
    <t>12:15:44</t>
  </si>
  <si>
    <t>12:15:12</t>
  </si>
  <si>
    <t>12:36:50</t>
  </si>
  <si>
    <t>13:12:37</t>
  </si>
  <si>
    <t>13:11:58</t>
  </si>
  <si>
    <t>13:24:21</t>
  </si>
  <si>
    <t>13:23:35</t>
  </si>
  <si>
    <t>13:22:59</t>
  </si>
  <si>
    <t>13:22:23</t>
  </si>
  <si>
    <t>13:21:47</t>
  </si>
  <si>
    <t>13:20:59</t>
  </si>
  <si>
    <t>13:20:13</t>
  </si>
  <si>
    <t>13:19:33</t>
  </si>
  <si>
    <t>12:59:56</t>
  </si>
  <si>
    <t>12:58:35</t>
  </si>
  <si>
    <t>12:57:52</t>
  </si>
  <si>
    <t>12:56:39</t>
  </si>
  <si>
    <t>12:56:09</t>
  </si>
  <si>
    <t>12:54:25</t>
  </si>
  <si>
    <t>12:50:32</t>
  </si>
  <si>
    <t>12:48:42</t>
  </si>
  <si>
    <t>13:25:37</t>
  </si>
  <si>
    <t>13:24:57</t>
  </si>
  <si>
    <t>13:06:13</t>
  </si>
  <si>
    <t>13:05:38</t>
  </si>
  <si>
    <t>11:38:33</t>
  </si>
  <si>
    <t>13:18:54</t>
  </si>
  <si>
    <t>13:18:17</t>
  </si>
  <si>
    <t>13:17:55</t>
  </si>
  <si>
    <t>13:16:53</t>
  </si>
  <si>
    <t>13:09:35</t>
  </si>
  <si>
    <t>13:08:36</t>
  </si>
  <si>
    <t>13:07:48</t>
  </si>
  <si>
    <t>13:07:11</t>
  </si>
  <si>
    <t>12:47:39</t>
  </si>
  <si>
    <t>12:44:28</t>
  </si>
  <si>
    <t>12:43:04</t>
  </si>
  <si>
    <t>12:40:49</t>
  </si>
  <si>
    <t>09:19:57</t>
  </si>
  <si>
    <t>09:19:16</t>
  </si>
  <si>
    <t>05:52:09</t>
  </si>
  <si>
    <t>05:30:23</t>
  </si>
  <si>
    <t>06:11:14</t>
  </si>
  <si>
    <t>06:09:38</t>
  </si>
  <si>
    <t>05:50:34</t>
  </si>
  <si>
    <t>05:36:55</t>
  </si>
  <si>
    <t>12:14:38</t>
  </si>
  <si>
    <t>13:24:05</t>
  </si>
  <si>
    <t>13:02:27</t>
  </si>
  <si>
    <t>12:28:20</t>
  </si>
  <si>
    <t>11:58:17</t>
  </si>
  <si>
    <t>11:27:28</t>
  </si>
  <si>
    <t>13:16:10</t>
  </si>
  <si>
    <t>13:13:27</t>
  </si>
  <si>
    <t>13:04:49</t>
  </si>
  <si>
    <t>13:03:46</t>
  </si>
  <si>
    <t>04:20:50</t>
  </si>
  <si>
    <t>07:52:10</t>
  </si>
  <si>
    <t>02:33:47</t>
  </si>
  <si>
    <t>15:58:07</t>
  </si>
  <si>
    <t>09:13:47</t>
  </si>
  <si>
    <t>22:58:29</t>
  </si>
  <si>
    <t>11:09:47</t>
  </si>
  <si>
    <t>16:44:58</t>
  </si>
  <si>
    <t>12:23:23</t>
  </si>
  <si>
    <t>23:36:48</t>
  </si>
  <si>
    <t>17:36:06</t>
  </si>
  <si>
    <t>10:30:52</t>
  </si>
  <si>
    <t>07:02:54</t>
  </si>
  <si>
    <t>07:20:50</t>
  </si>
  <si>
    <t>04:29:44</t>
  </si>
  <si>
    <t>19:00:48</t>
  </si>
  <si>
    <t>09:31:22</t>
  </si>
  <si>
    <t>14:50:25</t>
  </si>
  <si>
    <t>13:10:53</t>
  </si>
  <si>
    <t>06:55:25</t>
  </si>
  <si>
    <t>14:51:07</t>
  </si>
  <si>
    <t>15:12:20</t>
  </si>
  <si>
    <t>13:15:50</t>
  </si>
  <si>
    <t>17:48:45</t>
  </si>
  <si>
    <t>12:17:03</t>
  </si>
  <si>
    <t>11:18:51</t>
  </si>
  <si>
    <t>11:32:59</t>
  </si>
  <si>
    <t>10:06:33</t>
  </si>
  <si>
    <t>10:54:57</t>
  </si>
  <si>
    <t>11:12:43</t>
  </si>
  <si>
    <t>12:10:02</t>
  </si>
  <si>
    <t>12:33:12</t>
  </si>
  <si>
    <t>12:39:47</t>
  </si>
  <si>
    <t>12:36:52</t>
  </si>
  <si>
    <t>11:38:41</t>
  </si>
  <si>
    <t>11:15:54</t>
  </si>
  <si>
    <t>11:49:19</t>
  </si>
  <si>
    <t>12:04:47</t>
  </si>
  <si>
    <t>11:24:29</t>
  </si>
  <si>
    <t>10:45:29</t>
  </si>
  <si>
    <t>11:11:45</t>
  </si>
  <si>
    <t>11:45:24</t>
  </si>
  <si>
    <t>05:28:44</t>
  </si>
  <si>
    <t>11:37:37</t>
  </si>
  <si>
    <t>07:27:49</t>
  </si>
  <si>
    <t>05:16:00</t>
  </si>
  <si>
    <t>09:58:21</t>
  </si>
  <si>
    <t>10:42:33</t>
  </si>
  <si>
    <t>03:46:55</t>
  </si>
  <si>
    <t>05:32:38</t>
  </si>
  <si>
    <t>13:51:50</t>
  </si>
  <si>
    <t>01:21:18</t>
  </si>
  <si>
    <t>15:59:21</t>
  </si>
  <si>
    <t>15:51:39</t>
  </si>
  <si>
    <t>15:47:09</t>
  </si>
  <si>
    <t>16:05:28</t>
  </si>
  <si>
    <t>16:02:22</t>
  </si>
  <si>
    <t>16:01:11</t>
  </si>
  <si>
    <t>16:00:15</t>
  </si>
  <si>
    <t>14:50:14</t>
  </si>
  <si>
    <t>12:56:32</t>
  </si>
  <si>
    <t>08:38:47</t>
  </si>
  <si>
    <t>12:12:44</t>
  </si>
  <si>
    <t>22:14:12</t>
  </si>
  <si>
    <t>19:16:14</t>
  </si>
  <si>
    <t>10:58:30</t>
  </si>
  <si>
    <t>08:05:32</t>
  </si>
  <si>
    <t>09:56:29</t>
  </si>
  <si>
    <t>06:30:07</t>
  </si>
  <si>
    <t>03:30:05</t>
  </si>
  <si>
    <t>10:30:34</t>
  </si>
  <si>
    <t>11:48:24</t>
  </si>
  <si>
    <t>04:37:21</t>
  </si>
  <si>
    <t>09:54:57</t>
  </si>
  <si>
    <t>19:59:25</t>
  </si>
  <si>
    <t>18:38:35</t>
  </si>
  <si>
    <t>14:38:09</t>
  </si>
  <si>
    <t>07:59:39</t>
  </si>
  <si>
    <t>10:49:31</t>
  </si>
  <si>
    <t>18:26:41</t>
  </si>
  <si>
    <t>15:54:30</t>
  </si>
  <si>
    <t>18:18:22</t>
  </si>
  <si>
    <t>17:19:57</t>
  </si>
  <si>
    <t>16:56:46</t>
  </si>
  <si>
    <t>16:48:38</t>
  </si>
  <si>
    <t>16:31:08</t>
  </si>
  <si>
    <t>11:15:14</t>
  </si>
  <si>
    <t>15:51:43</t>
  </si>
  <si>
    <t>12:03:15</t>
  </si>
  <si>
    <t>23:58:56</t>
  </si>
  <si>
    <t>02:53:51</t>
  </si>
  <si>
    <t>14:39:53</t>
  </si>
  <si>
    <t>18:32:48</t>
  </si>
  <si>
    <t>17:14:47</t>
  </si>
  <si>
    <t>14:53:41</t>
  </si>
  <si>
    <t>22:11:09</t>
  </si>
  <si>
    <t>10:48:48</t>
  </si>
  <si>
    <t>03:46:20</t>
  </si>
  <si>
    <t>15:51:36</t>
  </si>
  <si>
    <t>02:13:15</t>
  </si>
  <si>
    <t>07:38:49</t>
  </si>
  <si>
    <t>11:24:20</t>
  </si>
  <si>
    <t>15:39:17</t>
  </si>
  <si>
    <t>07:20:14</t>
  </si>
  <si>
    <t>16:33:49</t>
  </si>
  <si>
    <t>15:31:49</t>
  </si>
  <si>
    <t>08:23:49</t>
  </si>
  <si>
    <t>07:25:35</t>
  </si>
  <si>
    <t>05:37:15</t>
  </si>
  <si>
    <t>14:06:17</t>
  </si>
  <si>
    <t>03:15:36</t>
  </si>
  <si>
    <t>14:42:01</t>
  </si>
  <si>
    <t>06:27:38</t>
  </si>
  <si>
    <t>08:28:07</t>
  </si>
  <si>
    <t>08:10:49</t>
  </si>
  <si>
    <t>08:01:30</t>
  </si>
  <si>
    <t>14:05:52</t>
  </si>
  <si>
    <t>14:05:33</t>
  </si>
  <si>
    <t>14:05:15</t>
  </si>
  <si>
    <t>14:03:39</t>
  </si>
  <si>
    <t>17:29:37</t>
  </si>
  <si>
    <t>07:58:12</t>
  </si>
  <si>
    <t>18:05:45</t>
  </si>
  <si>
    <t>17:45:22</t>
  </si>
  <si>
    <t>09:28:41</t>
  </si>
  <si>
    <t>08:29:56</t>
  </si>
  <si>
    <t>07:26:04</t>
  </si>
  <si>
    <t>08:23:32</t>
  </si>
  <si>
    <t>08:23:11</t>
  </si>
  <si>
    <t>07:26:31</t>
  </si>
  <si>
    <t>07:26:35</t>
  </si>
  <si>
    <t>07:25:49</t>
  </si>
  <si>
    <t>06:27:08</t>
  </si>
  <si>
    <t>13:37:10</t>
  </si>
  <si>
    <t>12:25:34</t>
  </si>
  <si>
    <t>12:15:15</t>
  </si>
  <si>
    <t>11:38:56</t>
  </si>
  <si>
    <t>11:34:43</t>
  </si>
  <si>
    <t>11:00:22</t>
  </si>
  <si>
    <t>14:37:26</t>
  </si>
  <si>
    <t>12:02:28</t>
  </si>
  <si>
    <t>12:01:08</t>
  </si>
  <si>
    <t>11:59:36</t>
  </si>
  <si>
    <t>07:40:57</t>
  </si>
  <si>
    <t>09:53:46</t>
  </si>
  <si>
    <t>12:06:42</t>
  </si>
  <si>
    <t>08:32:10</t>
  </si>
  <si>
    <t>14:41:18</t>
  </si>
  <si>
    <t>07:20:02</t>
  </si>
  <si>
    <t>12:42:31</t>
  </si>
  <si>
    <t>05:37:02</t>
  </si>
  <si>
    <t>09:50:37</t>
  </si>
  <si>
    <t>07:39:21</t>
  </si>
  <si>
    <t>14:25:31</t>
  </si>
  <si>
    <t>17:13:54</t>
  </si>
  <si>
    <t>10:56:32</t>
  </si>
  <si>
    <t>12:54:31</t>
  </si>
  <si>
    <t>16:47:36</t>
  </si>
  <si>
    <t>07:53:19</t>
  </si>
  <si>
    <t>07:52:48</t>
  </si>
  <si>
    <t>07:51:43</t>
  </si>
  <si>
    <t>07:51:07</t>
  </si>
  <si>
    <t>07:27:08</t>
  </si>
  <si>
    <t>09:47:18</t>
  </si>
  <si>
    <t>19:21:21</t>
  </si>
  <si>
    <t>07:39:53</t>
  </si>
  <si>
    <t>07:28:00</t>
  </si>
  <si>
    <t>07:27:57</t>
  </si>
  <si>
    <t>07:27:56</t>
  </si>
  <si>
    <t>07:27:52</t>
  </si>
  <si>
    <t>07:27:51</t>
  </si>
  <si>
    <t>07:27:48</t>
  </si>
  <si>
    <t>09:29:38</t>
  </si>
  <si>
    <t>09:28:46</t>
  </si>
  <si>
    <t>09:27:20</t>
  </si>
  <si>
    <t>09:26:21</t>
  </si>
  <si>
    <t>07:49:50</t>
  </si>
  <si>
    <t>07:49:13</t>
  </si>
  <si>
    <t>07:48:34</t>
  </si>
  <si>
    <t>07:47:53</t>
  </si>
  <si>
    <t>20:07:52</t>
  </si>
  <si>
    <t>20:07:13</t>
  </si>
  <si>
    <t>20:06:24</t>
  </si>
  <si>
    <t>20:05:10</t>
  </si>
  <si>
    <t>19:27:37</t>
  </si>
  <si>
    <t>19:26:59</t>
  </si>
  <si>
    <t>19:26:22</t>
  </si>
  <si>
    <t>19:25:47</t>
  </si>
  <si>
    <t>19:24:54</t>
  </si>
  <si>
    <t>19:24:21</t>
  </si>
  <si>
    <t>19:23:42</t>
  </si>
  <si>
    <t>19:22:58</t>
  </si>
  <si>
    <t>18:21:48</t>
  </si>
  <si>
    <t>18:21:11</t>
  </si>
  <si>
    <t>18:20:29</t>
  </si>
  <si>
    <t>18:19:44</t>
  </si>
  <si>
    <t>18:19:05</t>
  </si>
  <si>
    <t>18:17:50</t>
  </si>
  <si>
    <t>18:16:57</t>
  </si>
  <si>
    <t>17:58:38</t>
  </si>
  <si>
    <t>17:58:00</t>
  </si>
  <si>
    <t>17:56:48</t>
  </si>
  <si>
    <t>17:55:56</t>
  </si>
  <si>
    <t>17:55:04</t>
  </si>
  <si>
    <t>17:54:13</t>
  </si>
  <si>
    <t>17:53:30</t>
  </si>
  <si>
    <t>17:52:47</t>
  </si>
  <si>
    <t>18:02:01</t>
  </si>
  <si>
    <t>18:02:00</t>
  </si>
  <si>
    <t>18:24:17</t>
  </si>
  <si>
    <t>07:20:15</t>
  </si>
  <si>
    <t>04:55:32</t>
  </si>
  <si>
    <t>06:03:37</t>
  </si>
  <si>
    <t>04:55:18</t>
  </si>
  <si>
    <t>12:39:15</t>
  </si>
  <si>
    <t>04:42:47</t>
  </si>
  <si>
    <t>14:30:08</t>
  </si>
  <si>
    <t>16:21:30</t>
  </si>
  <si>
    <t>13:07:45</t>
  </si>
  <si>
    <t>10:25:46</t>
  </si>
  <si>
    <t>10:23:47</t>
  </si>
  <si>
    <t>04:29:23</t>
  </si>
  <si>
    <t>02:08:15</t>
  </si>
  <si>
    <t>21:09:19</t>
  </si>
  <si>
    <t>17:41:02</t>
  </si>
  <si>
    <t>19:25:09</t>
  </si>
  <si>
    <t>10:59:46</t>
  </si>
  <si>
    <t>10:59:14</t>
  </si>
  <si>
    <t>10:58:47</t>
  </si>
  <si>
    <t>10:55:36</t>
  </si>
  <si>
    <t>10:55:04</t>
  </si>
  <si>
    <t>10:54:46</t>
  </si>
  <si>
    <t>10:54:27</t>
  </si>
  <si>
    <t>10:54:12</t>
  </si>
  <si>
    <t>10:50:38</t>
  </si>
  <si>
    <t>10:49:49</t>
  </si>
  <si>
    <t>10:47:05</t>
  </si>
  <si>
    <t>10:46:31</t>
  </si>
  <si>
    <t>10:38:32</t>
  </si>
  <si>
    <t>10:37:54</t>
  </si>
  <si>
    <t>10:37:41</t>
  </si>
  <si>
    <t>10:37:21</t>
  </si>
  <si>
    <t>10:36:58</t>
  </si>
  <si>
    <t>10:36:40</t>
  </si>
  <si>
    <t>10:36:02</t>
  </si>
  <si>
    <t>10:31:36</t>
  </si>
  <si>
    <t>10:31:12</t>
  </si>
  <si>
    <t>10:30:51</t>
  </si>
  <si>
    <t>10:30:00</t>
  </si>
  <si>
    <t>10:29:42</t>
  </si>
  <si>
    <t>10:29:17</t>
  </si>
  <si>
    <t>10:28:58</t>
  </si>
  <si>
    <t>10:19:46</t>
  </si>
  <si>
    <t>09:17:44</t>
  </si>
  <si>
    <t>09:16:04</t>
  </si>
  <si>
    <t>09:14:19</t>
  </si>
  <si>
    <t>09:13:20</t>
  </si>
  <si>
    <t>09:11:23</t>
  </si>
  <si>
    <t>09:10:51</t>
  </si>
  <si>
    <t>09:09:10</t>
  </si>
  <si>
    <t>08:58:15</t>
  </si>
  <si>
    <t>08:57:32</t>
  </si>
  <si>
    <t>08:56:52</t>
  </si>
  <si>
    <t>08:56:11</t>
  </si>
  <si>
    <t>08:55:01</t>
  </si>
  <si>
    <t>08:54:33</t>
  </si>
  <si>
    <t>08:53:51</t>
  </si>
  <si>
    <t>08:53:10</t>
  </si>
  <si>
    <t>08:51:59</t>
  </si>
  <si>
    <t>08:51:14</t>
  </si>
  <si>
    <t>08:50:52</t>
  </si>
  <si>
    <t>08:49:59</t>
  </si>
  <si>
    <t>08:49:21</t>
  </si>
  <si>
    <t>08:48:56</t>
  </si>
  <si>
    <t>08:48:31</t>
  </si>
  <si>
    <t>08:48:03</t>
  </si>
  <si>
    <t>10:21:40</t>
  </si>
  <si>
    <t>12:20:45</t>
  </si>
  <si>
    <t>09:15:32</t>
  </si>
  <si>
    <t>11:48:48</t>
  </si>
  <si>
    <t>09:10:11</t>
  </si>
  <si>
    <t>07:54:45</t>
  </si>
  <si>
    <t>12:26:12</t>
  </si>
  <si>
    <t>12:24:41</t>
  </si>
  <si>
    <t>05:34:59</t>
  </si>
  <si>
    <t>08:05:16</t>
  </si>
  <si>
    <t>04:28:49</t>
  </si>
  <si>
    <t>05:16:32</t>
  </si>
  <si>
    <t>14:38:41</t>
  </si>
  <si>
    <t>16:05:50</t>
  </si>
  <si>
    <t>05:25:34</t>
  </si>
  <si>
    <t>09:29:26</t>
  </si>
  <si>
    <t>09:21:24</t>
  </si>
  <si>
    <t>09:20:39</t>
  </si>
  <si>
    <t>07:26:11</t>
  </si>
  <si>
    <t>06:29:57</t>
  </si>
  <si>
    <t>07:26:55</t>
  </si>
  <si>
    <t>07:26:51</t>
  </si>
  <si>
    <t>07:02:49</t>
  </si>
  <si>
    <t>19:13:51</t>
  </si>
  <si>
    <t>23:01:25</t>
  </si>
  <si>
    <t>18:38:46</t>
  </si>
  <si>
    <t>17:54:38</t>
  </si>
  <si>
    <t>00:31:08</t>
  </si>
  <si>
    <t>23:55:00</t>
  </si>
  <si>
    <t>11:00:26</t>
  </si>
  <si>
    <t>10:21:29</t>
  </si>
  <si>
    <t>08:58:14</t>
  </si>
  <si>
    <t>19:37:00</t>
  </si>
  <si>
    <t>08:11:52</t>
  </si>
  <si>
    <t>08:11:49</t>
  </si>
  <si>
    <t>08:11:48</t>
  </si>
  <si>
    <t>07:48:32</t>
  </si>
  <si>
    <t>07:48:27</t>
  </si>
  <si>
    <t>07:48:26</t>
  </si>
  <si>
    <t>07:39:51</t>
  </si>
  <si>
    <t>07:39:50</t>
  </si>
  <si>
    <t>07:39:49</t>
  </si>
  <si>
    <t>07:27:50</t>
  </si>
  <si>
    <t>09:25:29</t>
  </si>
  <si>
    <t>09:24:13</t>
  </si>
  <si>
    <t>09:22:51</t>
  </si>
  <si>
    <t>09:20:50</t>
  </si>
  <si>
    <t>09:19:37</t>
  </si>
  <si>
    <t>09:18:04</t>
  </si>
  <si>
    <t>09:15:44</t>
  </si>
  <si>
    <t>03:56:58</t>
  </si>
  <si>
    <t>19:17:01</t>
  </si>
  <si>
    <t>19:15:42</t>
  </si>
  <si>
    <t>19:15:11</t>
  </si>
  <si>
    <t>18:31:00</t>
  </si>
  <si>
    <t>18:29:34</t>
  </si>
  <si>
    <t>18:28:55</t>
  </si>
  <si>
    <t>18:28:23</t>
  </si>
  <si>
    <t>18:27:51</t>
  </si>
  <si>
    <t>18:11:27</t>
  </si>
  <si>
    <t>18:10:48</t>
  </si>
  <si>
    <t>18:10:05</t>
  </si>
  <si>
    <t>18:09:24</t>
  </si>
  <si>
    <t>18:08:40</t>
  </si>
  <si>
    <t>18:07:46</t>
  </si>
  <si>
    <t>18:07:10</t>
  </si>
  <si>
    <t>18:06:31</t>
  </si>
  <si>
    <t>14:01:40</t>
  </si>
  <si>
    <t>14:00:57</t>
  </si>
  <si>
    <t>13:59:35</t>
  </si>
  <si>
    <t>13:58:17</t>
  </si>
  <si>
    <t>13:57:04</t>
  </si>
  <si>
    <t>13:55:42</t>
  </si>
  <si>
    <t>13:54:19</t>
  </si>
  <si>
    <t>13:52:59</t>
  </si>
  <si>
    <t>13:49:50</t>
  </si>
  <si>
    <t>13:46:14</t>
  </si>
  <si>
    <t>08:17:37</t>
  </si>
  <si>
    <t>07:30:34</t>
  </si>
  <si>
    <t>07:12:35</t>
  </si>
  <si>
    <t>05:01:15</t>
  </si>
  <si>
    <t>04:23:40</t>
  </si>
  <si>
    <t>19:24:32</t>
  </si>
  <si>
    <t>20:58:08</t>
  </si>
  <si>
    <t>10:50:30</t>
  </si>
  <si>
    <t>09:57:59</t>
  </si>
  <si>
    <t>08:49:49</t>
  </si>
  <si>
    <t>08:47:34</t>
  </si>
  <si>
    <t>11:55:48</t>
  </si>
  <si>
    <t>14:19:58</t>
  </si>
  <si>
    <t>19:18:34</t>
  </si>
  <si>
    <t>08:11:51</t>
  </si>
  <si>
    <t>08:11:50</t>
  </si>
  <si>
    <t>07:48:33</t>
  </si>
  <si>
    <t>07:48:30</t>
  </si>
  <si>
    <t>07:48:29</t>
  </si>
  <si>
    <t>07:48:24</t>
  </si>
  <si>
    <t>07:48:23</t>
  </si>
  <si>
    <t>07:39:55</t>
  </si>
  <si>
    <t>07:39:54</t>
  </si>
  <si>
    <t>07:27:54</t>
  </si>
  <si>
    <t>07:27:53</t>
  </si>
  <si>
    <t>07:27:18</t>
  </si>
  <si>
    <t>04:26:14</t>
  </si>
  <si>
    <t>20:26:22</t>
  </si>
  <si>
    <t>05:08:12</t>
  </si>
  <si>
    <t>12:16:00</t>
  </si>
  <si>
    <t>12:14:09</t>
  </si>
  <si>
    <t>12:13:48</t>
  </si>
  <si>
    <t>10:10:45</t>
  </si>
  <si>
    <t>10:03:41</t>
  </si>
  <si>
    <t>12:19:51</t>
  </si>
  <si>
    <t>12:17:50</t>
  </si>
  <si>
    <t>15:34:53</t>
  </si>
  <si>
    <t>15:09:04</t>
  </si>
  <si>
    <t>17:07:47</t>
  </si>
  <si>
    <t>17:37:42</t>
  </si>
  <si>
    <t>11:31:30</t>
  </si>
  <si>
    <t>19:43:04</t>
  </si>
  <si>
    <t>01:36:24</t>
  </si>
  <si>
    <t>07:48:28</t>
  </si>
  <si>
    <t>07:39:57</t>
  </si>
  <si>
    <t>07:39:56</t>
  </si>
  <si>
    <t>07:39:52</t>
  </si>
  <si>
    <t>07:27:59</t>
  </si>
  <si>
    <t>07:27:58</t>
  </si>
  <si>
    <t>09:36:13</t>
  </si>
  <si>
    <t>09:33:51</t>
  </si>
  <si>
    <t>09:32:29</t>
  </si>
  <si>
    <t>09:31:09</t>
  </si>
  <si>
    <t>07:47:18</t>
  </si>
  <si>
    <t>07:46:12</t>
  </si>
  <si>
    <t>07:45:39</t>
  </si>
  <si>
    <t>07:45:03</t>
  </si>
  <si>
    <t>20:04:34</t>
  </si>
  <si>
    <t>20:03:47</t>
  </si>
  <si>
    <t>19:31:19</t>
  </si>
  <si>
    <t>19:30:44</t>
  </si>
  <si>
    <t>19:30:07</t>
  </si>
  <si>
    <t>19:29:29</t>
  </si>
  <si>
    <t>19:28:53</t>
  </si>
  <si>
    <t>19:28:17</t>
  </si>
  <si>
    <t>18:27:20</t>
  </si>
  <si>
    <t>18:26:26</t>
  </si>
  <si>
    <t>18:25:51</t>
  </si>
  <si>
    <t>18:25:18</t>
  </si>
  <si>
    <t>18:24:05</t>
  </si>
  <si>
    <t>18:23:25</t>
  </si>
  <si>
    <t>18:22:49</t>
  </si>
  <si>
    <t>18:22:20</t>
  </si>
  <si>
    <t>18:05:07</t>
  </si>
  <si>
    <t>18:04:10</t>
  </si>
  <si>
    <t>18:03:31</t>
  </si>
  <si>
    <t>18:02:46</t>
  </si>
  <si>
    <t>18:01:19</t>
  </si>
  <si>
    <t>17:59:47</t>
  </si>
  <si>
    <t>17:59:12</t>
  </si>
  <si>
    <t>14:19:30</t>
  </si>
  <si>
    <t>14:16:34</t>
  </si>
  <si>
    <t>05:32:02</t>
  </si>
  <si>
    <t>05:22:06</t>
  </si>
  <si>
    <t>17:00:13</t>
  </si>
  <si>
    <t>16:59:16</t>
  </si>
  <si>
    <t>16:58:23</t>
  </si>
  <si>
    <t>16:57:33</t>
  </si>
  <si>
    <t>16:56:24</t>
  </si>
  <si>
    <t>16:52:29</t>
  </si>
  <si>
    <t>16:51:36</t>
  </si>
  <si>
    <t>16:49:43</t>
  </si>
  <si>
    <t>16:47:22</t>
  </si>
  <si>
    <t>07:00:05</t>
  </si>
  <si>
    <t>13:26:25</t>
  </si>
  <si>
    <t>07:33:58</t>
  </si>
  <si>
    <t>05:05:07</t>
  </si>
  <si>
    <t>05:04:08</t>
  </si>
  <si>
    <t>06:52:47</t>
  </si>
  <si>
    <t>15:31:26</t>
  </si>
  <si>
    <t>05:36:27</t>
  </si>
  <si>
    <t>07:13:51</t>
  </si>
  <si>
    <t>05:25:50</t>
  </si>
  <si>
    <t>08:06:31</t>
  </si>
  <si>
    <t>14:13:09</t>
  </si>
  <si>
    <t>03:14:19</t>
  </si>
  <si>
    <t>08:23:53</t>
  </si>
  <si>
    <t>08:16:24</t>
  </si>
  <si>
    <t>19:46:39</t>
  </si>
  <si>
    <t>20:22:41</t>
  </si>
  <si>
    <t>07:24:34</t>
  </si>
  <si>
    <t>07:17:53</t>
  </si>
  <si>
    <t>09:09:43</t>
  </si>
  <si>
    <t>08:28:19</t>
  </si>
  <si>
    <t>14:01:00</t>
  </si>
  <si>
    <t>06:54:38</t>
  </si>
  <si>
    <t>12:08:44</t>
  </si>
  <si>
    <t>12:07:35</t>
  </si>
  <si>
    <t>19:49:45</t>
  </si>
  <si>
    <t>19:32:55</t>
  </si>
  <si>
    <t>00:48:09</t>
  </si>
  <si>
    <t>02:35:49</t>
  </si>
  <si>
    <t>23:46:08</t>
  </si>
  <si>
    <t>10:51:25</t>
  </si>
  <si>
    <t>10:51:05</t>
  </si>
  <si>
    <t>10:46:02</t>
  </si>
  <si>
    <t>10:45:37</t>
  </si>
  <si>
    <t>10:45:17</t>
  </si>
  <si>
    <t>10:39:56</t>
  </si>
  <si>
    <t>10:35:10</t>
  </si>
  <si>
    <t>10:34:46</t>
  </si>
  <si>
    <t>10:33:59</t>
  </si>
  <si>
    <t>10:33:34</t>
  </si>
  <si>
    <t>10:33:18</t>
  </si>
  <si>
    <t>10:33:06</t>
  </si>
  <si>
    <t>10:32:25</t>
  </si>
  <si>
    <t>10:32:00</t>
  </si>
  <si>
    <t>10:28:33</t>
  </si>
  <si>
    <t>10:28:00</t>
  </si>
  <si>
    <t>10:27:37</t>
  </si>
  <si>
    <t>10:26:55</t>
  </si>
  <si>
    <t>10:23:45</t>
  </si>
  <si>
    <t>10:21:55</t>
  </si>
  <si>
    <t>10:21:20</t>
  </si>
  <si>
    <t>10:20:38</t>
  </si>
  <si>
    <t>09:04:16</t>
  </si>
  <si>
    <t>09:03:39</t>
  </si>
  <si>
    <t>09:03:04</t>
  </si>
  <si>
    <t>09:02:39</t>
  </si>
  <si>
    <t>09:00:37</t>
  </si>
  <si>
    <t>09:00:08</t>
  </si>
  <si>
    <t>08:59:36</t>
  </si>
  <si>
    <t>08:58:54</t>
  </si>
  <si>
    <t>08:47:17</t>
  </si>
  <si>
    <t>08:46:31</t>
  </si>
  <si>
    <t>08:46:09</t>
  </si>
  <si>
    <t>08:45:39</t>
  </si>
  <si>
    <t>08:45:13</t>
  </si>
  <si>
    <t>08:44:54</t>
  </si>
  <si>
    <t>08:44:35</t>
  </si>
  <si>
    <t>08:44:17</t>
  </si>
  <si>
    <t>08:43:57</t>
  </si>
  <si>
    <t>08:43:43</t>
  </si>
  <si>
    <t>08:43:18</t>
  </si>
  <si>
    <t>08:42:57</t>
  </si>
  <si>
    <t>08:42:33</t>
  </si>
  <si>
    <t>08:42:17</t>
  </si>
  <si>
    <t>08:42:00</t>
  </si>
  <si>
    <t>08:41:44</t>
  </si>
  <si>
    <t>08:41:27</t>
  </si>
  <si>
    <t>08:41:10</t>
  </si>
  <si>
    <t>08:40:38</t>
  </si>
  <si>
    <t>08:40:12</t>
  </si>
  <si>
    <t>08:39:55</t>
  </si>
  <si>
    <t>08:39:35</t>
  </si>
  <si>
    <t>08:39:13</t>
  </si>
  <si>
    <t>03:20:18</t>
  </si>
  <si>
    <t>08:12:02</t>
  </si>
  <si>
    <t>08:12:01</t>
  </si>
  <si>
    <t>08:12:00</t>
  </si>
  <si>
    <t>08:11:59</t>
  </si>
  <si>
    <t>08:11:58</t>
  </si>
  <si>
    <t>08:11:57</t>
  </si>
  <si>
    <t>08:11:56</t>
  </si>
  <si>
    <t>08:11:55</t>
  </si>
  <si>
    <t>08:11:54</t>
  </si>
  <si>
    <t>08:11:53</t>
  </si>
  <si>
    <t>07:48:22</t>
  </si>
  <si>
    <t>07:48:21</t>
  </si>
  <si>
    <t>07:48:20</t>
  </si>
  <si>
    <t>07:40:03</t>
  </si>
  <si>
    <t>07:40:02</t>
  </si>
  <si>
    <t>07:40:01</t>
  </si>
  <si>
    <t>07:40:00</t>
  </si>
  <si>
    <t>07:39:59</t>
  </si>
  <si>
    <t>07:39:58</t>
  </si>
  <si>
    <t>07:44:21</t>
  </si>
  <si>
    <t>07:43:43</t>
  </si>
  <si>
    <t>07:42:46</t>
  </si>
  <si>
    <t>07:42:03</t>
  </si>
  <si>
    <t>07:41:22</t>
  </si>
  <si>
    <t>07:40:44</t>
  </si>
  <si>
    <t>07:38:39</t>
  </si>
  <si>
    <t>07:37:46</t>
  </si>
  <si>
    <t>07:36:29</t>
  </si>
  <si>
    <t>07:32:29</t>
  </si>
  <si>
    <t>07:23:35</t>
  </si>
  <si>
    <t>20:42:16</t>
  </si>
  <si>
    <t>20:41:02</t>
  </si>
  <si>
    <t>20:40:23</t>
  </si>
  <si>
    <t>20:39:42</t>
  </si>
  <si>
    <t>20:39:08</t>
  </si>
  <si>
    <t>20:38:12</t>
  </si>
  <si>
    <t>20:37:20</t>
  </si>
  <si>
    <t>20:36:09</t>
  </si>
  <si>
    <t>20:33:43</t>
  </si>
  <si>
    <t>20:32:34</t>
  </si>
  <si>
    <t>20:31:56</t>
  </si>
  <si>
    <t>20:31:06</t>
  </si>
  <si>
    <t>20:23:44</t>
  </si>
  <si>
    <t>20:22:54</t>
  </si>
  <si>
    <t>20:22:01</t>
  </si>
  <si>
    <t>20:21:01</t>
  </si>
  <si>
    <t>20:20:04</t>
  </si>
  <si>
    <t>20:19:07</t>
  </si>
  <si>
    <t>20:15:04</t>
  </si>
  <si>
    <t>20:14:22</t>
  </si>
  <si>
    <t>16:51:19</t>
  </si>
  <si>
    <t>13:35:24</t>
  </si>
  <si>
    <t>05:46:30</t>
  </si>
  <si>
    <t>10:53:18</t>
  </si>
  <si>
    <t>15:45:23</t>
  </si>
  <si>
    <t>04:35:36</t>
  </si>
  <si>
    <t>15:10:33</t>
  </si>
  <si>
    <t>03:29:21</t>
  </si>
  <si>
    <t>06:57:01</t>
  </si>
  <si>
    <t>11:59:33</t>
  </si>
  <si>
    <t>08:32:13</t>
  </si>
  <si>
    <t>07:07:31</t>
  </si>
  <si>
    <t>06:57:50</t>
  </si>
  <si>
    <t>06:56:29</t>
  </si>
  <si>
    <t>06:55:02</t>
  </si>
  <si>
    <t>19:26:50</t>
  </si>
  <si>
    <t>10:55:21</t>
  </si>
  <si>
    <t>10:39:34</t>
  </si>
  <si>
    <t>10:39:17</t>
  </si>
  <si>
    <t>07:26:14</t>
  </si>
  <si>
    <t>19:30:47</t>
  </si>
  <si>
    <t>19:40:41</t>
  </si>
  <si>
    <t>17:51:01</t>
  </si>
  <si>
    <t>09:19:02</t>
  </si>
  <si>
    <t>02:24:09</t>
  </si>
  <si>
    <t>02:23:45</t>
  </si>
  <si>
    <t>07:48:31</t>
  </si>
  <si>
    <t>07:48:25</t>
  </si>
  <si>
    <t>07:28:01</t>
  </si>
  <si>
    <t>07:27:55</t>
  </si>
  <si>
    <t>02:40:39</t>
  </si>
  <si>
    <t>15:34:54</t>
  </si>
  <si>
    <t>16:42:14</t>
  </si>
  <si>
    <t>09:52:10</t>
  </si>
  <si>
    <t>07:52:40</t>
  </si>
  <si>
    <t>07:52:07</t>
  </si>
  <si>
    <t>07:51:33</t>
  </si>
  <si>
    <t>07:50:55</t>
  </si>
  <si>
    <t>20:13:43</t>
  </si>
  <si>
    <t>20:13:07</t>
  </si>
  <si>
    <t>20:12:28</t>
  </si>
  <si>
    <t>20:11:33</t>
  </si>
  <si>
    <t>20:10:53</t>
  </si>
  <si>
    <t>20:10:16</t>
  </si>
  <si>
    <t>20:09:18</t>
  </si>
  <si>
    <t>20:08:29</t>
  </si>
  <si>
    <t>19:22:08</t>
  </si>
  <si>
    <t>19:21:35</t>
  </si>
  <si>
    <t>19:21:01</t>
  </si>
  <si>
    <t>19:20:24</t>
  </si>
  <si>
    <t>19:19:30</t>
  </si>
  <si>
    <t>19:18:57</t>
  </si>
  <si>
    <t>19:18:21</t>
  </si>
  <si>
    <t>19:17:44</t>
  </si>
  <si>
    <t>18:16:03</t>
  </si>
  <si>
    <t>18:15:33</t>
  </si>
  <si>
    <t>18:14:58</t>
  </si>
  <si>
    <t>18:14:23</t>
  </si>
  <si>
    <t>18:13:51</t>
  </si>
  <si>
    <t>18:13:15</t>
  </si>
  <si>
    <t>18:12:42</t>
  </si>
  <si>
    <t>18:12:07</t>
  </si>
  <si>
    <t>17:50:02</t>
  </si>
  <si>
    <t>17:49:24</t>
  </si>
  <si>
    <t>17:48:43</t>
  </si>
  <si>
    <t>17:47:22</t>
  </si>
  <si>
    <t>17:46:38</t>
  </si>
  <si>
    <t>17:45:58</t>
  </si>
  <si>
    <t>17:44:39</t>
  </si>
  <si>
    <t>17:43:55</t>
  </si>
  <si>
    <t>17:43:05</t>
  </si>
  <si>
    <t>17:42:19</t>
  </si>
  <si>
    <t>17:41:29</t>
  </si>
  <si>
    <t>17:40:33</t>
  </si>
  <si>
    <t>17:39:14</t>
  </si>
  <si>
    <t>14:04:24</t>
  </si>
  <si>
    <t>14:03:47</t>
  </si>
  <si>
    <t>14:02:22</t>
  </si>
  <si>
    <t>08:31:10</t>
  </si>
  <si>
    <t>15:29:54</t>
  </si>
  <si>
    <t>20:01:09</t>
  </si>
  <si>
    <t>04:00:17</t>
  </si>
  <si>
    <t>10:40:36</t>
  </si>
  <si>
    <t>10:15:43</t>
  </si>
  <si>
    <t>18:39:19</t>
  </si>
  <si>
    <t>07:12:16</t>
  </si>
  <si>
    <t>07:10:47</t>
  </si>
  <si>
    <t>06:45:32</t>
  </si>
  <si>
    <t>02:46:11</t>
  </si>
  <si>
    <t>10:55:22</t>
  </si>
  <si>
    <t>78.3897718,17.3013989 
78.3897718,17.4759 
78.5404168,17.4759 
78.5404168,17.3013989 
78.3897718,17.3013989</t>
  </si>
  <si>
    <t>78.233173,17.2371055 
78.233173,17.5529688 
78.5373982,17.5529688 
78.5373982,17.2371055 
78.233173,17.2371055</t>
  </si>
  <si>
    <t>78.2478407,17.150579 
78.2478407,17.7123495 
78.7200457,17.7123495 
78.7200457,17.150579 
78.2478407,17.150579</t>
  </si>
  <si>
    <t>83.828601,18.213619 
83.828601,18.659523 
84.127387,18.659523 
84.127387,18.213619 
83.828601,18.213619</t>
  </si>
  <si>
    <t>2.2974092,41.4727454 
2.2974092,41.4904149 
2.3468043,41.4904149 
2.3468043,41.4727454 
2.2974092,41.4727454</t>
  </si>
  <si>
    <t>69.328873,27.708226 
69.328873,34.019989 
75.382124,34.019989 
75.382124,27.708226 
69.328873,27.708226</t>
  </si>
  <si>
    <t>67.997691,6.622513 
67.997691,37.07827 
97.170672,37.07827 
97.170672,6.622513 
67.997691,6.622513</t>
  </si>
  <si>
    <t>80.696987,16.4695964 
80.696987,16.4852818 
80.7173145,16.4852818 
80.7173145,16.4695964 
80.696987,16.4695964</t>
  </si>
  <si>
    <t>India</t>
  </si>
  <si>
    <t>Spain</t>
  </si>
  <si>
    <t>Pakistan</t>
  </si>
  <si>
    <t>IN</t>
  </si>
  <si>
    <t>ES</t>
  </si>
  <si>
    <t>PK</t>
  </si>
  <si>
    <t>Hyderabad, India</t>
  </si>
  <si>
    <t>Rajendra Nagar, India</t>
  </si>
  <si>
    <t>Medchal, India</t>
  </si>
  <si>
    <t>Srikakulam, India</t>
  </si>
  <si>
    <t>el Masnou, Espanya</t>
  </si>
  <si>
    <t>Punjab, Pakistan</t>
  </si>
  <si>
    <t>Poranki, Andhra Pradesh</t>
  </si>
  <si>
    <t>243cc16f6417a167</t>
  </si>
  <si>
    <t>7a8b600fe5f170bc</t>
  </si>
  <si>
    <t>23644d3c33b1fe02</t>
  </si>
  <si>
    <t>497275b3c6ce22f3</t>
  </si>
  <si>
    <t>a1bf3c1be5443dc9</t>
  </si>
  <si>
    <t>00cc0d5640394308</t>
  </si>
  <si>
    <t>b850c1bfd38f30e0</t>
  </si>
  <si>
    <t>745fe72e11a4ca23</t>
  </si>
  <si>
    <t>Hyderabad</t>
  </si>
  <si>
    <t>Rajendra Nagar</t>
  </si>
  <si>
    <t>Medchal</t>
  </si>
  <si>
    <t>Srikakulam</t>
  </si>
  <si>
    <t>el Masnou</t>
  </si>
  <si>
    <t>Punjab</t>
  </si>
  <si>
    <t>Poranki</t>
  </si>
  <si>
    <t>city</t>
  </si>
  <si>
    <t>admin</t>
  </si>
  <si>
    <t>country</t>
  </si>
  <si>
    <t>neighborhood</t>
  </si>
  <si>
    <t>3_1168862533500854277 3_1168862555374157824</t>
  </si>
  <si>
    <t>7_1659543765441212417</t>
  </si>
  <si>
    <t>3_938667538946211846</t>
  </si>
  <si>
    <t>3_1169135963320307714</t>
  </si>
  <si>
    <t>3_1164485722083999744</t>
  </si>
  <si>
    <t>3_918442873607004160</t>
  </si>
  <si>
    <t>3_1379012071984046083</t>
  </si>
  <si>
    <t>3_1317080574297690113</t>
  </si>
  <si>
    <t>3_1736575552117473281</t>
  </si>
  <si>
    <t>3_547799944493428736</t>
  </si>
  <si>
    <t>3_540535995087601664</t>
  </si>
  <si>
    <t>3_540107176824410114</t>
  </si>
  <si>
    <t>3_1197753974130118656</t>
  </si>
  <si>
    <t>3_1210085876786696193</t>
  </si>
  <si>
    <t>3_1209422316146282496</t>
  </si>
  <si>
    <t>3_1208985070104645642</t>
  </si>
  <si>
    <t>3_1208337252100784128</t>
  </si>
  <si>
    <t>3_1207951694094569478</t>
  </si>
  <si>
    <t>3_1206517057547837441</t>
  </si>
  <si>
    <t>3_1205447690961739778</t>
  </si>
  <si>
    <t>3_1205055219417190401</t>
  </si>
  <si>
    <t>3_1213323580664094720</t>
  </si>
  <si>
    <t>3_1212974154305200129</t>
  </si>
  <si>
    <t>3_1212706608075202563</t>
  </si>
  <si>
    <t>3_1212705144158244864</t>
  </si>
  <si>
    <t>3_1212612724447993857</t>
  </si>
  <si>
    <t>3_1211944143066484736</t>
  </si>
  <si>
    <t>3_1211887426379091975</t>
  </si>
  <si>
    <t>3_1211614582642499584</t>
  </si>
  <si>
    <t>3_1211538195021783040</t>
  </si>
  <si>
    <t>3_1210456028363546625</t>
  </si>
  <si>
    <t>3_1214115431826575361</t>
  </si>
  <si>
    <t>3_1213338606602989568</t>
  </si>
  <si>
    <t>3_1227835338288025601</t>
  </si>
  <si>
    <t>3_1227473452942135297</t>
  </si>
  <si>
    <t>3_1215145748498509824</t>
  </si>
  <si>
    <t>3_1214785376893710336</t>
  </si>
  <si>
    <t>3_1214480334420631553</t>
  </si>
  <si>
    <t>3_1204347817436876802</t>
  </si>
  <si>
    <t>3_1204020265966919680</t>
  </si>
  <si>
    <t>3_1204017852833030144</t>
  </si>
  <si>
    <t>3_1202896349538246656</t>
  </si>
  <si>
    <t>3_1202893961112752129</t>
  </si>
  <si>
    <t>3_1202471227388039168</t>
  </si>
  <si>
    <t>3_1202463722834403328</t>
  </si>
  <si>
    <t>3_1260065442539827201</t>
  </si>
  <si>
    <t>3_1260952376774545410</t>
  </si>
  <si>
    <t>3_1260523176661942272</t>
  </si>
  <si>
    <t>3_1212706850665156608</t>
  </si>
  <si>
    <t>3_1211943572791943168</t>
  </si>
  <si>
    <t>3_1211614090998607872</t>
  </si>
  <si>
    <t>3_1210456755873804288</t>
  </si>
  <si>
    <t>3_1210143720856645632</t>
  </si>
  <si>
    <t>3_1213338326528167938</t>
  </si>
  <si>
    <t>3_1214480010842558465</t>
  </si>
  <si>
    <t>3_1214116306271629314</t>
  </si>
  <si>
    <t>3_1204019884566315013</t>
  </si>
  <si>
    <t>3_1204018166768095233</t>
  </si>
  <si>
    <t>3_1202474545774354432</t>
  </si>
  <si>
    <t>3_1202471810840678400</t>
  </si>
  <si>
    <t>3_1202213770979729410</t>
  </si>
  <si>
    <t>3_1251128814266052616</t>
  </si>
  <si>
    <t>3_1250701722042822658</t>
  </si>
  <si>
    <t>3_1250420851213647878</t>
  </si>
  <si>
    <t>3_1250420575572348932</t>
  </si>
  <si>
    <t>3_1248245314072375296</t>
  </si>
  <si>
    <t>3_1248244908235706370</t>
  </si>
  <si>
    <t>3_1258752589807542272</t>
  </si>
  <si>
    <t>3_1258399910572875776</t>
  </si>
  <si>
    <t>3_1257969402315567104</t>
  </si>
  <si>
    <t>3_1257708350046756864</t>
  </si>
  <si>
    <t>3_1257208704585175041</t>
  </si>
  <si>
    <t>3_1255850090498908160</t>
  </si>
  <si>
    <t>3_1255503185415999494</t>
  </si>
  <si>
    <t>3_1255092963031412736</t>
  </si>
  <si>
    <t>3_1253708235481116673</t>
  </si>
  <si>
    <t>3_1253334253158297605</t>
  </si>
  <si>
    <t>3_1252920428525314052</t>
  </si>
  <si>
    <t>3_1251434521683083264</t>
  </si>
  <si>
    <t>3_1209424512422277120</t>
  </si>
  <si>
    <t>3_1209009716073906177</t>
  </si>
  <si>
    <t>3_1208335829933780992</t>
  </si>
  <si>
    <t>3_1206510147452858368</t>
  </si>
  <si>
    <t>3_1205446894966587392</t>
  </si>
  <si>
    <t>3_1205079099762282496</t>
  </si>
  <si>
    <t>3_1204696658920869888</t>
  </si>
  <si>
    <t>3_895182958079995904</t>
  </si>
  <si>
    <t>3_895182631779938305</t>
  </si>
  <si>
    <t>3_835587683128905729</t>
  </si>
  <si>
    <t>3_1178534016527388672 3_1178534045967249409 3_1178534073813196800 3_1178534096860893184</t>
  </si>
  <si>
    <t>3_1575414321903009792</t>
  </si>
  <si>
    <t>3_924401155161055233</t>
  </si>
  <si>
    <t>3_997163715844751360</t>
  </si>
  <si>
    <t>7_1527320742605762560</t>
  </si>
  <si>
    <t>3_997892114091421696</t>
  </si>
  <si>
    <t>3_998778719731830784</t>
  </si>
  <si>
    <t>7_1736583344513511424</t>
  </si>
  <si>
    <t>3_1735698335866994688</t>
  </si>
  <si>
    <t>7_1736903995816390656</t>
  </si>
  <si>
    <t>3_1195333949360181248</t>
  </si>
  <si>
    <t>3_1566539543397941249 3_1566539543305764864</t>
  </si>
  <si>
    <t>3_975611902674923520</t>
  </si>
  <si>
    <t>3_1166847919057715200</t>
  </si>
  <si>
    <t>3_914555904497934336 3_914555972084842501</t>
  </si>
  <si>
    <t>3_1084860306768052224</t>
  </si>
  <si>
    <t>3_856849144727691265</t>
  </si>
  <si>
    <t>3_856846870701891584</t>
  </si>
  <si>
    <t>3_1172410049144049665</t>
  </si>
  <si>
    <t>3_1213030290395992065</t>
  </si>
  <si>
    <t>3_1290965467088056320</t>
  </si>
  <si>
    <t>3_1527467485150183424</t>
  </si>
  <si>
    <t>3_1306539329284575232</t>
  </si>
  <si>
    <t>3_938723989941186561</t>
  </si>
  <si>
    <t>3_938723074228215808</t>
  </si>
  <si>
    <t>3_938719718344597505</t>
  </si>
  <si>
    <t>3_938665612666028033</t>
  </si>
  <si>
    <t>3_938662842785439744</t>
  </si>
  <si>
    <t>3_923537179128639489</t>
  </si>
  <si>
    <t>3_923535405244280832</t>
  </si>
  <si>
    <t>3_923534847867359232</t>
  </si>
  <si>
    <t>3_923533970591031296</t>
  </si>
  <si>
    <t>3_923533402346627072</t>
  </si>
  <si>
    <t>3_923532049033465856</t>
  </si>
  <si>
    <t>3_923531489953771521</t>
  </si>
  <si>
    <t>3_923527020595707904</t>
  </si>
  <si>
    <t>3_923525967095590912</t>
  </si>
  <si>
    <t>3_920273415545556993</t>
  </si>
  <si>
    <t>3_872320500126691328</t>
  </si>
  <si>
    <t>3_869441051072712704</t>
  </si>
  <si>
    <t>3_880056165169635328</t>
  </si>
  <si>
    <t>3_879684167595835392</t>
  </si>
  <si>
    <t>3_878226290041421824</t>
  </si>
  <si>
    <t>3_877864767548932096</t>
  </si>
  <si>
    <t>3_877864518914670592</t>
  </si>
  <si>
    <t>3_877864371363266560</t>
  </si>
  <si>
    <t>3_920267234303385600</t>
  </si>
  <si>
    <t>16_920276322487746561</t>
  </si>
  <si>
    <t>16_920276100235718657</t>
  </si>
  <si>
    <t>3_920279301622185984</t>
  </si>
  <si>
    <t>3_920279108478627840</t>
  </si>
  <si>
    <t>3_920278958154715136</t>
  </si>
  <si>
    <t>3_920278807885443073</t>
  </si>
  <si>
    <t>3_920278656122888193</t>
  </si>
  <si>
    <t>3_920278440225337345</t>
  </si>
  <si>
    <t>3_920278260960837632</t>
  </si>
  <si>
    <t>3_920278097361899521</t>
  </si>
  <si>
    <t>3_920273163505745920</t>
  </si>
  <si>
    <t>3_920272819409190913</t>
  </si>
  <si>
    <t>3_920272580631707648</t>
  </si>
  <si>
    <t>3_920272336405782528</t>
  </si>
  <si>
    <t>3_920271774998175744</t>
  </si>
  <si>
    <t>3_920270792419446786</t>
  </si>
  <si>
    <t>3_920270318677004289</t>
  </si>
  <si>
    <t>3_920279625372012545</t>
  </si>
  <si>
    <t>3_920279450406633472</t>
  </si>
  <si>
    <t>3_920274738903072768</t>
  </si>
  <si>
    <t>16_920274569331486720</t>
  </si>
  <si>
    <t>3_923151602583666690</t>
  </si>
  <si>
    <t>3_920277933154906113</t>
  </si>
  <si>
    <t>3_920277777550524416</t>
  </si>
  <si>
    <t>3_920277603285590016</t>
  </si>
  <si>
    <t>3_920277428211130370</t>
  </si>
  <si>
    <t>16_920275575574376448</t>
  </si>
  <si>
    <t>16_920275315548594181</t>
  </si>
  <si>
    <t>16_920275128339988480</t>
  </si>
  <si>
    <t>16_920274944642072577</t>
  </si>
  <si>
    <t>3_920270065223704576</t>
  </si>
  <si>
    <t>3_920269258415734784</t>
  </si>
  <si>
    <t>3_920268896346693632</t>
  </si>
  <si>
    <t>3_920268339879936000</t>
  </si>
  <si>
    <t>3_877093466047561729</t>
  </si>
  <si>
    <t>3_874504159944257536</t>
  </si>
  <si>
    <t>3_923523250415575041</t>
  </si>
  <si>
    <t>3_923178319989825542</t>
  </si>
  <si>
    <t>3_923172667963748352</t>
  </si>
  <si>
    <t>3_923164305565958144</t>
  </si>
  <si>
    <t>3_923156730824900608</t>
  </si>
  <si>
    <t>3_923148990736089088</t>
  </si>
  <si>
    <t>3_920277238469115909</t>
  </si>
  <si>
    <t>3_920276545356234757</t>
  </si>
  <si>
    <t>3_920274389546942464</t>
  </si>
  <si>
    <t>3_920274129118306310</t>
  </si>
  <si>
    <t>3_988364574536667136</t>
  </si>
  <si>
    <t>3_1198923997045383168</t>
  </si>
  <si>
    <t>3_1197840385055182848</t>
  </si>
  <si>
    <t>3_1193832364624891904</t>
  </si>
  <si>
    <t>3_1199280364981608449</t>
  </si>
  <si>
    <t>3_1222497916947820545</t>
  </si>
  <si>
    <t>3_1220325221216866306</t>
  </si>
  <si>
    <t>3_1219962093304107009</t>
  </si>
  <si>
    <t>3_1201828083252072448</t>
  </si>
  <si>
    <t>3_1200010412218974208</t>
  </si>
  <si>
    <t>3_1250753097862836224</t>
  </si>
  <si>
    <t>3_1250032217612378112</t>
  </si>
  <si>
    <t>3_1248210157311426561</t>
  </si>
  <si>
    <t>3_1258709589417005056</t>
  </si>
  <si>
    <t>3_1258353803318882304</t>
  </si>
  <si>
    <t>3_1255463175757213697</t>
  </si>
  <si>
    <t>3_604519790657421313</t>
  </si>
  <si>
    <t>3_839077572281532416</t>
  </si>
  <si>
    <t>3_604187368057229312</t>
  </si>
  <si>
    <t>3_739324871444832256</t>
  </si>
  <si>
    <t>3_1191327407694733312</t>
  </si>
  <si>
    <t>7_1736510103035969536 7_1736510103015084032</t>
  </si>
  <si>
    <t>3_899518959204134912</t>
  </si>
  <si>
    <t>3_1073053713474830336</t>
  </si>
  <si>
    <t>3_1070689764997648384</t>
  </si>
  <si>
    <t>3_1732823715333742592</t>
  </si>
  <si>
    <t>3_599269342799273984</t>
  </si>
  <si>
    <t>3_1022413321452937216</t>
  </si>
  <si>
    <t>3_451715029205671936</t>
  </si>
  <si>
    <t>3_410725741513281536</t>
  </si>
  <si>
    <t>3_365481885201207296</t>
  </si>
  <si>
    <t>3_353484088230940674</t>
  </si>
  <si>
    <t>3_353483752955068416</t>
  </si>
  <si>
    <t>3_1061919799259758593</t>
  </si>
  <si>
    <t>3_1070689243201064960</t>
  </si>
  <si>
    <t>3_909034695064616960</t>
  </si>
  <si>
    <t>3_899568533134229504</t>
  </si>
  <si>
    <t>16_899536213236895746</t>
  </si>
  <si>
    <t>3_898188726156664834</t>
  </si>
  <si>
    <t>3_897144249149399040</t>
  </si>
  <si>
    <t>7_893817086648111104</t>
  </si>
  <si>
    <t>3_892788968932098048</t>
  </si>
  <si>
    <t>3_1733418609651634176</t>
  </si>
  <si>
    <t>3_1733418382479790080</t>
  </si>
  <si>
    <t>3_1733418022566547457</t>
  </si>
  <si>
    <t>3_1733417781037600768</t>
  </si>
  <si>
    <t>3_1733031107430367232</t>
  </si>
  <si>
    <t>3_1733030950106279936</t>
  </si>
  <si>
    <t>3_1733030787216277505</t>
  </si>
  <si>
    <t>3_1733030614599602176</t>
  </si>
  <si>
    <t>3_1732854443807264768</t>
  </si>
  <si>
    <t>3_1732854285526851584</t>
  </si>
  <si>
    <t>3_1732854074125459456</t>
  </si>
  <si>
    <t>3_1732853766674673664</t>
  </si>
  <si>
    <t>3_1732844309546729473</t>
  </si>
  <si>
    <t>3_1732844159189274624</t>
  </si>
  <si>
    <t>3_1732844003186393089</t>
  </si>
  <si>
    <t>3_1732843855580479489</t>
  </si>
  <si>
    <t>3_1732843637057167360</t>
  </si>
  <si>
    <t>3_1732843494635352064</t>
  </si>
  <si>
    <t>3_1732843328142548992</t>
  </si>
  <si>
    <t>3_1732843150530510848</t>
  </si>
  <si>
    <t>3_1732827756486950912</t>
  </si>
  <si>
    <t>3_1732827596218351616</t>
  </si>
  <si>
    <t>3_1732827424210001920</t>
  </si>
  <si>
    <t>3_1732827233767604224</t>
  </si>
  <si>
    <t>3_1732827070533648384</t>
  </si>
  <si>
    <t>3_1732826892426682368</t>
  </si>
  <si>
    <t>3_1732826754111160320</t>
  </si>
  <si>
    <t>3_1732826534774210560</t>
  </si>
  <si>
    <t>3_1732821920582647808</t>
  </si>
  <si>
    <t>3_1732821766202970112</t>
  </si>
  <si>
    <t>3_1732821464280166400</t>
  </si>
  <si>
    <t>3_1732821232322568192</t>
  </si>
  <si>
    <t>3_1732821026369597440</t>
  </si>
  <si>
    <t>3_1732820812829229056</t>
  </si>
  <si>
    <t>3_1732820633124327425</t>
  </si>
  <si>
    <t>3_1732820452588793856</t>
  </si>
  <si>
    <t>3_1402693038569246721</t>
  </si>
  <si>
    <t>3_1022018606723489792</t>
  </si>
  <si>
    <t>3_1021257422038392832</t>
  </si>
  <si>
    <t>3_1020549666855956480</t>
  </si>
  <si>
    <t>3_1020170247863656449</t>
  </si>
  <si>
    <t>3_1019924610752495616</t>
  </si>
  <si>
    <t>16_1014139197714657281</t>
  </si>
  <si>
    <t>3_1013408809526554626</t>
  </si>
  <si>
    <t>3_1012643257195458560</t>
  </si>
  <si>
    <t>7_1737654409847250944</t>
  </si>
  <si>
    <t>3_1736855512723947520</t>
  </si>
  <si>
    <t>7_1736803502045765632</t>
  </si>
  <si>
    <t>16_1734528444732731392</t>
  </si>
  <si>
    <t>16_1734528319222411264</t>
  </si>
  <si>
    <t>16_1734528206588514304</t>
  </si>
  <si>
    <t>16_1734527406646693888</t>
  </si>
  <si>
    <t>16_1734527265344786432</t>
  </si>
  <si>
    <t>16_1734527197304741888</t>
  </si>
  <si>
    <t>16_1734527116954501120</t>
  </si>
  <si>
    <t>16_1734527052668403712</t>
  </si>
  <si>
    <t>16_1734526157566136320</t>
  </si>
  <si>
    <t>16_1734525951126675456</t>
  </si>
  <si>
    <t>16_1734525262442971136</t>
  </si>
  <si>
    <t>16_1734525120889409536</t>
  </si>
  <si>
    <t>16_1734523112019128320</t>
  </si>
  <si>
    <t>16_1734523015059415040</t>
  </si>
  <si>
    <t>16_1734522953650618368</t>
  </si>
  <si>
    <t>16_1734522891205742592</t>
  </si>
  <si>
    <t>16_1734522804962521088</t>
  </si>
  <si>
    <t>16_1734522718744408064</t>
  </si>
  <si>
    <t>16_1734522642739429376</t>
  </si>
  <si>
    <t>16_1734522480663085056</t>
  </si>
  <si>
    <t>16_1734521362482601984</t>
  </si>
  <si>
    <t>16_1734521259134992384</t>
  </si>
  <si>
    <t>16_1734521169129492480</t>
  </si>
  <si>
    <t>16_1734521029845037056</t>
  </si>
  <si>
    <t>16_1734520963189137408</t>
  </si>
  <si>
    <t>16_1734520887070924800</t>
  </si>
  <si>
    <t>16_1734520784025202688</t>
  </si>
  <si>
    <t>16_1734520687191265280</t>
  </si>
  <si>
    <t>16_1734518390868557825</t>
  </si>
  <si>
    <t>16_1734502771112747008</t>
  </si>
  <si>
    <t>16_1734502359668301824</t>
  </si>
  <si>
    <t>16_1734501919278981120</t>
  </si>
  <si>
    <t>16_1734501671898865664</t>
  </si>
  <si>
    <t>16_1734501180112617472</t>
  </si>
  <si>
    <t>16_1734501045903220736</t>
  </si>
  <si>
    <t>16_1734500614972092416</t>
  </si>
  <si>
    <t>16_1734497874069929984</t>
  </si>
  <si>
    <t>16_1734497693995827200</t>
  </si>
  <si>
    <t>16_1734497524969545728</t>
  </si>
  <si>
    <t>16_1734497355326758912</t>
  </si>
  <si>
    <t>16_1734497060140007424</t>
  </si>
  <si>
    <t>16_1734496944603742209</t>
  </si>
  <si>
    <t>16_1734496760796790784</t>
  </si>
  <si>
    <t>16_1734496595272695809</t>
  </si>
  <si>
    <t>16_1734496285653438464</t>
  </si>
  <si>
    <t>16_1734496107978477568</t>
  </si>
  <si>
    <t>16_1734496016257392640</t>
  </si>
  <si>
    <t>16_1734495795267944448</t>
  </si>
  <si>
    <t>16_1734495635708182528</t>
  </si>
  <si>
    <t>16_1734495531517550592</t>
  </si>
  <si>
    <t>16_1734495425129009152</t>
  </si>
  <si>
    <t>16_1734495304802795520</t>
  </si>
  <si>
    <t>3_884356924531023873</t>
  </si>
  <si>
    <t>3_590490324658626563</t>
  </si>
  <si>
    <t>3_583959330711437312</t>
  </si>
  <si>
    <t>3_515065717066960897 3_515065701464154113</t>
  </si>
  <si>
    <t>3_514321956053585920 3_514321852638842880</t>
  </si>
  <si>
    <t>3_1737913973511483392</t>
  </si>
  <si>
    <t>7_1736883514581131264</t>
  </si>
  <si>
    <t>16_1736807184476872704</t>
  </si>
  <si>
    <t>3_1736543764699553792</t>
  </si>
  <si>
    <t>3_1736534843696037888</t>
  </si>
  <si>
    <t>16_1734528624626393088</t>
  </si>
  <si>
    <t>3_895228471886061568</t>
  </si>
  <si>
    <t>3_895207561787461632</t>
  </si>
  <si>
    <t>3_1737920096352219136</t>
  </si>
  <si>
    <t>3_1733417556835237888</t>
  </si>
  <si>
    <t>3_1733417213086842880</t>
  </si>
  <si>
    <t>3_1733416869116211202</t>
  </si>
  <si>
    <t>3_1733416382719496192</t>
  </si>
  <si>
    <t>3_1733416071871262720</t>
  </si>
  <si>
    <t>3_1733415680970518528</t>
  </si>
  <si>
    <t>3_1733414518770864128</t>
  </si>
  <si>
    <t>3_1732841651729575936</t>
  </si>
  <si>
    <t>3_1732841317749628928</t>
  </si>
  <si>
    <t>3_1732841189361995776</t>
  </si>
  <si>
    <t>3_1732816507929866240</t>
  </si>
  <si>
    <t>3_1732829707769434112</t>
  </si>
  <si>
    <t>3_1732829547328946176</t>
  </si>
  <si>
    <t>3_1732829407423660032</t>
  </si>
  <si>
    <t>3_1732829277006004224</t>
  </si>
  <si>
    <t>3_1732825150385541120</t>
  </si>
  <si>
    <t>3_1732824987554181120</t>
  </si>
  <si>
    <t>3_1732824804368035840</t>
  </si>
  <si>
    <t>3_1732824631940136960</t>
  </si>
  <si>
    <t>3_1732824449110450176</t>
  </si>
  <si>
    <t>3_1732824224174133248</t>
  </si>
  <si>
    <t>3_1732824073992908801</t>
  </si>
  <si>
    <t>3_1732823909081178112</t>
  </si>
  <si>
    <t>3_1732756955561644032</t>
  </si>
  <si>
    <t>7_1732675078096093184</t>
  </si>
  <si>
    <t>3_1732663103924424704</t>
  </si>
  <si>
    <t>3_1732659248520175616</t>
  </si>
  <si>
    <t>3_1732626033667358720</t>
  </si>
  <si>
    <t>16_1732616830936600576</t>
  </si>
  <si>
    <t>3_1737916617969803264</t>
  </si>
  <si>
    <t>3_1074980138847105024</t>
  </si>
  <si>
    <t>3_1073154803675496449</t>
  </si>
  <si>
    <t>3_896292617549250560</t>
  </si>
  <si>
    <t>3_896292018439077888</t>
  </si>
  <si>
    <t>3_888729284163928066</t>
  </si>
  <si>
    <t>16_1737914974851248129</t>
  </si>
  <si>
    <t>3_902024313447919616</t>
  </si>
  <si>
    <t>16_687577437278830593</t>
  </si>
  <si>
    <t>3_533957595426340864</t>
  </si>
  <si>
    <t>3_533957089232556032</t>
  </si>
  <si>
    <t>3_533637800914989056</t>
  </si>
  <si>
    <t>3_531130958628417536</t>
  </si>
  <si>
    <t>3_530780473161576448 3_530780473165746176</t>
  </si>
  <si>
    <t>3_530051328211304448</t>
  </si>
  <si>
    <t>7_1737921589428060161</t>
  </si>
  <si>
    <t>7_1737648092546011136</t>
  </si>
  <si>
    <t>3_1733420263885160448</t>
  </si>
  <si>
    <t>3_1733419670542151681</t>
  </si>
  <si>
    <t>3_1733419325178949632</t>
  </si>
  <si>
    <t>3_1733418983431307264</t>
  </si>
  <si>
    <t>3_1733030465576071168</t>
  </si>
  <si>
    <t>3_1733030191251808256</t>
  </si>
  <si>
    <t>3_1733030052520919040</t>
  </si>
  <si>
    <t>3_1733029903891623936</t>
  </si>
  <si>
    <t>3_1732853614966665216</t>
  </si>
  <si>
    <t>3_1732853418820034560</t>
  </si>
  <si>
    <t>3_1732845250341654528</t>
  </si>
  <si>
    <t>3_1732845098533081088</t>
  </si>
  <si>
    <t>3_1732844941640925184</t>
  </si>
  <si>
    <t>3_1732844790545305600</t>
  </si>
  <si>
    <t>3_1732844638191415296</t>
  </si>
  <si>
    <t>3_1732844484432478208</t>
  </si>
  <si>
    <t>3_1732829141227974656</t>
  </si>
  <si>
    <t>3_1732828921790357504</t>
  </si>
  <si>
    <t>3_1732828773005787136</t>
  </si>
  <si>
    <t>3_1732828633507442688</t>
  </si>
  <si>
    <t>3_1732828329261076480</t>
  </si>
  <si>
    <t>3_1732828162541727744</t>
  </si>
  <si>
    <t>3_1732828012163248128</t>
  </si>
  <si>
    <t>3_1732827888880152576</t>
  </si>
  <si>
    <t>3_1732823555056828416</t>
  </si>
  <si>
    <t>3_1732823316874899456</t>
  </si>
  <si>
    <t>3_1732823152550383616</t>
  </si>
  <si>
    <t>3_1732822963609595905</t>
  </si>
  <si>
    <t>3_1732822775943839744</t>
  </si>
  <si>
    <t>3_1732822601930596352</t>
  </si>
  <si>
    <t>3_1732822212267188224</t>
  </si>
  <si>
    <t>3_1732822066254987264</t>
  </si>
  <si>
    <t>3_906200497840832513</t>
  </si>
  <si>
    <t>3_906200252067135488</t>
  </si>
  <si>
    <t>3_906200040116371457</t>
  </si>
  <si>
    <t>3_906199831609098241</t>
  </si>
  <si>
    <t>3_906199539043844096</t>
  </si>
  <si>
    <t>3_906198558029651968</t>
  </si>
  <si>
    <t>3_906198334242562048</t>
  </si>
  <si>
    <t>3_906197860625956868</t>
  </si>
  <si>
    <t>3_906197270135095296</t>
  </si>
  <si>
    <t>3_850732819600949248</t>
  </si>
  <si>
    <t>3_840823123482181633</t>
  </si>
  <si>
    <t>3_837304634935021568</t>
  </si>
  <si>
    <t>3_1737922541576957952</t>
  </si>
  <si>
    <t>3_454184441024229376</t>
  </si>
  <si>
    <t>3_421614583892422656</t>
  </si>
  <si>
    <t>3_421614295013924864</t>
  </si>
  <si>
    <t>3_1737923315577077761</t>
  </si>
  <si>
    <t>7_1737556613408362496</t>
  </si>
  <si>
    <t>3_1736910942795886592</t>
  </si>
  <si>
    <t>16_1736533255665414144</t>
  </si>
  <si>
    <t>16_1734526344468561920</t>
  </si>
  <si>
    <t>16_1734526272469094400</t>
  </si>
  <si>
    <t>16_1734524990496919552</t>
  </si>
  <si>
    <t>16_1734524889988747264</t>
  </si>
  <si>
    <t>16_1734524801220591616</t>
  </si>
  <si>
    <t>16_1734523460511260672</t>
  </si>
  <si>
    <t>16_1734522262584463360</t>
  </si>
  <si>
    <t>16_1734522159865962496</t>
  </si>
  <si>
    <t>16_1734521962410741760</t>
  </si>
  <si>
    <t>16_1734521863605547008</t>
  </si>
  <si>
    <t>16_1734521796639260672</t>
  </si>
  <si>
    <t>16_1734521744629903360</t>
  </si>
  <si>
    <t>16_1734521573653311488</t>
  </si>
  <si>
    <t>16_1734521469001248768</t>
  </si>
  <si>
    <t>16_1734520593025003521</t>
  </si>
  <si>
    <t>16_1734520457603465216</t>
  </si>
  <si>
    <t>16_1734520365265866753</t>
  </si>
  <si>
    <t>16_1734520189281292288</t>
  </si>
  <si>
    <t>16_1734519391835013120</t>
  </si>
  <si>
    <t>16_1734518929517883392</t>
  </si>
  <si>
    <t>16_1734518782578806786</t>
  </si>
  <si>
    <t>16_1734518600684507136</t>
  </si>
  <si>
    <t>16_1734499389262184448</t>
  </si>
  <si>
    <t>16_1734499234056146944</t>
  </si>
  <si>
    <t>16_1734499087507156992</t>
  </si>
  <si>
    <t>16_1734498980724355072</t>
  </si>
  <si>
    <t>16_1734498467995852800</t>
  </si>
  <si>
    <t>16_1734498344792371200</t>
  </si>
  <si>
    <t>16_1734498215939149824</t>
  </si>
  <si>
    <t>16_1734498036972466176</t>
  </si>
  <si>
    <t>16_1734495114217869312</t>
  </si>
  <si>
    <t>16_1734494921791541248</t>
  </si>
  <si>
    <t>16_1734494830162771968</t>
  </si>
  <si>
    <t>16_1734494705264795648</t>
  </si>
  <si>
    <t>16_1734494587325124608</t>
  </si>
  <si>
    <t>16_1734494514382065664</t>
  </si>
  <si>
    <t>16_1734494430361800704</t>
  </si>
  <si>
    <t>16_1734494358643298304</t>
  </si>
  <si>
    <t>16_1734494276984373248</t>
  </si>
  <si>
    <t>16_1734494218817814528</t>
  </si>
  <si>
    <t>16_1734494114241269760</t>
  </si>
  <si>
    <t>16_1734494023950475264</t>
  </si>
  <si>
    <t>16_1734493923379437568</t>
  </si>
  <si>
    <t>16_1734493854781599744</t>
  </si>
  <si>
    <t>16_1734493785034506241</t>
  </si>
  <si>
    <t>16_1734493714733731840</t>
  </si>
  <si>
    <t>16_1734493644764446720</t>
  </si>
  <si>
    <t>16_1734493575839457280</t>
  </si>
  <si>
    <t>16_1734493438584967168</t>
  </si>
  <si>
    <t>16_1734493333563863040</t>
  </si>
  <si>
    <t>16_1734493260054507520</t>
  </si>
  <si>
    <t>16_1734493177439305728</t>
  </si>
  <si>
    <t>16_1734493084229251072</t>
  </si>
  <si>
    <t>3_1734412767963029504</t>
  </si>
  <si>
    <t>3_1733029728087359488</t>
  </si>
  <si>
    <t>3_1733029569119096832</t>
  </si>
  <si>
    <t>3_1733029316726829056</t>
  </si>
  <si>
    <t>3_1733029148887584768</t>
  </si>
  <si>
    <t>3_1733028977227272192</t>
  </si>
  <si>
    <t>3_1733028817550143488</t>
  </si>
  <si>
    <t>3_1733028469410234368</t>
  </si>
  <si>
    <t>3_1733028290397388800</t>
  </si>
  <si>
    <t>3_1733028070888542208</t>
  </si>
  <si>
    <t>3_1733027744462635008</t>
  </si>
  <si>
    <t>3_1733026738458841088</t>
  </si>
  <si>
    <t>3_1733024446196195328</t>
  </si>
  <si>
    <t>3_1732863099177185280</t>
  </si>
  <si>
    <t>3_1732862790304460800</t>
  </si>
  <si>
    <t>3_1732862629763260417</t>
  </si>
  <si>
    <t>3_1732862455984836608</t>
  </si>
  <si>
    <t>3_1732862312640315392</t>
  </si>
  <si>
    <t>3_1732862076614250497</t>
  </si>
  <si>
    <t>3_1732861834091282433</t>
  </si>
  <si>
    <t>3_1732861565391486976</t>
  </si>
  <si>
    <t>3_1732860954348556288</t>
  </si>
  <si>
    <t>3_1732860663129636864</t>
  </si>
  <si>
    <t>3_1732860503439855616</t>
  </si>
  <si>
    <t>3_1732860292231569408</t>
  </si>
  <si>
    <t>3_1732858435773845504</t>
  </si>
  <si>
    <t>3_1732858230668197888</t>
  </si>
  <si>
    <t>3_1732858007027957760</t>
  </si>
  <si>
    <t>3_1732857755583627264</t>
  </si>
  <si>
    <t>3_1732857514234871808</t>
  </si>
  <si>
    <t>3_1732857268134096896</t>
  </si>
  <si>
    <t>3_1732856261085966336</t>
  </si>
  <si>
    <t>3_1732856080307290112</t>
  </si>
  <si>
    <t>3_1188449106747785217</t>
  </si>
  <si>
    <t>3_1187243942732918784</t>
  </si>
  <si>
    <t>3_1184784437109641216</t>
  </si>
  <si>
    <t>3_1090265904271642624</t>
  </si>
  <si>
    <t>3_1088277538105786368</t>
  </si>
  <si>
    <t>3_1086880244768792579</t>
  </si>
  <si>
    <t>3_1076735970953723904</t>
  </si>
  <si>
    <t>3_1075646277482962945</t>
  </si>
  <si>
    <t>3_1075646012134490113</t>
  </si>
  <si>
    <t>3_1075645639931899906</t>
  </si>
  <si>
    <t>3_1737917542549671937</t>
  </si>
  <si>
    <t>16_1734527342171828224</t>
  </si>
  <si>
    <t>16_1734523369520054272</t>
  </si>
  <si>
    <t>16_1734523301727555584</t>
  </si>
  <si>
    <t>3_1737918545932009472</t>
  </si>
  <si>
    <t>3_1737921034525761536</t>
  </si>
  <si>
    <t>3_1732820008990806016</t>
  </si>
  <si>
    <t>3_895937582126645248</t>
  </si>
  <si>
    <t>7_1737660056760393729</t>
  </si>
  <si>
    <t>3_1736933774342922240</t>
  </si>
  <si>
    <t>3_1733872811704221697</t>
  </si>
  <si>
    <t>3_1733424172682850304</t>
  </si>
  <si>
    <t>3_1733031819723853824</t>
  </si>
  <si>
    <t>3_1733031680636522496</t>
  </si>
  <si>
    <t>3_1733031532615315456</t>
  </si>
  <si>
    <t>3_1733031379854569472</t>
  </si>
  <si>
    <t>3_1732855916037308416</t>
  </si>
  <si>
    <t>3_1732855768171376640</t>
  </si>
  <si>
    <t>3_1732855604530573312</t>
  </si>
  <si>
    <t>3_1732855373407686656</t>
  </si>
  <si>
    <t>3_1732855204503072768</t>
  </si>
  <si>
    <t>3_1732855048760090624</t>
  </si>
  <si>
    <t>3_1732854808455868417</t>
  </si>
  <si>
    <t>3_1732854604247810048</t>
  </si>
  <si>
    <t>3_1732842939938742273</t>
  </si>
  <si>
    <t>3_1732842800540966912</t>
  </si>
  <si>
    <t>3_1732842656735080448</t>
  </si>
  <si>
    <t>3_1732842502045011968</t>
  </si>
  <si>
    <t>3_1732842274596274176</t>
  </si>
  <si>
    <t>3_1732842133915090944</t>
  </si>
  <si>
    <t>3_1732841980583931904</t>
  </si>
  <si>
    <t>3_1732841831291830272</t>
  </si>
  <si>
    <t>3_1732826307547860992</t>
  </si>
  <si>
    <t>3_1732826182670774272</t>
  </si>
  <si>
    <t>3_1732826034754469888</t>
  </si>
  <si>
    <t>3_1732825888079663104</t>
  </si>
  <si>
    <t>3_1732825754407170048</t>
  </si>
  <si>
    <t>3_1732825603345129473</t>
  </si>
  <si>
    <t>3_1732825463452508168</t>
  </si>
  <si>
    <t>3_1732825299648163840</t>
  </si>
  <si>
    <t>3_1732819761006821376</t>
  </si>
  <si>
    <t>3_1732819602332127232</t>
  </si>
  <si>
    <t>3_1732819430244077568</t>
  </si>
  <si>
    <t>3_1732819086873124864</t>
  </si>
  <si>
    <t>3_1732818903263334400</t>
  </si>
  <si>
    <t>3_1732818736107724800</t>
  </si>
  <si>
    <t>3_1732818405944619008</t>
  </si>
  <si>
    <t>3_1732818220887785472</t>
  </si>
  <si>
    <t>3_1732818011420000256</t>
  </si>
  <si>
    <t>3_1732817819266318336</t>
  </si>
  <si>
    <t>3_1732817609232416768</t>
  </si>
  <si>
    <t>3_1732817370891026432</t>
  </si>
  <si>
    <t>3_1732817028983992320</t>
  </si>
  <si>
    <t>3_1732610242125484032</t>
  </si>
  <si>
    <t>3_834345653388111872</t>
  </si>
  <si>
    <t>13185 13971</t>
  </si>
  <si>
    <t>779652873151975425</t>
  </si>
  <si>
    <t>779652871272951808</t>
  </si>
  <si>
    <t>779652868844519424</t>
  </si>
  <si>
    <t>764804793747566592</t>
  </si>
  <si>
    <t>713918999420133377</t>
  </si>
  <si>
    <t>1168862578279190528</t>
  </si>
  <si>
    <t>65771994519584768</t>
  </si>
  <si>
    <t>792239818734342144</t>
  </si>
  <si>
    <t>895213051988893697</t>
  </si>
  <si>
    <t>278530409514553344</t>
  </si>
  <si>
    <t>1402693340710117377</t>
  </si>
  <si>
    <t>1263126559315177478</t>
  </si>
  <si>
    <t>1679148296697417728</t>
  </si>
  <si>
    <t>1259183121439678464</t>
  </si>
  <si>
    <t>1445444108319739913</t>
  </si>
  <si>
    <t>895927026963623937</t>
  </si>
  <si>
    <t>934624766270558209</t>
  </si>
  <si>
    <t>733373626804736001</t>
  </si>
  <si>
    <t>1313394581858287616</t>
  </si>
  <si>
    <t>1659543901219299330</t>
  </si>
  <si>
    <t>920361897614069761</t>
  </si>
  <si>
    <t>687944084942618625</t>
  </si>
  <si>
    <t>920596738855047168</t>
  </si>
  <si>
    <t>1519698924570820608</t>
  </si>
  <si>
    <t>1044001249782353925</t>
  </si>
  <si>
    <t>895186545417867264</t>
  </si>
  <si>
    <t>1104562376697921536</t>
  </si>
  <si>
    <t>1362806271238365189</t>
  </si>
  <si>
    <t>938675005411545090</t>
  </si>
  <si>
    <t>869541310516133888</t>
  </si>
  <si>
    <t>978140455945687040</t>
  </si>
  <si>
    <t>895182005553508352</t>
  </si>
  <si>
    <t>453440336581246976</t>
  </si>
  <si>
    <t>451635774023155712</t>
  </si>
  <si>
    <t>451347149632974850</t>
  </si>
  <si>
    <t>451353423015727104</t>
  </si>
  <si>
    <t>451352501078343681</t>
  </si>
  <si>
    <t>451702667710980097</t>
  </si>
  <si>
    <t>451702052490465280</t>
  </si>
  <si>
    <t>451697939233001474</t>
  </si>
  <si>
    <t>451697729576501249</t>
  </si>
  <si>
    <t>451696228317683712</t>
  </si>
  <si>
    <t>451695409165914113</t>
  </si>
  <si>
    <t>451692532183752704</t>
  </si>
  <si>
    <t>451691954539999232</t>
  </si>
  <si>
    <t>451690637444669440</t>
  </si>
  <si>
    <t>451689909594492929</t>
  </si>
  <si>
    <t>451689426297450496</t>
  </si>
  <si>
    <t>451688690226442240</t>
  </si>
  <si>
    <t>451688489294106624</t>
  </si>
  <si>
    <t>451685962251128832</t>
  </si>
  <si>
    <t>451685103991668736</t>
  </si>
  <si>
    <t>451684048755101696</t>
  </si>
  <si>
    <t>451683883189170177</t>
  </si>
  <si>
    <t>451683222376566784</t>
  </si>
  <si>
    <t>451682948014559232</t>
  </si>
  <si>
    <t>451682813767454720</t>
  </si>
  <si>
    <t>451677196336111617</t>
  </si>
  <si>
    <t>451673691865100288</t>
  </si>
  <si>
    <t>451669385250226177</t>
  </si>
  <si>
    <t>451669244032200704</t>
  </si>
  <si>
    <t>451668921297281024</t>
  </si>
  <si>
    <t>451668555604299776</t>
  </si>
  <si>
    <t>451667994674876416</t>
  </si>
  <si>
    <t>451667193063698433</t>
  </si>
  <si>
    <t>451665966208782336</t>
  </si>
  <si>
    <t>451663933716180992</t>
  </si>
  <si>
    <t>451643582038806528</t>
  </si>
  <si>
    <t>451643442527870976</t>
  </si>
  <si>
    <t>451353724523659264</t>
  </si>
  <si>
    <t>1169135969708204032</t>
  </si>
  <si>
    <t>1167354749902966784</t>
  </si>
  <si>
    <t>1165878188305567744</t>
  </si>
  <si>
    <t>1164485735958769665</t>
  </si>
  <si>
    <t>918456215386038272</t>
  </si>
  <si>
    <t>1076851580677218304</t>
  </si>
  <si>
    <t>978199976126943232</t>
  </si>
  <si>
    <t>65432330768093184</t>
  </si>
  <si>
    <t>466957735418802179</t>
  </si>
  <si>
    <t>577745605465894912</t>
  </si>
  <si>
    <t>577745048265224193</t>
  </si>
  <si>
    <t>577744236579287040</t>
  </si>
  <si>
    <t>577742670556188672</t>
  </si>
  <si>
    <t>577741266903023616</t>
  </si>
  <si>
    <t>1736538059645104273</t>
  </si>
  <si>
    <t>613879457963585536</t>
  </si>
  <si>
    <t>342977238460936192</t>
  </si>
  <si>
    <t>894825366476533761</t>
  </si>
  <si>
    <t>1379012085619728388</t>
  </si>
  <si>
    <t>1317080579611844611</t>
  </si>
  <si>
    <t>83557440330801152</t>
  </si>
  <si>
    <t>1603806192588857344</t>
  </si>
  <si>
    <t>895192265190256641</t>
  </si>
  <si>
    <t>1736576341930377651</t>
  </si>
  <si>
    <t>1652166013515964419</t>
  </si>
  <si>
    <t>171399499535761409</t>
  </si>
  <si>
    <t>547799946959675392</t>
  </si>
  <si>
    <t>540536004403138560</t>
  </si>
  <si>
    <t>540107178661912577</t>
  </si>
  <si>
    <t>920406171852443649</t>
  </si>
  <si>
    <t>787009024260706304</t>
  </si>
  <si>
    <t>78696995430215680</t>
  </si>
  <si>
    <t>78696987888857088</t>
  </si>
  <si>
    <t>66088355225546753</t>
  </si>
  <si>
    <t>35271118893879296</t>
  </si>
  <si>
    <t>35271113583894528</t>
  </si>
  <si>
    <t>35202707748823040</t>
  </si>
  <si>
    <t>34557259967111168</t>
  </si>
  <si>
    <t>101497575751954432</t>
  </si>
  <si>
    <t>867805745831653376</t>
  </si>
  <si>
    <t>1567376259566411776</t>
  </si>
  <si>
    <t>1020813132263018496</t>
  </si>
  <si>
    <t>1197753975635927040</t>
  </si>
  <si>
    <t>1204640777307070465</t>
  </si>
  <si>
    <t>1210085878510563328</t>
  </si>
  <si>
    <t>1209422317970870272</t>
  </si>
  <si>
    <t>1209339475614162944</t>
  </si>
  <si>
    <t>1208985071845330944</t>
  </si>
  <si>
    <t>1208337253623353346</t>
  </si>
  <si>
    <t>1207951695751327744</t>
  </si>
  <si>
    <t>1206517058990739456</t>
  </si>
  <si>
    <t>1205447692975005696</t>
  </si>
  <si>
    <t>1205055221006819328</t>
  </si>
  <si>
    <t>1213323582216048647</t>
  </si>
  <si>
    <t>1212974155936751616</t>
  </si>
  <si>
    <t>1212706609660600320</t>
  </si>
  <si>
    <t>1212705145680732160</t>
  </si>
  <si>
    <t>1212612726041796608</t>
  </si>
  <si>
    <t>1211944144911917062</t>
  </si>
  <si>
    <t>1211887427947782144</t>
  </si>
  <si>
    <t>1211614584362209280</t>
  </si>
  <si>
    <t>1211538196561104897</t>
  </si>
  <si>
    <t>1210456030565548034</t>
  </si>
  <si>
    <t>1214115433550188544</t>
  </si>
  <si>
    <t>1213338608175894528</t>
  </si>
  <si>
    <t>1227835339714129920</t>
  </si>
  <si>
    <t>1227473454749900800</t>
  </si>
  <si>
    <t>1215145750029422594</t>
  </si>
  <si>
    <t>1214785378382753792</t>
  </si>
  <si>
    <t>1214480335930572800</t>
  </si>
  <si>
    <t>1204347819315912704</t>
  </si>
  <si>
    <t>1204020267552366592</t>
  </si>
  <si>
    <t>1204017854401699840</t>
  </si>
  <si>
    <t>1202896351199145985</t>
  </si>
  <si>
    <t>1202893962836684801</t>
  </si>
  <si>
    <t>1202471229006983168</t>
  </si>
  <si>
    <t>1202463724310843393</t>
  </si>
  <si>
    <t>1201470759832440834</t>
  </si>
  <si>
    <t>75411934006099968</t>
  </si>
  <si>
    <t>118555966512955392</t>
  </si>
  <si>
    <t>78713421905924096</t>
  </si>
  <si>
    <t>35271519277940736</t>
  </si>
  <si>
    <t>35205169905934336</t>
  </si>
  <si>
    <t>34557431317004288</t>
  </si>
  <si>
    <t>895362849614290946</t>
  </si>
  <si>
    <t>75411939467079680</t>
  </si>
  <si>
    <t>1260065463024840709</t>
  </si>
  <si>
    <t>1260952407510355968</t>
  </si>
  <si>
    <t>1260523215891226624</t>
  </si>
  <si>
    <t>1212706887092670464</t>
  </si>
  <si>
    <t>1211943584410132480</t>
  </si>
  <si>
    <t>1211614097197846529</t>
  </si>
  <si>
    <t>1210456768389644288</t>
  </si>
  <si>
    <t>1210143746030850048</t>
  </si>
  <si>
    <t>1213338349898829827</t>
  </si>
  <si>
    <t>1214480115825954816</t>
  </si>
  <si>
    <t>1214116483443200000</t>
  </si>
  <si>
    <t>1204353948477353985</t>
  </si>
  <si>
    <t>1204019896843026432</t>
  </si>
  <si>
    <t>1204018172824674309</t>
  </si>
  <si>
    <t>1202474554062331904</t>
  </si>
  <si>
    <t>1202471819657150464</t>
  </si>
  <si>
    <t>1202213777678032896</t>
  </si>
  <si>
    <t>1251128826043658240</t>
  </si>
  <si>
    <t>1250701735342903297</t>
  </si>
  <si>
    <t>1250701261826961408</t>
  </si>
  <si>
    <t>1250420864564072448</t>
  </si>
  <si>
    <t>1250420719151767552</t>
  </si>
  <si>
    <t>1250420600939507717</t>
  </si>
  <si>
    <t>1248245324654706691</t>
  </si>
  <si>
    <t>1248245020424949761</t>
  </si>
  <si>
    <t>1258752691771072512</t>
  </si>
  <si>
    <t>1258399944383201280</t>
  </si>
  <si>
    <t>1257969578933497857</t>
  </si>
  <si>
    <t>1257708372624764928</t>
  </si>
  <si>
    <t>1257208728685699072</t>
  </si>
  <si>
    <t>1255850360029110272</t>
  </si>
  <si>
    <t>1255503208413368320</t>
  </si>
  <si>
    <t>1255092979712184321</t>
  </si>
  <si>
    <t>1254739700218126336</t>
  </si>
  <si>
    <t>1253708258499366912</t>
  </si>
  <si>
    <t>1253334441910398977</t>
  </si>
  <si>
    <t>1252920473316286473</t>
  </si>
  <si>
    <t>1251434531199934464</t>
  </si>
  <si>
    <t>1209424524954849282</t>
  </si>
  <si>
    <t>1209009727159459840</t>
  </si>
  <si>
    <t>1208335843544317953</t>
  </si>
  <si>
    <t>1206510157003280384</t>
  </si>
  <si>
    <t>1205446925916364802</t>
  </si>
  <si>
    <t>1205079197363818497</t>
  </si>
  <si>
    <t>1204696665111744512</t>
  </si>
  <si>
    <t>1088443927995338752</t>
  </si>
  <si>
    <t>522274646109224960</t>
  </si>
  <si>
    <t>895182960131022848</t>
  </si>
  <si>
    <t>895182633180819456</t>
  </si>
  <si>
    <t>894511477939462144</t>
  </si>
  <si>
    <t>894164197772230656</t>
  </si>
  <si>
    <t>835587685800628224</t>
  </si>
  <si>
    <t>133597392623771649</t>
  </si>
  <si>
    <t>1440673231116009486</t>
  </si>
  <si>
    <t>1178534115735289856</t>
  </si>
  <si>
    <t>1389815267585310721</t>
  </si>
  <si>
    <t>1575414326118203393</t>
  </si>
  <si>
    <t>269972460798083072</t>
  </si>
  <si>
    <t>894315681877020672</t>
  </si>
  <si>
    <t>72633875460923392</t>
  </si>
  <si>
    <t>72607010482429952</t>
  </si>
  <si>
    <t>523064824356696064</t>
  </si>
  <si>
    <t>924401157748830208</t>
  </si>
  <si>
    <t>1192300552735997952</t>
  </si>
  <si>
    <t>72578165809221632</t>
  </si>
  <si>
    <t>168202180942237697</t>
  </si>
  <si>
    <t>219742313256198144</t>
  </si>
  <si>
    <t>833585398014160896</t>
  </si>
  <si>
    <t>1553733072868110336</t>
  </si>
  <si>
    <t>1534761852202168320</t>
  </si>
  <si>
    <t>1525105879552380928</t>
  </si>
  <si>
    <t>1498765980658708481</t>
  </si>
  <si>
    <t>997163802260099073</t>
  </si>
  <si>
    <t>1527321651440152577</t>
  </si>
  <si>
    <t>997892196442431488</t>
  </si>
  <si>
    <t>998778853408436224</t>
  </si>
  <si>
    <t>1736587376091168848</t>
  </si>
  <si>
    <t>1735698942833185131</t>
  </si>
  <si>
    <t>515236582170038272</t>
  </si>
  <si>
    <t>514558660761354241</t>
  </si>
  <si>
    <t>515201614882172928</t>
  </si>
  <si>
    <t>511491957114146817</t>
  </si>
  <si>
    <t>511491663068266496</t>
  </si>
  <si>
    <t>1736964438920507515</t>
  </si>
  <si>
    <t>1735697442425778239</t>
  </si>
  <si>
    <t>1736962031922692254</t>
  </si>
  <si>
    <t>1736089624462708921</t>
  </si>
  <si>
    <t>1732700872751132674</t>
  </si>
  <si>
    <t>1736958373050945863</t>
  </si>
  <si>
    <t>1736940114327069131</t>
  </si>
  <si>
    <t>902390098821386240</t>
  </si>
  <si>
    <t>900620302471766017</t>
  </si>
  <si>
    <t>554494554808651777</t>
  </si>
  <si>
    <t>535746553818800128</t>
  </si>
  <si>
    <t>1647315029828730880</t>
  </si>
  <si>
    <t>839758157777895424</t>
  </si>
  <si>
    <t>1402856934579916805</t>
  </si>
  <si>
    <t>1402837258785333248</t>
  </si>
  <si>
    <t>1402836880370987011</t>
  </si>
  <si>
    <t>1402836838100787203</t>
  </si>
  <si>
    <t>1402836807088164864</t>
  </si>
  <si>
    <t>1402835403174944768</t>
  </si>
  <si>
    <t>895236328220119040</t>
  </si>
  <si>
    <t>1737641706714210472</t>
  </si>
  <si>
    <t>1736904971021328582</t>
  </si>
  <si>
    <t>1737638649507054043</t>
  </si>
  <si>
    <t>895186556897689602</t>
  </si>
  <si>
    <t>1020772599150727168</t>
  </si>
  <si>
    <t>1195333956557656064</t>
  </si>
  <si>
    <t>1290867133832818688</t>
  </si>
  <si>
    <t>269797312463794176</t>
  </si>
  <si>
    <t>502433655403204609</t>
  </si>
  <si>
    <t>502358751244849152</t>
  </si>
  <si>
    <t>835589874228961280</t>
  </si>
  <si>
    <t>1669832464171249668</t>
  </si>
  <si>
    <t>662963624873472001</t>
  </si>
  <si>
    <t>819955018467975168</t>
  </si>
  <si>
    <t>1566540230945128448</t>
  </si>
  <si>
    <t>869542707332612097</t>
  </si>
  <si>
    <t>1402820560187396097</t>
  </si>
  <si>
    <t>598423219796877313</t>
  </si>
  <si>
    <t>975611926846853121</t>
  </si>
  <si>
    <t>1294069825908682752</t>
  </si>
  <si>
    <t>1402845005987778563</t>
  </si>
  <si>
    <t>1166847929119850496</t>
  </si>
  <si>
    <t>1245803175476473856</t>
  </si>
  <si>
    <t>1245803168933404679</t>
  </si>
  <si>
    <t>1236812348897124353</t>
  </si>
  <si>
    <t>1233105625996910593</t>
  </si>
  <si>
    <t>1233105610054356992</t>
  </si>
  <si>
    <t>1232774276710711296</t>
  </si>
  <si>
    <t>1230582228804964352</t>
  </si>
  <si>
    <t>1227691757845876736</t>
  </si>
  <si>
    <t>914556059519401984</t>
  </si>
  <si>
    <t>866721128106033152</t>
  </si>
  <si>
    <t>1217059740825587713</t>
  </si>
  <si>
    <t>899572960922525696</t>
  </si>
  <si>
    <t>899576470980448256</t>
  </si>
  <si>
    <t>1527479388912091138</t>
  </si>
  <si>
    <t>1084860769051660290</t>
  </si>
  <si>
    <t>894809482974384130</t>
  </si>
  <si>
    <t>866735166382886912</t>
  </si>
  <si>
    <t>866732881938350081</t>
  </si>
  <si>
    <t>894835751027961857</t>
  </si>
  <si>
    <t>1221477901813649411</t>
  </si>
  <si>
    <t>455600119342059520</t>
  </si>
  <si>
    <t>895191791217016832</t>
  </si>
  <si>
    <t>790571790309462016</t>
  </si>
  <si>
    <t>978679341193355264</t>
  </si>
  <si>
    <t>977289662078377984</t>
  </si>
  <si>
    <t>895218166686765056</t>
  </si>
  <si>
    <t>895192302779596801</t>
  </si>
  <si>
    <t>895159527095533568</t>
  </si>
  <si>
    <t>544236272202838018</t>
  </si>
  <si>
    <t>856849232443166720</t>
  </si>
  <si>
    <t>856847102198067201</t>
  </si>
  <si>
    <t>215560858544250880</t>
  </si>
  <si>
    <t>1454426282746318857</t>
  </si>
  <si>
    <t>455600293648953344</t>
  </si>
  <si>
    <t>604944581059211264</t>
  </si>
  <si>
    <t>1567876310382387203</t>
  </si>
  <si>
    <t>519737371508490240</t>
  </si>
  <si>
    <t>1172410050641461249</t>
  </si>
  <si>
    <t>1213030292048547841</t>
  </si>
  <si>
    <t>895190857711857664</t>
  </si>
  <si>
    <t>72655763717369856</t>
  </si>
  <si>
    <t>85026680774733824</t>
  </si>
  <si>
    <t>83288962965315584</t>
  </si>
  <si>
    <t>82187294517370880</t>
  </si>
  <si>
    <t>65350729249996800</t>
  </si>
  <si>
    <t>251632611351470080</t>
  </si>
  <si>
    <t>500346188055343105</t>
  </si>
  <si>
    <t>500193937756540928</t>
  </si>
  <si>
    <t>1290965478920208385</t>
  </si>
  <si>
    <t>1294062908041605120</t>
  </si>
  <si>
    <t>1291121760545517569</t>
  </si>
  <si>
    <t>886112207624437760</t>
  </si>
  <si>
    <t>65430767311921152</t>
  </si>
  <si>
    <t>34144833601802240</t>
  </si>
  <si>
    <t>898327703157317633</t>
  </si>
  <si>
    <t>452717134720692224</t>
  </si>
  <si>
    <t>1527467497728901123</t>
  </si>
  <si>
    <t>598471324286078976</t>
  </si>
  <si>
    <t>760429947345330176</t>
  </si>
  <si>
    <t>366485670518206466</t>
  </si>
  <si>
    <t>1279453220599820289</t>
  </si>
  <si>
    <t>1306540860897595392</t>
  </si>
  <si>
    <t>1306546966155853824</t>
  </si>
  <si>
    <t>975710524217454592</t>
  </si>
  <si>
    <t>65322520580071424</t>
  </si>
  <si>
    <t>34180366751240192</t>
  </si>
  <si>
    <t>866748152975634432</t>
  </si>
  <si>
    <t>866746134160699394</t>
  </si>
  <si>
    <t>609955158387200000</t>
  </si>
  <si>
    <t>938669947269545986</t>
  </si>
  <si>
    <t>895207175567618048</t>
  </si>
  <si>
    <t>1402814249479512064</t>
  </si>
  <si>
    <t>1402670725761167362</t>
  </si>
  <si>
    <t>1402670694723244038</t>
  </si>
  <si>
    <t>1736539879893266667</t>
  </si>
  <si>
    <t>382113986222649344</t>
  </si>
  <si>
    <t>938724013945131009</t>
  </si>
  <si>
    <t>938723121304973312</t>
  </si>
  <si>
    <t>938719736606613504</t>
  </si>
  <si>
    <t>938667558806286337</t>
  </si>
  <si>
    <t>938665628424011776</t>
  </si>
  <si>
    <t>938662852319109121</t>
  </si>
  <si>
    <t>923537208170004481</t>
  </si>
  <si>
    <t>923535417965658112</t>
  </si>
  <si>
    <t>923534868771889153</t>
  </si>
  <si>
    <t>923534021727961088</t>
  </si>
  <si>
    <t>923533543820574720</t>
  </si>
  <si>
    <t>923532067043815425</t>
  </si>
  <si>
    <t>923531597839679488</t>
  </si>
  <si>
    <t>923527034734764033</t>
  </si>
  <si>
    <t>877522433976225792</t>
  </si>
  <si>
    <t>923525981066862592</t>
  </si>
  <si>
    <t>920273430762594304</t>
  </si>
  <si>
    <t>874149738010030080</t>
  </si>
  <si>
    <t>873058664885637120</t>
  </si>
  <si>
    <t>872320511434477568</t>
  </si>
  <si>
    <t>871627607921524736</t>
  </si>
  <si>
    <t>870161864583499776</t>
  </si>
  <si>
    <t>869441066360905729</t>
  </si>
  <si>
    <t>869440551065726976</t>
  </si>
  <si>
    <t>880056177723285504</t>
  </si>
  <si>
    <t>880055048838889472</t>
  </si>
  <si>
    <t>879684186138738688</t>
  </si>
  <si>
    <t>879683405197324288</t>
  </si>
  <si>
    <t>878227043753746436</t>
  </si>
  <si>
    <t>878226298249691136</t>
  </si>
  <si>
    <t>878226222068752384</t>
  </si>
  <si>
    <t>877864818073456640</t>
  </si>
  <si>
    <t>877864563902824448</t>
  </si>
  <si>
    <t>877864386047524865</t>
  </si>
  <si>
    <t>877862821521903616</t>
  </si>
  <si>
    <t>877862667855077376</t>
  </si>
  <si>
    <t>877862531624292354</t>
  </si>
  <si>
    <t>920267359402672128</t>
  </si>
  <si>
    <t>920276362044116992</t>
  </si>
  <si>
    <t>920276198483148802</t>
  </si>
  <si>
    <t>920279314939068417</t>
  </si>
  <si>
    <t>920279123569676288</t>
  </si>
  <si>
    <t>920278971790475264</t>
  </si>
  <si>
    <t>920278819432361984</t>
  </si>
  <si>
    <t>920278668886208512</t>
  </si>
  <si>
    <t>920278469983977472</t>
  </si>
  <si>
    <t>920278277599535106</t>
  </si>
  <si>
    <t>920278107273048066</t>
  </si>
  <si>
    <t>920273172989059072</t>
  </si>
  <si>
    <t>920272833237749761</t>
  </si>
  <si>
    <t>920272651838308352</t>
  </si>
  <si>
    <t>920272344894996480</t>
  </si>
  <si>
    <t>920272217815973888</t>
  </si>
  <si>
    <t>920271783655178240</t>
  </si>
  <si>
    <t>920270806420094977</t>
  </si>
  <si>
    <t>920270342068641793</t>
  </si>
  <si>
    <t>920279636084264961</t>
  </si>
  <si>
    <t>920279465443311616</t>
  </si>
  <si>
    <t>920274751314042884</t>
  </si>
  <si>
    <t>920274605192839178</t>
  </si>
  <si>
    <t>923151794221465601</t>
  </si>
  <si>
    <t>920277945704366080</t>
  </si>
  <si>
    <t>920277787046330368</t>
  </si>
  <si>
    <t>920277696692723715</t>
  </si>
  <si>
    <t>920277436821995521</t>
  </si>
  <si>
    <t>920275598739509248</t>
  </si>
  <si>
    <t>920275353372786689</t>
  </si>
  <si>
    <t>920275149290586114</t>
  </si>
  <si>
    <t>920274994055094272</t>
  </si>
  <si>
    <t>920270078708400129</t>
  </si>
  <si>
    <t>920269278686855168</t>
  </si>
  <si>
    <t>920268925287374855</t>
  </si>
  <si>
    <t>920268362080403456</t>
  </si>
  <si>
    <t>877093652841074688</t>
  </si>
  <si>
    <t>877093482539565056</t>
  </si>
  <si>
    <t>875591810252390402</t>
  </si>
  <si>
    <t>875223943342301184</t>
  </si>
  <si>
    <t>874871833589370880</t>
  </si>
  <si>
    <t>874871433008209920</t>
  </si>
  <si>
    <t>874504247185784832</t>
  </si>
  <si>
    <t>874500812357160960</t>
  </si>
  <si>
    <t>923523261715005441</t>
  </si>
  <si>
    <t>923178351409250305</t>
  </si>
  <si>
    <t>923172907617882113</t>
  </si>
  <si>
    <t>923164321604972544</t>
  </si>
  <si>
    <t>923156759245553664</t>
  </si>
  <si>
    <t>923149004996689921</t>
  </si>
  <si>
    <t>920277255242137600</t>
  </si>
  <si>
    <t>920276570643709953</t>
  </si>
  <si>
    <t>920274398401015808</t>
  </si>
  <si>
    <t>920274136584171520</t>
  </si>
  <si>
    <t>1402843170384146434</t>
  </si>
  <si>
    <t>938677499436953600</t>
  </si>
  <si>
    <t>1683666828059353088</t>
  </si>
  <si>
    <t>894950859796234240</t>
  </si>
  <si>
    <t>1592083362508050433</t>
  </si>
  <si>
    <t>1601350599156830208</t>
  </si>
  <si>
    <t>1600809861150801922</t>
  </si>
  <si>
    <t>927577560560566273</t>
  </si>
  <si>
    <t>976796480152403968</t>
  </si>
  <si>
    <t>133689388893876225</t>
  </si>
  <si>
    <t>250287505935585280</t>
  </si>
  <si>
    <t>988364577472688128</t>
  </si>
  <si>
    <t>519019955518320641</t>
  </si>
  <si>
    <t>898444560598147072</t>
  </si>
  <si>
    <t>205515904962920449</t>
  </si>
  <si>
    <t>976534106795401216</t>
  </si>
  <si>
    <t>792660154156134400</t>
  </si>
  <si>
    <t>1737485611257217283</t>
  </si>
  <si>
    <t>342992058769879040</t>
  </si>
  <si>
    <t>455600194441076736</t>
  </si>
  <si>
    <t>585817150859911168</t>
  </si>
  <si>
    <t>585460102578184193</t>
  </si>
  <si>
    <t>377782536446832641</t>
  </si>
  <si>
    <t>678995536314265601</t>
  </si>
  <si>
    <t>1198938648311455744</t>
  </si>
  <si>
    <t>1198924003072602113</t>
  </si>
  <si>
    <t>1197840393565392896</t>
  </si>
  <si>
    <t>1193832376201166855</t>
  </si>
  <si>
    <t>1199280373106003968</t>
  </si>
  <si>
    <t>1199647235396403201</t>
  </si>
  <si>
    <t>1199299271155208193</t>
  </si>
  <si>
    <t>1222497923763556352</t>
  </si>
  <si>
    <t>1220325250836992000</t>
  </si>
  <si>
    <t>1219962129077297152</t>
  </si>
  <si>
    <t>1201828095692378112</t>
  </si>
  <si>
    <t>1200010421333180416</t>
  </si>
  <si>
    <t>1250753133057175554</t>
  </si>
  <si>
    <t>1250032248029507584</t>
  </si>
  <si>
    <t>1248210168145268736</t>
  </si>
  <si>
    <t>1258709603023327232</t>
  </si>
  <si>
    <t>1258353825817088000</t>
  </si>
  <si>
    <t>1255463188168093697</t>
  </si>
  <si>
    <t>604519790783258624</t>
  </si>
  <si>
    <t>839077574735167488</t>
  </si>
  <si>
    <t>604187370846474240</t>
  </si>
  <si>
    <t>739324873751691264</t>
  </si>
  <si>
    <t>981833410476986368</t>
  </si>
  <si>
    <t>33837876785446912</t>
  </si>
  <si>
    <t>1173805505405313026</t>
  </si>
  <si>
    <t>1220942533804429318</t>
  </si>
  <si>
    <t>895281469597331458</t>
  </si>
  <si>
    <t>480520875356082176</t>
  </si>
  <si>
    <t>834432397332582400</t>
  </si>
  <si>
    <t>834430461753565187</t>
  </si>
  <si>
    <t>834429329824239620</t>
  </si>
  <si>
    <t>834433939951517698</t>
  </si>
  <si>
    <t>834433156380053504</t>
  </si>
  <si>
    <t>834432861776248833</t>
  </si>
  <si>
    <t>834432624135389184</t>
  </si>
  <si>
    <t>72675710342406144</t>
  </si>
  <si>
    <t>874249058516434944</t>
  </si>
  <si>
    <t>1191998348854620161</t>
  </si>
  <si>
    <t>1191327414720139264</t>
  </si>
  <si>
    <t>1736510131028783379</t>
  </si>
  <si>
    <t>1302324680926416897</t>
  </si>
  <si>
    <t>273742657543606272</t>
  </si>
  <si>
    <t>895194321502314496</t>
  </si>
  <si>
    <t>878190012709441536</t>
  </si>
  <si>
    <t>899518961217351680</t>
  </si>
  <si>
    <t>954194223577948161</t>
  </si>
  <si>
    <t>1055043866729086983</t>
  </si>
  <si>
    <t>891264141415067650</t>
  </si>
  <si>
    <t>598708656415363072</t>
  </si>
  <si>
    <t>525223843674472448</t>
  </si>
  <si>
    <t>525013574331420672</t>
  </si>
  <si>
    <t>524630846318608384</t>
  </si>
  <si>
    <t>523845561913729024</t>
  </si>
  <si>
    <t>523745277648580608</t>
  </si>
  <si>
    <t>546980849036824576</t>
  </si>
  <si>
    <t>546733509956878336</t>
  </si>
  <si>
    <t>546695211733516289</t>
  </si>
  <si>
    <t>543469925378306048</t>
  </si>
  <si>
    <t>540918509564592129</t>
  </si>
  <si>
    <t>540912676017569792</t>
  </si>
  <si>
    <t>540548240756981760</t>
  </si>
  <si>
    <t>540543839988363265</t>
  </si>
  <si>
    <t>540464338570854400</t>
  </si>
  <si>
    <t>540171529603276800</t>
  </si>
  <si>
    <t>540114036462202880</t>
  </si>
  <si>
    <t>598276199643803648</t>
  </si>
  <si>
    <t>588898135616970752</t>
  </si>
  <si>
    <t>588713428463837184</t>
  </si>
  <si>
    <t>588047268315533312</t>
  </si>
  <si>
    <t>588027635424481281</t>
  </si>
  <si>
    <t>587992124752265216</t>
  </si>
  <si>
    <t>511638378329423872</t>
  </si>
  <si>
    <t>511466658633097216</t>
  </si>
  <si>
    <t>1730070731931672786</t>
  </si>
  <si>
    <t>961266202470486017</t>
  </si>
  <si>
    <t>1737657454421512688</t>
  </si>
  <si>
    <t>894825208716165120</t>
  </si>
  <si>
    <t>794138135537938432</t>
  </si>
  <si>
    <t>895308510719823874</t>
  </si>
  <si>
    <t>577731149914451968</t>
  </si>
  <si>
    <t>453209037765898241</t>
  </si>
  <si>
    <t>453193433231130624</t>
  </si>
  <si>
    <t>454172887444766721</t>
  </si>
  <si>
    <t>453433457260371968</t>
  </si>
  <si>
    <t>449419926831255552</t>
  </si>
  <si>
    <t>449185644363776000</t>
  </si>
  <si>
    <t>1073053799902732288</t>
  </si>
  <si>
    <t>1070689823998959619</t>
  </si>
  <si>
    <t>455593201517481984</t>
  </si>
  <si>
    <t>453449196163825664</t>
  </si>
  <si>
    <t>451632902032199680</t>
  </si>
  <si>
    <t>451630556938129409</t>
  </si>
  <si>
    <t>449185540433129472</t>
  </si>
  <si>
    <t>449185457708871681</t>
  </si>
  <si>
    <t>449185382186242048</t>
  </si>
  <si>
    <t>449184980229320706</t>
  </si>
  <si>
    <t>322763449753026560</t>
  </si>
  <si>
    <t>218251941745143809</t>
  </si>
  <si>
    <t>1732823726972961084</t>
  </si>
  <si>
    <t>599269353507291136</t>
  </si>
  <si>
    <t>1022413387286945792</t>
  </si>
  <si>
    <t>454536816012828672</t>
  </si>
  <si>
    <t>454520744383619072</t>
  </si>
  <si>
    <t>454172818914037760</t>
  </si>
  <si>
    <t>454172729898303488</t>
  </si>
  <si>
    <t>454158468346576896</t>
  </si>
  <si>
    <t>453796097086210048</t>
  </si>
  <si>
    <t>451983963499020288</t>
  </si>
  <si>
    <t>451969196285788160</t>
  </si>
  <si>
    <t>451715029201477632</t>
  </si>
  <si>
    <t>451334625751625729</t>
  </si>
  <si>
    <t>451332026767908864</t>
  </si>
  <si>
    <t>451322890504253440</t>
  </si>
  <si>
    <t>451321827118178304</t>
  </si>
  <si>
    <t>410725741630742529</t>
  </si>
  <si>
    <t>365481885192818689</t>
  </si>
  <si>
    <t>353484088226746369</t>
  </si>
  <si>
    <t>353483752950874112</t>
  </si>
  <si>
    <t>353483363971121154</t>
  </si>
  <si>
    <t>217160436494237696</t>
  </si>
  <si>
    <t>1061919977505087488</t>
  </si>
  <si>
    <t>920622163459170307</t>
  </si>
  <si>
    <t>835044635802206208</t>
  </si>
  <si>
    <t>1070689647091544064</t>
  </si>
  <si>
    <t>920550019505184769</t>
  </si>
  <si>
    <t>909034762819342336</t>
  </si>
  <si>
    <t>907115747385655297</t>
  </si>
  <si>
    <t>899569420539789313</t>
  </si>
  <si>
    <t>899536383479394307</t>
  </si>
  <si>
    <t>898189050531545089</t>
  </si>
  <si>
    <t>897144259286937600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</si>
  <si>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</si>
  <si>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</si>
  <si>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</si>
  <si>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</si>
  <si>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</si>
  <si>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</si>
  <si>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</si>
  <si>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</si>
  <si>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</si>
  <si>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</si>
  <si>
    <t>1734115773042262436</t>
  </si>
  <si>
    <t>1734112782474240350</t>
  </si>
  <si>
    <t>1734112770541383937</t>
  </si>
  <si>
    <t>1734112768490389923</t>
  </si>
  <si>
    <t>1734112748483604982</t>
  </si>
  <si>
    <t>1734112745887350805</t>
  </si>
  <si>
    <t>1734112734889804128</t>
  </si>
  <si>
    <t>1734112732901773615</t>
  </si>
  <si>
    <t>1733418618468045146</t>
  </si>
  <si>
    <t>1733418399714119722</t>
  </si>
  <si>
    <t>1733418039272415494</t>
  </si>
  <si>
    <t>1733417792152461480</t>
  </si>
  <si>
    <t>1733031113981902896</t>
  </si>
  <si>
    <t>1733030957807013917</t>
  </si>
  <si>
    <t>1733030795579695115</t>
  </si>
  <si>
    <t>1733030623692886029</t>
  </si>
  <si>
    <t>1732854457241637085</t>
  </si>
  <si>
    <t>1732854296520114591</t>
  </si>
  <si>
    <t>1732854091011817682</t>
  </si>
  <si>
    <t>1732853778876088352</t>
  </si>
  <si>
    <t>1732844330958704857</t>
  </si>
  <si>
    <t>1732844169637269555</t>
  </si>
  <si>
    <t>1732844014838100160</t>
  </si>
  <si>
    <t>1732843867660013862</t>
  </si>
  <si>
    <t>1732843647370928216</t>
  </si>
  <si>
    <t>1732843506484298161</t>
  </si>
  <si>
    <t>1732843342638075955</t>
  </si>
  <si>
    <t>1732843161309909280</t>
  </si>
  <si>
    <t>1732827767538884926</t>
  </si>
  <si>
    <t>1732827609698898268</t>
  </si>
  <si>
    <t>1732827436851601462</t>
  </si>
  <si>
    <t>1732827245494882630</t>
  </si>
  <si>
    <t>1732827082856558894</t>
  </si>
  <si>
    <t>1732826904141369502</t>
  </si>
  <si>
    <t>1732826766228459687</t>
  </si>
  <si>
    <t>1732826546367262865</t>
  </si>
  <si>
    <t>1732821935141052619</t>
  </si>
  <si>
    <t>1732821778668351513</t>
  </si>
  <si>
    <t>1732821475499851806</t>
  </si>
  <si>
    <t>1732821257060589752</t>
  </si>
  <si>
    <t>1732821038419870066</t>
  </si>
  <si>
    <t>1732820823860208078</t>
  </si>
  <si>
    <t>1732820645551935853</t>
  </si>
  <si>
    <t>1732820463456293191</t>
  </si>
  <si>
    <t>1491472469273690120</t>
  </si>
  <si>
    <t>1491472465498755072</t>
  </si>
  <si>
    <t>1402693044516757504</t>
  </si>
  <si>
    <t>1022018675275182080</t>
  </si>
  <si>
    <t>1021257480695713792</t>
  </si>
  <si>
    <t>1020549841435279361</t>
  </si>
  <si>
    <t>1020170261918756865</t>
  </si>
  <si>
    <t>1019924628087529473</t>
  </si>
  <si>
    <t>1015456067956850690</t>
  </si>
  <si>
    <t>1014154328486146049</t>
  </si>
  <si>
    <t>1013819964959154177</t>
  </si>
  <si>
    <t>1013408820830171137</t>
  </si>
  <si>
    <t>1012643280788512769</t>
  </si>
  <si>
    <t>1012642780366028800</t>
  </si>
  <si>
    <t>1008929715871145984</t>
  </si>
  <si>
    <t>1737656196172075284</t>
  </si>
  <si>
    <t>1736856190561263928</t>
  </si>
  <si>
    <t>1736803772108878328</t>
  </si>
  <si>
    <t>1735742811520037248</t>
  </si>
  <si>
    <t>1734528464647041129</t>
  </si>
  <si>
    <t>1734528328927719594</t>
  </si>
  <si>
    <t>1734528215312437295</t>
  </si>
  <si>
    <t>1734527415408336947</t>
  </si>
  <si>
    <t>1734527279861023178</t>
  </si>
  <si>
    <t>1734527206234214694</t>
  </si>
  <si>
    <t>1734527125808394298</t>
  </si>
  <si>
    <t>1734527061388353846</t>
  </si>
  <si>
    <t>1734526166885634057</t>
  </si>
  <si>
    <t>1734525959779610782</t>
  </si>
  <si>
    <t>1734525272051818756</t>
  </si>
  <si>
    <t>1734525129592578280</t>
  </si>
  <si>
    <t>1734523121565118602</t>
  </si>
  <si>
    <t>1734523024290787447</t>
  </si>
  <si>
    <t>1734522962391216158</t>
  </si>
  <si>
    <t>1734522905109897220</t>
  </si>
  <si>
    <t>1734522824600224131</t>
  </si>
  <si>
    <t>1734522728416215086</t>
  </si>
  <si>
    <t>1734522652591640897</t>
  </si>
  <si>
    <t>1734522490301366321</t>
  </si>
  <si>
    <t>1734521376491577569</t>
  </si>
  <si>
    <t>1734521273236308014</t>
  </si>
  <si>
    <t>1734521188653928712</t>
  </si>
  <si>
    <t>1734521038501970245</t>
  </si>
  <si>
    <t>1734520971770605580</t>
  </si>
  <si>
    <t>1734520895610437780</t>
  </si>
  <si>
    <t>1734520793118417322</t>
  </si>
  <si>
    <t>1734520711904133262</t>
  </si>
  <si>
    <t>1734518399500423236</t>
  </si>
  <si>
    <t>1734502785046253619</t>
  </si>
  <si>
    <t>1734502368308515005</t>
  </si>
  <si>
    <t>1734501927948591260</t>
  </si>
  <si>
    <t>1734501680535024053</t>
  </si>
  <si>
    <t>1734501188698284142</t>
  </si>
  <si>
    <t>1734501055596212546</t>
  </si>
  <si>
    <t>1734500628934881664</t>
  </si>
  <si>
    <t>1734497882806653267</t>
  </si>
  <si>
    <t>1734497703663657090</t>
  </si>
  <si>
    <t>1734497533513400727</t>
  </si>
  <si>
    <t>1734497363925078154</t>
  </si>
  <si>
    <t>1734497068717416853</t>
  </si>
  <si>
    <t>1734496954288410708</t>
  </si>
  <si>
    <t>1734496774600212618</t>
  </si>
  <si>
    <t>1734496603824968065</t>
  </si>
  <si>
    <t>1734496305110819106</t>
  </si>
  <si>
    <t>1734496116719464575</t>
  </si>
  <si>
    <t>1734496025753325591</t>
  </si>
  <si>
    <t>1734495803815924037</t>
  </si>
  <si>
    <t>1734495644289728896</t>
  </si>
  <si>
    <t>1734495540254236995</t>
  </si>
  <si>
    <t>1734495433786114295</t>
  </si>
  <si>
    <t>1734495314550383059</t>
  </si>
  <si>
    <t>884356941635403776</t>
  </si>
  <si>
    <t>590490353301499904</t>
  </si>
  <si>
    <t>589356579620659201</t>
  </si>
  <si>
    <t>583959332615659520</t>
  </si>
  <si>
    <t>515065719608733696</t>
  </si>
  <si>
    <t>514321959786536960</t>
  </si>
  <si>
    <t>511491169402896384</t>
  </si>
  <si>
    <t>511490787033366529</t>
  </si>
  <si>
    <t>500153661041811457</t>
  </si>
  <si>
    <t>482434475943800832</t>
  </si>
  <si>
    <t>470783592877260800</t>
  </si>
  <si>
    <t>468621273040314368</t>
  </si>
  <si>
    <t>467313188821041152</t>
  </si>
  <si>
    <t>462624081058496512</t>
  </si>
  <si>
    <t>461738174822502400</t>
  </si>
  <si>
    <t>459625218185895936</t>
  </si>
  <si>
    <t>458898423077691392</t>
  </si>
  <si>
    <t>458898233985884161</t>
  </si>
  <si>
    <t>457057486269587456</t>
  </si>
  <si>
    <t>456680947824345088</t>
  </si>
  <si>
    <t>456332895641030657</t>
  </si>
  <si>
    <t>455970490994425856</t>
  </si>
  <si>
    <t>455964443738796032</t>
  </si>
  <si>
    <t>1737914296850420189</t>
  </si>
  <si>
    <t>1736884399222735347</t>
  </si>
  <si>
    <t>1736818302503285192</t>
  </si>
  <si>
    <t>1736807194648260676</t>
  </si>
  <si>
    <t>1736544590679646710</t>
  </si>
  <si>
    <t>1736535497789333928</t>
  </si>
  <si>
    <t>1734528633342193844</t>
  </si>
  <si>
    <t>895228532611141633</t>
  </si>
  <si>
    <t>895207584369528832</t>
  </si>
  <si>
    <t>1737920119165100254</t>
  </si>
  <si>
    <t>1734123824168210547</t>
  </si>
  <si>
    <t>1734123821672599667</t>
  </si>
  <si>
    <t>1734123809202901480</t>
  </si>
  <si>
    <t>1734123807080628646</t>
  </si>
  <si>
    <t>1734117952507576322</t>
  </si>
  <si>
    <t>1734117950209061026</t>
  </si>
  <si>
    <t>1734117931435413971</t>
  </si>
  <si>
    <t>1734117929262752173</t>
  </si>
  <si>
    <t>1734117926595150041</t>
  </si>
  <si>
    <t>1734117924028264740</t>
  </si>
  <si>
    <t>1734115765735899593</t>
  </si>
  <si>
    <t>1734115763252813855</t>
  </si>
  <si>
    <t>1734115760614633849</t>
  </si>
  <si>
    <t>1734115758450397284</t>
  </si>
  <si>
    <t>1734112743806963782</t>
  </si>
  <si>
    <t>1734112741743296705</t>
  </si>
  <si>
    <t>1734112739440631900</t>
  </si>
  <si>
    <t>1734112736932491523</t>
  </si>
  <si>
    <t>1733417573121724887</t>
  </si>
  <si>
    <t>1733417253859721546</t>
  </si>
  <si>
    <t>1733416912049111114</t>
  </si>
  <si>
    <t>1733416401296081043</t>
  </si>
  <si>
    <t>1733416097880162657</t>
  </si>
  <si>
    <t>1733415708086698050</t>
  </si>
  <si>
    <t>1733415118086533261</t>
  </si>
  <si>
    <t>1733334898306392355</t>
  </si>
  <si>
    <t>1732841662123045233</t>
  </si>
  <si>
    <t>1732841329091060180</t>
  </si>
  <si>
    <t>1732841200560869667</t>
  </si>
  <si>
    <t>1732830080328445986</t>
  </si>
  <si>
    <t>1732829720423641101</t>
  </si>
  <si>
    <t>1732829558351552822</t>
  </si>
  <si>
    <t>1732829421067759798</t>
  </si>
  <si>
    <t>1732829287831536088</t>
  </si>
  <si>
    <t>1732825161206829302</t>
  </si>
  <si>
    <t>1732824999721877809</t>
  </si>
  <si>
    <t>1732824817613623567</t>
  </si>
  <si>
    <t>1732824645882048838</t>
  </si>
  <si>
    <t>1732824460653158698</t>
  </si>
  <si>
    <t>1732824235570069728</t>
  </si>
  <si>
    <t>1732824084856066295</t>
  </si>
  <si>
    <t>1732823920821051413</t>
  </si>
  <si>
    <t>1732762303198540276</t>
  </si>
  <si>
    <t>1732762120242987512</t>
  </si>
  <si>
    <t>1732761775785783370</t>
  </si>
  <si>
    <t>1732761450513330359</t>
  </si>
  <si>
    <t>1732761143133733204</t>
  </si>
  <si>
    <t>1732760799368692185</t>
  </si>
  <si>
    <t>1732760451870511361</t>
  </si>
  <si>
    <t>1732760117605548453</t>
  </si>
  <si>
    <t>1732759322143113622</t>
  </si>
  <si>
    <t>1732758417037504558</t>
  </si>
  <si>
    <t>1732675717215760722</t>
  </si>
  <si>
    <t>1732663877064646916</t>
  </si>
  <si>
    <t>1732659351658102979</t>
  </si>
  <si>
    <t>1732626300899082296</t>
  </si>
  <si>
    <t>1732616841829195956</t>
  </si>
  <si>
    <t>1737916985206362622</t>
  </si>
  <si>
    <t>1736853375793123384</t>
  </si>
  <si>
    <t>1074980217179889664</t>
  </si>
  <si>
    <t>1073155059339341825</t>
  </si>
  <si>
    <t>896292629104607234</t>
  </si>
  <si>
    <t>896292061531447297</t>
  </si>
  <si>
    <t>888729287360229376</t>
  </si>
  <si>
    <t>896013324235571200</t>
  </si>
  <si>
    <t>1737915482517172284</t>
  </si>
  <si>
    <t>1734123819453845786</t>
  </si>
  <si>
    <t>1734123816069054935</t>
  </si>
  <si>
    <t>1734123813879599474</t>
  </si>
  <si>
    <t>1734123804874437022</t>
  </si>
  <si>
    <t>1734117954894111211</t>
  </si>
  <si>
    <t>1734117940927095051</t>
  </si>
  <si>
    <t>1734117938636960010</t>
  </si>
  <si>
    <t>1734117917644460196</t>
  </si>
  <si>
    <t>1734117915455045738</t>
  </si>
  <si>
    <t>1734117913290817644</t>
  </si>
  <si>
    <t>1734117911067852893</t>
  </si>
  <si>
    <t>1734115783813325162</t>
  </si>
  <si>
    <t>1734115781259018748</t>
  </si>
  <si>
    <t>1734115778243264633</t>
  </si>
  <si>
    <t>1734115776120910004</t>
  </si>
  <si>
    <t>1734112757367062703</t>
  </si>
  <si>
    <t>1734112754909258133</t>
  </si>
  <si>
    <t>1734112752644358161</t>
  </si>
  <si>
    <t>1734112750589124894</t>
  </si>
  <si>
    <t>902070068443525120</t>
  </si>
  <si>
    <t>902024499704586240</t>
  </si>
  <si>
    <t>901178962713255936</t>
  </si>
  <si>
    <t>900585511252774912</t>
  </si>
  <si>
    <t>691957760871702529</t>
  </si>
  <si>
    <t>691957295635308545</t>
  </si>
  <si>
    <t>691957204891480064</t>
  </si>
  <si>
    <t>687577585883086848</t>
  </si>
  <si>
    <t>687575807011631104</t>
  </si>
  <si>
    <t>533957618645999616</t>
  </si>
  <si>
    <t>533957111168786432</t>
  </si>
  <si>
    <t>533644311888289792</t>
  </si>
  <si>
    <t>533637815599263744</t>
  </si>
  <si>
    <t>531130978161278977</t>
  </si>
  <si>
    <t>530780487057281024</t>
  </si>
  <si>
    <t>530051342727794688</t>
  </si>
  <si>
    <t>525972917029330944</t>
  </si>
  <si>
    <t>1737921648274100330</t>
  </si>
  <si>
    <t>1737648180869931143</t>
  </si>
  <si>
    <t>1734117943024267400</t>
  </si>
  <si>
    <t>1734117936095260845</t>
  </si>
  <si>
    <t>1734117933880594822</t>
  </si>
  <si>
    <t>1734115789014184194</t>
  </si>
  <si>
    <t>1734115786334015664</t>
  </si>
  <si>
    <t>1734115770517316006</t>
  </si>
  <si>
    <t>1734115767967207638</t>
  </si>
  <si>
    <t>1734112780280606751</t>
  </si>
  <si>
    <t>1734112778158293281</t>
  </si>
  <si>
    <t>1734112776077865214</t>
  </si>
  <si>
    <t>1734112773964018026</t>
  </si>
  <si>
    <t>1733420272525439100</t>
  </si>
  <si>
    <t>1733419680843301065</t>
  </si>
  <si>
    <t>1733419333177557355</t>
  </si>
  <si>
    <t>1733418998967001250</t>
  </si>
  <si>
    <t>1733030475487137921</t>
  </si>
  <si>
    <t>1733030198684086600</t>
  </si>
  <si>
    <t>1733030060494291162</t>
  </si>
  <si>
    <t>1733029910522798199</t>
  </si>
  <si>
    <t>1732853626752700562</t>
  </si>
  <si>
    <t>1732853431973363730</t>
  </si>
  <si>
    <t>1732845261217513677</t>
  </si>
  <si>
    <t>1732845113716404439</t>
  </si>
  <si>
    <t>1732844957377888686</t>
  </si>
  <si>
    <t>1732844801312076268</t>
  </si>
  <si>
    <t>1732844649142681994</t>
  </si>
  <si>
    <t>1732844499003461719</t>
  </si>
  <si>
    <t>1732829159804620880</t>
  </si>
  <si>
    <t>1732828932775293214</t>
  </si>
  <si>
    <t>1732828783525204175</t>
  </si>
  <si>
    <t>1732828645629046855</t>
  </si>
  <si>
    <t>1732828340266869211</t>
  </si>
  <si>
    <t>1732828173941747748</t>
  </si>
  <si>
    <t>1732828023043338462</t>
  </si>
  <si>
    <t>1732827902431879436</t>
  </si>
  <si>
    <t>1732823566725312747</t>
  </si>
  <si>
    <t>1732823327637459357</t>
  </si>
  <si>
    <t>1732823163434614886</t>
  </si>
  <si>
    <t>1732822974275752345</t>
  </si>
  <si>
    <t>1732822789034316122</t>
  </si>
  <si>
    <t>1732822613368467894</t>
  </si>
  <si>
    <t>1732822226158637072</t>
  </si>
  <si>
    <t>1732822078695354692</t>
  </si>
  <si>
    <t>1732042011753255261</t>
  </si>
  <si>
    <t>1732041274474250603</t>
  </si>
  <si>
    <t>907114491489394689</t>
  </si>
  <si>
    <t>907111990245523456</t>
  </si>
  <si>
    <t>906200514408333312</t>
  </si>
  <si>
    <t>906200273969807360</t>
  </si>
  <si>
    <t>906200051763916801</t>
  </si>
  <si>
    <t>906199843114065921</t>
  </si>
  <si>
    <t>906199551471521792</t>
  </si>
  <si>
    <t>906198568783962113</t>
  </si>
  <si>
    <t>906198346779435008</t>
  </si>
  <si>
    <t>906197870432231424</t>
  </si>
  <si>
    <t>906197280302043136</t>
  </si>
  <si>
    <t>906049483422654465</t>
  </si>
  <si>
    <t>905059544530788352</t>
  </si>
  <si>
    <t>902796521585876992</t>
  </si>
  <si>
    <t>902759064001794048</t>
  </si>
  <si>
    <t>902758815812263936</t>
  </si>
  <si>
    <t>866547371945021441</t>
  </si>
  <si>
    <t>850732828845195265</t>
  </si>
  <si>
    <t>842972947899924480</t>
  </si>
  <si>
    <t>840823133070340096</t>
  </si>
  <si>
    <t>840071173333438464</t>
  </si>
  <si>
    <t>839386838389370880</t>
  </si>
  <si>
    <t>837304774424997888</t>
  </si>
  <si>
    <t>837501360685854720</t>
  </si>
  <si>
    <t>836129715668779008</t>
  </si>
  <si>
    <t>836127832115937280</t>
  </si>
  <si>
    <t>1737922551169388638</t>
  </si>
  <si>
    <t>1737569231019864510</t>
  </si>
  <si>
    <t>515401527696297984</t>
  </si>
  <si>
    <t>515399846384369664</t>
  </si>
  <si>
    <t>454184441020035072</t>
  </si>
  <si>
    <t>454174022222499840</t>
  </si>
  <si>
    <t>449184313922564096</t>
  </si>
  <si>
    <t>448352240516857856</t>
  </si>
  <si>
    <t>421614584039219201</t>
  </si>
  <si>
    <t>421614295148138496</t>
  </si>
  <si>
    <t>1737923329325945055</t>
  </si>
  <si>
    <t>1737556707340165619</t>
  </si>
  <si>
    <t>1736911262431256984</t>
  </si>
  <si>
    <t>1736575969379389870</t>
  </si>
  <si>
    <t>1736533265396220019</t>
  </si>
  <si>
    <t>1734526363615494253</t>
  </si>
  <si>
    <t>1734526281050681795</t>
  </si>
  <si>
    <t>1734525009790747016</t>
  </si>
  <si>
    <t>1734524904006098982</t>
  </si>
  <si>
    <t>1734524820660850802</t>
  </si>
  <si>
    <t>1734523474214048139</t>
  </si>
  <si>
    <t>1734522272411472345</t>
  </si>
  <si>
    <t>1734522174780666195</t>
  </si>
  <si>
    <t>1734521976813916277</t>
  </si>
  <si>
    <t>1734521872136675796</t>
  </si>
  <si>
    <t>1734521805636071733</t>
  </si>
  <si>
    <t>1734521754347831559</t>
  </si>
  <si>
    <t>1734521582222229700</t>
  </si>
  <si>
    <t>1734521477591101827</t>
  </si>
  <si>
    <t>1734520608472616977</t>
  </si>
  <si>
    <t>1734520471776059566</t>
  </si>
  <si>
    <t>1734520374812193121</t>
  </si>
  <si>
    <t>1734520197904748764</t>
  </si>
  <si>
    <t>1734519400555061450</t>
  </si>
  <si>
    <t>1734518938057535987</t>
  </si>
  <si>
    <t>1734518791202328832</t>
  </si>
  <si>
    <t>1734518615058403348</t>
  </si>
  <si>
    <t>1734499397717913734</t>
  </si>
  <si>
    <t>1734499242839040023</t>
  </si>
  <si>
    <t>1734499096080388402</t>
  </si>
  <si>
    <t>1734498989398257772</t>
  </si>
  <si>
    <t>1734498477131157921</t>
  </si>
  <si>
    <t>1734498359145337105</t>
  </si>
  <si>
    <t>1734498224671760416</t>
  </si>
  <si>
    <t>1734498045512024198</t>
  </si>
  <si>
    <t>1734495123361448279</t>
  </si>
  <si>
    <t>1734494930406641971</t>
  </si>
  <si>
    <t>1734494838761091529</t>
  </si>
  <si>
    <t>1734494713980612680</t>
  </si>
  <si>
    <t>1734494601552273810</t>
  </si>
  <si>
    <t>1734494523429093541</t>
  </si>
  <si>
    <t>1734494444269994320</t>
  </si>
  <si>
    <t>1734494367807881243</t>
  </si>
  <si>
    <t>1734494286379692402</t>
  </si>
  <si>
    <t>1734494227923607982</t>
  </si>
  <si>
    <t>1734494123284140121</t>
  </si>
  <si>
    <t>1734494033442213894</t>
  </si>
  <si>
    <t>1734493932673982675</t>
  </si>
  <si>
    <t>1734493863325429914</t>
  </si>
  <si>
    <t>1734493793712558333</t>
  </si>
  <si>
    <t>1734493729006965221</t>
  </si>
  <si>
    <t>1734493653798961196</t>
  </si>
  <si>
    <t>1734493584546779613</t>
  </si>
  <si>
    <t>1734493448068317535</t>
  </si>
  <si>
    <t>1734493342988398815</t>
  </si>
  <si>
    <t>1734493268673782102</t>
  </si>
  <si>
    <t>1734493186125644252</t>
  </si>
  <si>
    <t>1734493093381194115</t>
  </si>
  <si>
    <t>1734412837248721293</t>
  </si>
  <si>
    <t>1734123863833813030</t>
  </si>
  <si>
    <t>1734123861669540227</t>
  </si>
  <si>
    <t>1734123858238505306</t>
  </si>
  <si>
    <t>1734123855117975813</t>
  </si>
  <si>
    <t>1734123852748243416</t>
  </si>
  <si>
    <t>1734123850261004623</t>
  </si>
  <si>
    <t>1734123848172183733</t>
  </si>
  <si>
    <t>1734123845768958231</t>
  </si>
  <si>
    <t>1734123843071983785</t>
  </si>
  <si>
    <t>1734123840551203225</t>
  </si>
  <si>
    <t>1734123837954871770</t>
  </si>
  <si>
    <t>1734123835715182596</t>
  </si>
  <si>
    <t>1734123833592791416</t>
  </si>
  <si>
    <t>1734123831088890186</t>
  </si>
  <si>
    <t>1734123828895166680</t>
  </si>
  <si>
    <t>1734123826789621796</t>
  </si>
  <si>
    <t>1734117908987449433</t>
  </si>
  <si>
    <t>1734117906537914407</t>
  </si>
  <si>
    <t>1734117904256213379</t>
  </si>
  <si>
    <t>1734117901852926016</t>
  </si>
  <si>
    <t>1734117899520872542</t>
  </si>
  <si>
    <t>1734115816012927398</t>
  </si>
  <si>
    <t>1734115813416657285</t>
  </si>
  <si>
    <t>1734115810887512399</t>
  </si>
  <si>
    <t>1734115808291205196</t>
  </si>
  <si>
    <t>1734115806110257514</t>
  </si>
  <si>
    <t>1734115803539165198</t>
  </si>
  <si>
    <t>1734115801399980367</t>
  </si>
  <si>
    <t>1734115798828904630</t>
  </si>
  <si>
    <t>1734115796295581973</t>
  </si>
  <si>
    <t>1734115793690915240</t>
  </si>
  <si>
    <t>1734115791220461769</t>
  </si>
  <si>
    <t>1733029736559816891</t>
  </si>
  <si>
    <t>1733029575813116396</t>
  </si>
  <si>
    <t>1733029335022383268</t>
  </si>
  <si>
    <t>1733029155464163448</t>
  </si>
  <si>
    <t>1733028984185585999</t>
  </si>
  <si>
    <t>1733028825091514457</t>
  </si>
  <si>
    <t>1733028476276330947</t>
  </si>
  <si>
    <t>1733028298572132795</t>
  </si>
  <si>
    <t>1733028079855890540</t>
  </si>
  <si>
    <t>1733027756508635536</t>
  </si>
  <si>
    <t>1733026748843839811</t>
  </si>
  <si>
    <t>1733024507864953074</t>
  </si>
  <si>
    <t>1732863117250441417</t>
  </si>
  <si>
    <t>1732862803541700728</t>
  </si>
  <si>
    <t>1732862641356276051</t>
  </si>
  <si>
    <t>1732862468181909815</t>
  </si>
  <si>
    <t>1732862325529395259</t>
  </si>
  <si>
    <t>1732862092074442888</t>
  </si>
  <si>
    <t>1732861872968220794</t>
  </si>
  <si>
    <t>1732861575835345321</t>
  </si>
  <si>
    <t>1732860965702529508</t>
  </si>
  <si>
    <t>1732860674978578636</t>
  </si>
  <si>
    <t>1732860515594989616</t>
  </si>
  <si>
    <t>1732860307347804250</t>
  </si>
  <si>
    <t>1732858449803784217</t>
  </si>
  <si>
    <t>1732858243494432849</t>
  </si>
  <si>
    <t>1732858018394427453</t>
  </si>
  <si>
    <t>1732857767033987092</t>
  </si>
  <si>
    <t>1732857528831144230</t>
  </si>
  <si>
    <t>1732857290347180492</t>
  </si>
  <si>
    <t>1732856272595141090</t>
  </si>
  <si>
    <t>1732856094278525129</t>
  </si>
  <si>
    <t>1402669648336723968</t>
  </si>
  <si>
    <t>1188449116793126912</t>
  </si>
  <si>
    <t>1187243950559490049</t>
  </si>
  <si>
    <t>1184784444760059904</t>
  </si>
  <si>
    <t>1171811987656859649</t>
  </si>
  <si>
    <t>1108225553927069696</t>
  </si>
  <si>
    <t>1090265950962692097</t>
  </si>
  <si>
    <t>1088277547408809985</t>
  </si>
  <si>
    <t>1086880257544572928</t>
  </si>
  <si>
    <t>1086594004341395456</t>
  </si>
  <si>
    <t>1078206909130240001</t>
  </si>
  <si>
    <t>1076736040700764160</t>
  </si>
  <si>
    <t>1075646440674856960</t>
  </si>
  <si>
    <t>1075646100965601280</t>
  </si>
  <si>
    <t>1075645737084555264</t>
  </si>
  <si>
    <t>1737917563907035353</t>
  </si>
  <si>
    <t>1734527350992175477</t>
  </si>
  <si>
    <t>1734523379183440098</t>
  </si>
  <si>
    <t>1734523310560493860</t>
  </si>
  <si>
    <t>515401948049453056</t>
  </si>
  <si>
    <t>1737918558502277447</t>
  </si>
  <si>
    <t>1734112784588112064</t>
  </si>
  <si>
    <t>1737921046148215244</t>
  </si>
  <si>
    <t>1732820019493343499</t>
  </si>
  <si>
    <t>895937590997598208</t>
  </si>
  <si>
    <t>1737660196879503719</t>
  </si>
  <si>
    <t>1736935318983487532</t>
  </si>
  <si>
    <t>1734123811325272094</t>
  </si>
  <si>
    <t>1734117947705106686</t>
  </si>
  <si>
    <t>1734117945217794508</t>
  </si>
  <si>
    <t>1734117921884881049</t>
  </si>
  <si>
    <t>1734117919770952029</t>
  </si>
  <si>
    <t>1734115756302815381</t>
  </si>
  <si>
    <t>1734112786777583889</t>
  </si>
  <si>
    <t>1734112766468751612</t>
  </si>
  <si>
    <t>1734112764396712225</t>
  </si>
  <si>
    <t>1734112761548878138</t>
  </si>
  <si>
    <t>1734112759552303131</t>
  </si>
  <si>
    <t>1734040468592181668</t>
  </si>
  <si>
    <t>1733872926863024474</t>
  </si>
  <si>
    <t>1733527483482341416</t>
  </si>
  <si>
    <t>1733424288613421442</t>
  </si>
  <si>
    <t>1733031826220863617</t>
  </si>
  <si>
    <t>1733031688035271162</t>
  </si>
  <si>
    <t>1733031544904708605</t>
  </si>
  <si>
    <t>1733031386699743710</t>
  </si>
  <si>
    <t>1732855930155339930</t>
  </si>
  <si>
    <t>1732855781974847665</t>
  </si>
  <si>
    <t>1732855616660521363</t>
  </si>
  <si>
    <t>1732855385562685679</t>
  </si>
  <si>
    <t>1732855217182409079</t>
  </si>
  <si>
    <t>1732855061968044291</t>
  </si>
  <si>
    <t>1732854820757815423</t>
  </si>
  <si>
    <t>1732854615945732595</t>
  </si>
  <si>
    <t>1732842950629990556</t>
  </si>
  <si>
    <t>1732842812624765336</t>
  </si>
  <si>
    <t>1732842670177828874</t>
  </si>
  <si>
    <t>1732842514296476052</t>
  </si>
  <si>
    <t>1732842288173265325</t>
  </si>
  <si>
    <t>1732842146435092524</t>
  </si>
  <si>
    <t>1732841996157395108</t>
  </si>
  <si>
    <t>1732841842050240895</t>
  </si>
  <si>
    <t>1732826318801142177</t>
  </si>
  <si>
    <t>1732826193554976937</t>
  </si>
  <si>
    <t>1732826045542211755</t>
  </si>
  <si>
    <t>1732825898242527391</t>
  </si>
  <si>
    <t>1732825767153672427</t>
  </si>
  <si>
    <t>1732825616020377611</t>
  </si>
  <si>
    <t>1732825474408079497</t>
  </si>
  <si>
    <t>1732825330543423708</t>
  </si>
  <si>
    <t>1732819772927062143</t>
  </si>
  <si>
    <t>1732819613258224099</t>
  </si>
  <si>
    <t>1732819442290110766</t>
  </si>
  <si>
    <t>1732819099187552704</t>
  </si>
  <si>
    <t>1732818916622176697</t>
  </si>
  <si>
    <t>1732818748615127234</t>
  </si>
  <si>
    <t>1732818416342376455</t>
  </si>
  <si>
    <t>1732818231524511791</t>
  </si>
  <si>
    <t>1732818022774001795</t>
  </si>
  <si>
    <t>1732817830142255548</t>
  </si>
  <si>
    <t>1732817620452221081</t>
  </si>
  <si>
    <t>1732817384463823357</t>
  </si>
  <si>
    <t>1732817053600432252</t>
  </si>
  <si>
    <t>1732762991358013863</t>
  </si>
  <si>
    <t>1732762834176495928</t>
  </si>
  <si>
    <t>1732762479229321723</t>
  </si>
  <si>
    <t>973838936660496385</t>
  </si>
  <si>
    <t>961260739737485313</t>
  </si>
  <si>
    <t>1737926199429521862</t>
  </si>
  <si>
    <t>1732610959393407031</t>
  </si>
  <si>
    <t>920238108255199232</t>
  </si>
  <si>
    <t>834345919051071489</t>
  </si>
  <si>
    <t>82155445371944960</t>
  </si>
  <si>
    <t>278034378607697920</t>
  </si>
  <si>
    <t>278034005335633921</t>
  </si>
  <si>
    <t>278027651002802176</t>
  </si>
  <si>
    <t>1490879604219068421</t>
  </si>
  <si>
    <t>894149896693002242</t>
  </si>
  <si>
    <t>1678903083106185218</t>
  </si>
  <si>
    <t>1445380785272508421</t>
  </si>
  <si>
    <t>1519665699538587648</t>
  </si>
  <si>
    <t>1043968528087470080</t>
  </si>
  <si>
    <t>1104555242014822400</t>
  </si>
  <si>
    <t>1652055964206391297</t>
  </si>
  <si>
    <t>787008163664924673</t>
  </si>
  <si>
    <t>1567268943659765768</t>
  </si>
  <si>
    <t>1575261126572531715</t>
  </si>
  <si>
    <t>1192289385305083905</t>
  </si>
  <si>
    <t>1553400195618336770</t>
  </si>
  <si>
    <t>1534515456375234563</t>
  </si>
  <si>
    <t>1525096330900779010</t>
  </si>
  <si>
    <t>1498729137074233349</t>
  </si>
  <si>
    <t>1736710207147790549</t>
  </si>
  <si>
    <t>1736767950659428587</t>
  </si>
  <si>
    <t>1736747375035826425</t>
  </si>
  <si>
    <t>1736685798303690968</t>
  </si>
  <si>
    <t>1647251146665340928</t>
  </si>
  <si>
    <t>1402848067812945928</t>
  </si>
  <si>
    <t>1402780741084192770</t>
  </si>
  <si>
    <t>1402655368556150790</t>
  </si>
  <si>
    <t>1402833957620621312</t>
  </si>
  <si>
    <t>1402836441508376582</t>
  </si>
  <si>
    <t>1402679944447029249</t>
  </si>
  <si>
    <t>895211957174890496</t>
  </si>
  <si>
    <t>1737497724025721050</t>
  </si>
  <si>
    <t>1737488430202851389</t>
  </si>
  <si>
    <t>1020753846761676801</t>
  </si>
  <si>
    <t>1669624677483024390</t>
  </si>
  <si>
    <t>819924810377658368</t>
  </si>
  <si>
    <t>1166433097077927936</t>
  </si>
  <si>
    <t>899572086888218624</t>
  </si>
  <si>
    <t>790258793485656064</t>
  </si>
  <si>
    <t>519730006499409920</t>
  </si>
  <si>
    <t>1527466990469894146</t>
  </si>
  <si>
    <t>366328393073041408</t>
  </si>
  <si>
    <t>1278531281844723712</t>
  </si>
  <si>
    <t>1592076946414145536</t>
  </si>
  <si>
    <t>377759988459913217</t>
  </si>
  <si>
    <t>1302081890896064512</t>
  </si>
  <si>
    <t>1729889521477841307</t>
  </si>
  <si>
    <t>1490861269066342401</t>
  </si>
  <si>
    <t>4045440865</t>
  </si>
  <si>
    <t>181377497</t>
  </si>
  <si>
    <t>297885438</t>
  </si>
  <si>
    <t>635138347</t>
  </si>
  <si>
    <t>1172482152</t>
  </si>
  <si>
    <t>54287536</t>
  </si>
  <si>
    <t>771531001793159168</t>
  </si>
  <si>
    <t>1084506064287162368</t>
  </si>
  <si>
    <t>226829792</t>
  </si>
  <si>
    <t>1439930458222088192</t>
  </si>
  <si>
    <t>2575690472</t>
  </si>
  <si>
    <t>459823820</t>
  </si>
  <si>
    <t>1477712400862359556</t>
  </si>
  <si>
    <t>865005703550844928</t>
  </si>
  <si>
    <t>620594826</t>
  </si>
  <si>
    <t>1336153209358848000</t>
  </si>
  <si>
    <t>475618166</t>
  </si>
  <si>
    <t>258512916</t>
  </si>
  <si>
    <t>1173810743654932480</t>
  </si>
  <si>
    <t>3041320412</t>
  </si>
  <si>
    <t>23606131</t>
  </si>
  <si>
    <t>1492525372499537934</t>
  </si>
  <si>
    <t>1616340148223987712</t>
  </si>
  <si>
    <t>479895402</t>
  </si>
  <si>
    <t>327708566</t>
  </si>
  <si>
    <t>2217132804</t>
  </si>
  <si>
    <t>2842306788</t>
  </si>
  <si>
    <t>1227214300260945920</t>
  </si>
  <si>
    <t>3122933246</t>
  </si>
  <si>
    <t>1356281882195869698</t>
  </si>
  <si>
    <t>1334465931708252161</t>
  </si>
  <si>
    <t>1371809707350888448</t>
  </si>
  <si>
    <t>1213891781638541312</t>
  </si>
  <si>
    <t>15749794</t>
  </si>
  <si>
    <t>1322691</t>
  </si>
  <si>
    <t>44196397</t>
  </si>
  <si>
    <t>436358425</t>
  </si>
  <si>
    <t>1293130256505884672</t>
  </si>
  <si>
    <t>268676434</t>
  </si>
  <si>
    <t>807103207700721665</t>
  </si>
  <si>
    <t>830347242833784832</t>
  </si>
  <si>
    <t>180503626</t>
  </si>
  <si>
    <t>914312388685520897</t>
  </si>
  <si>
    <t>277131763</t>
  </si>
  <si>
    <t>789044938122022912</t>
  </si>
  <si>
    <t>52522131</t>
  </si>
  <si>
    <t>1335720570</t>
  </si>
  <si>
    <t>3318942674</t>
  </si>
  <si>
    <t>104526776</t>
  </si>
  <si>
    <t>1120591247016640513</t>
  </si>
  <si>
    <t>912983184765153285</t>
  </si>
  <si>
    <t>74039463</t>
  </si>
  <si>
    <t>4122758778</t>
  </si>
  <si>
    <t>2557521</t>
  </si>
  <si>
    <t/>
  </si>
  <si>
    <t>1679019438862123011</t>
  </si>
  <si>
    <t>1104562185127292929</t>
  </si>
  <si>
    <t>1652162334968692738</t>
  </si>
  <si>
    <t>1575410603967107074</t>
  </si>
  <si>
    <t>1192299722993594368</t>
  </si>
  <si>
    <t>1402789914823905280</t>
  </si>
  <si>
    <t>1402833806571184129</t>
  </si>
  <si>
    <t>1166738720998879232</t>
  </si>
  <si>
    <t>519736963566297090</t>
  </si>
  <si>
    <t>366363275639787520</t>
  </si>
  <si>
    <t>377779754503376896</t>
  </si>
  <si>
    <t>1395476325041729537</t>
  </si>
  <si>
    <t>1242855366829854722</t>
  </si>
  <si>
    <t>709199453865975809</t>
  </si>
  <si>
    <t>907599166146301952</t>
  </si>
  <si>
    <t>958545147280723970</t>
  </si>
  <si>
    <t>1101671637110403072</t>
  </si>
  <si>
    <t>1229496005005074435</t>
  </si>
  <si>
    <t>859233989797625857</t>
  </si>
  <si>
    <t>1163678168764436480</t>
  </si>
  <si>
    <t>1025906127010181121</t>
  </si>
  <si>
    <t>817954771361497088</t>
  </si>
  <si>
    <t>871740405691301888</t>
  </si>
  <si>
    <t>1373015322425499651</t>
  </si>
  <si>
    <t>907252558577717249</t>
  </si>
  <si>
    <t>857594046759436288</t>
  </si>
  <si>
    <t>1200730136460451840</t>
  </si>
  <si>
    <t>1202210954844336130</t>
  </si>
  <si>
    <t>716219987740889088</t>
  </si>
  <si>
    <t>1195332916877746176</t>
  </si>
  <si>
    <t>1034740429823062016</t>
  </si>
  <si>
    <t>764570314051313665</t>
  </si>
  <si>
    <t>806009670343282688</t>
  </si>
  <si>
    <t>1290908011347603457</t>
  </si>
  <si>
    <t>768678755715784704</t>
  </si>
  <si>
    <t>878356711475740673</t>
  </si>
  <si>
    <t>1333640984803028995</t>
  </si>
  <si>
    <t>1084848030837235712</t>
  </si>
  <si>
    <t>786664132376428544</t>
  </si>
  <si>
    <t>798056522181971968</t>
  </si>
  <si>
    <t>856749179787513856</t>
  </si>
  <si>
    <t>811183726591954944</t>
  </si>
  <si>
    <t>1275490759031042048</t>
  </si>
  <si>
    <t>818678746643189760</t>
  </si>
  <si>
    <t>1314813937666256896</t>
  </si>
  <si>
    <t>865094534073524224</t>
  </si>
  <si>
    <t>932566379030462464</t>
  </si>
  <si>
    <t>1533916375558782977</t>
  </si>
  <si>
    <t>746422979609780224</t>
  </si>
  <si>
    <t>1245033866974429184</t>
  </si>
  <si>
    <t>1566876312400273413</t>
  </si>
  <si>
    <t>1193828351518986240</t>
  </si>
  <si>
    <t>1158265322979262465</t>
  </si>
  <si>
    <t>1562930444647014401</t>
  </si>
  <si>
    <t>743330272339329024</t>
  </si>
  <si>
    <t>1616664141728743424</t>
  </si>
  <si>
    <t>725295875287719936</t>
  </si>
  <si>
    <t>card://1733334896964247552</t>
  </si>
  <si>
    <t>Task Time Blocks : 0
Pomodoro Technique : 0</t>
  </si>
  <si>
    <t>2023-12-10T03:56:57Z</t>
  </si>
  <si>
    <t>Closed</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</si>
  <si>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</si>
  <si>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</si>
  <si>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</si>
  <si>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</si>
  <si>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</si>
  <si>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</si>
  <si>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</si>
  <si>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</si>
  <si>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</si>
  <si>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</si>
  <si>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</si>
  <si>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</si>
  <si>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</si>
  <si>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</si>
  <si>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</si>
  <si>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</si>
  <si>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</si>
  <si>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</si>
  <si>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</si>
  <si>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</si>
  <si>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</si>
  <si>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</si>
  <si>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</si>
  <si>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</si>
  <si>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</si>
  <si>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</si>
  <si>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</si>
  <si>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</si>
  <si>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</si>
  <si>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</si>
  <si>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</si>
  <si>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</si>
  <si>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</si>
  <si>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</si>
  <si>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</si>
  <si>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</si>
  <si>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</si>
  <si>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Inovies</t>
  </si>
  <si>
    <t>Web Analytics agent</t>
  </si>
  <si>
    <t>pranoti chavan</t>
  </si>
  <si>
    <t>GHMC</t>
  </si>
  <si>
    <t>sivaramaiah</t>
  </si>
  <si>
    <t>ಇಮ್ರಾನ್</t>
  </si>
  <si>
    <t>Caroline Bombart</t>
  </si>
  <si>
    <t>Monroe Consulting</t>
  </si>
  <si>
    <t>Jobsplane</t>
  </si>
  <si>
    <t>Chandra sekhar Eligarapu</t>
  </si>
  <si>
    <t>Art bro</t>
  </si>
  <si>
    <t>Bozuteru</t>
  </si>
  <si>
    <t>Robert Downey Jr</t>
  </si>
  <si>
    <t>Gregory Ellwood - The Playlist _xD83C__xDFAC_</t>
  </si>
  <si>
    <t>Hockeywood</t>
  </si>
  <si>
    <t>rad.</t>
  </si>
  <si>
    <t>Sivam _xD83C__xDDEE__xD83C__xDDF3_</t>
  </si>
  <si>
    <t>Nawab Malik نواب ملک नवाब मलिक</t>
  </si>
  <si>
    <t>1st Choice Rec</t>
  </si>
  <si>
    <t>Financial Release</t>
  </si>
  <si>
    <t>Tony Horan</t>
  </si>
  <si>
    <t>UX Jobs IMEA</t>
  </si>
  <si>
    <t>Web Guru Awards</t>
  </si>
  <si>
    <t>Virtuoso</t>
  </si>
  <si>
    <t>webpage land</t>
  </si>
  <si>
    <t>Design Brand India</t>
  </si>
  <si>
    <t>Freeman Multimedia</t>
  </si>
  <si>
    <t>Mobland Injured</t>
  </si>
  <si>
    <t>Will Burge</t>
  </si>
  <si>
    <t>John Connor #savelegendsoftomorrow</t>
  </si>
  <si>
    <t>Ashley Dufner</t>
  </si>
  <si>
    <t>FollowUpThen</t>
  </si>
  <si>
    <t>alejo it'z icy</t>
  </si>
  <si>
    <t>luciana</t>
  </si>
  <si>
    <t>ahaan ✮⋆˙</t>
  </si>
  <si>
    <t>Mehka Adams</t>
  </si>
  <si>
    <t>Anusha</t>
  </si>
  <si>
    <t>Barnaby Wass</t>
  </si>
  <si>
    <t>Ethan Friedericks</t>
  </si>
  <si>
    <t>John Gow</t>
  </si>
  <si>
    <t>Jeremy Scrivens</t>
  </si>
  <si>
    <t>Smoking Chili Media</t>
  </si>
  <si>
    <t>ipfconline</t>
  </si>
  <si>
    <t>Deepanshu Gahlaut</t>
  </si>
  <si>
    <t>CustomerThink</t>
  </si>
  <si>
    <t>CoopsGreenTeam _xD83D__xDCAF__xD83C__xDDFA__xD83C__xDDF8_✝️</t>
  </si>
  <si>
    <t>Ramesh dudala</t>
  </si>
  <si>
    <t>Bloggerplugins.Org</t>
  </si>
  <si>
    <t>Mahasri</t>
  </si>
  <si>
    <t>GoodFirms</t>
  </si>
  <si>
    <t>Sumanth</t>
  </si>
  <si>
    <t>FCM Media</t>
  </si>
  <si>
    <t>Christin Kardos _xD83C__xDF1F_ #CMGR, backseat Harley rider_xD83C__xDF1F_</t>
  </si>
  <si>
    <t>Convince &amp; Convert</t>
  </si>
  <si>
    <t>Roja</t>
  </si>
  <si>
    <t>Bill Flint</t>
  </si>
  <si>
    <t>Mackphason מקפסון⚽ _xD83C__xDDEF__xD83C__xDDF2_</t>
  </si>
  <si>
    <t>Which Web Design Co</t>
  </si>
  <si>
    <t>SM</t>
  </si>
  <si>
    <t>Alekya</t>
  </si>
  <si>
    <t>Truly Humbled Under God</t>
  </si>
  <si>
    <t>Ameet Chaudhry</t>
  </si>
  <si>
    <t>Panther Associates</t>
  </si>
  <si>
    <t>TopDevelopers.co</t>
  </si>
  <si>
    <t>Quovantis</t>
  </si>
  <si>
    <t>Redwerk</t>
  </si>
  <si>
    <t>Skynet Indonesia</t>
  </si>
  <si>
    <t>IntexSoft</t>
  </si>
  <si>
    <t>ImprovingMx</t>
  </si>
  <si>
    <t>Star Knowledge</t>
  </si>
  <si>
    <t>Square63</t>
  </si>
  <si>
    <t>Digitbazar</t>
  </si>
  <si>
    <t>nichetechsolutions</t>
  </si>
  <si>
    <t>Worry Free Labs</t>
  </si>
  <si>
    <t>GoodWorkLabs</t>
  </si>
  <si>
    <t>Dom &amp; Tom</t>
  </si>
  <si>
    <t>Rocket Insights (now DEPT®)</t>
  </si>
  <si>
    <t>SDSol Technologies</t>
  </si>
  <si>
    <t>zubena alam</t>
  </si>
  <si>
    <t>HostAge At A BeAch HOUSE PArty</t>
  </si>
  <si>
    <t>SlideSource</t>
  </si>
  <si>
    <t>Charanjiv Singh _xD83C__xDDEE__xD83C__xDDF3_</t>
  </si>
  <si>
    <t>Kaleidoscope (Merr Crimbo) _xD83C__xDF84_</t>
  </si>
  <si>
    <t>Schwarzette</t>
  </si>
  <si>
    <t>Hagodhem2</t>
  </si>
  <si>
    <t>IG: madammachel</t>
  </si>
  <si>
    <t>ChetanaSforum.com</t>
  </si>
  <si>
    <t>webpage tips</t>
  </si>
  <si>
    <t>The Chirpin' Kricket</t>
  </si>
  <si>
    <t>WalmartFamilyMobile</t>
  </si>
  <si>
    <t>IndiaRecruitmentJob</t>
  </si>
  <si>
    <t>DNL Van de Beats.</t>
  </si>
  <si>
    <t>Laura Layton</t>
  </si>
  <si>
    <t>Paul Melman</t>
  </si>
  <si>
    <t>Bri</t>
  </si>
  <si>
    <t>Alec Chournos</t>
  </si>
  <si>
    <t>jer</t>
  </si>
  <si>
    <t>WriteUpCafe</t>
  </si>
  <si>
    <t>Tamhane Clinic Kunjirwadi</t>
  </si>
  <si>
    <t>KalungiGroup</t>
  </si>
  <si>
    <t>YouRoQ</t>
  </si>
  <si>
    <t>SoftwareFindr</t>
  </si>
  <si>
    <t>Wendy Hastings</t>
  </si>
  <si>
    <t>Karmesh</t>
  </si>
  <si>
    <t>Shana Haynie</t>
  </si>
  <si>
    <t>Bootstrap Forever</t>
  </si>
  <si>
    <t>Engineering Jobs</t>
  </si>
  <si>
    <t>Tristan Johnson Stepback.nebula.tv on bsky</t>
  </si>
  <si>
    <t>Dushyant Pimple</t>
  </si>
  <si>
    <t>Commissioner GHMC</t>
  </si>
  <si>
    <t>Telangana</t>
  </si>
  <si>
    <t>Elon's subsidized hair line</t>
  </si>
  <si>
    <t>Amadah _xD83C__xDDEE__xD83C__xDDE9_</t>
  </si>
  <si>
    <t>Fabio Rabin _xD83C__xDFA4__xD83C__xDFAD__xD83D__xDE0E__xD83E__xDD19__xD83C__xDFC4_</t>
  </si>
  <si>
    <t>Metamorfose ambulante</t>
  </si>
  <si>
    <t>Maruthi Prasad Twitte</t>
  </si>
  <si>
    <t>JetRuby</t>
  </si>
  <si>
    <t>Skot Waldron</t>
  </si>
  <si>
    <t>TopRankVisibility</t>
  </si>
  <si>
    <t>sravanthi</t>
  </si>
  <si>
    <t>naziyamalik</t>
  </si>
  <si>
    <t>IRIS CRM - Merchant Services &amp; Payments CRM</t>
  </si>
  <si>
    <t>Space Grace, temporal anomaly _xD83D__xDD70_️_xD83C__xDF0C_</t>
  </si>
  <si>
    <t>Writing Jobs</t>
  </si>
  <si>
    <t>Pinterest</t>
  </si>
  <si>
    <t>UpSkillYourLife</t>
  </si>
  <si>
    <t>Aadesh Rawal</t>
  </si>
  <si>
    <t>Codie Sanchez</t>
  </si>
  <si>
    <t>Joshua</t>
  </si>
  <si>
    <t>Telangana State Police</t>
  </si>
  <si>
    <t>India News Network</t>
  </si>
  <si>
    <t>Juan Oviedo Rojas</t>
  </si>
  <si>
    <t>Mashable</t>
  </si>
  <si>
    <t>Web Development</t>
  </si>
  <si>
    <t>JORDAN</t>
  </si>
  <si>
    <t>Zachary Cohen</t>
  </si>
  <si>
    <t>Evan Pérez</t>
  </si>
  <si>
    <t>Natasha Bertrand</t>
  </si>
  <si>
    <t>Katie Bo Lillis</t>
  </si>
  <si>
    <t>Jeremy Herb</t>
  </si>
  <si>
    <t>The SamurAI</t>
  </si>
  <si>
    <t>httpster</t>
  </si>
  <si>
    <t>Bhatti Vikramarka Mallu</t>
  </si>
  <si>
    <t>Revanth Reddy</t>
  </si>
  <si>
    <t>Farhan</t>
  </si>
  <si>
    <t>Hridoy Rehman</t>
  </si>
  <si>
    <t>Shelly Palmer</t>
  </si>
  <si>
    <t>YourStory</t>
  </si>
  <si>
    <t>Hyderabad City Police</t>
  </si>
  <si>
    <t>PayPal</t>
  </si>
  <si>
    <t>Mission Ambedkar</t>
  </si>
  <si>
    <t>ARJUN MALLARAM SWAERO</t>
  </si>
  <si>
    <t>BEDA SAMPATH</t>
  </si>
  <si>
    <t>Mogilipaka Naveen Kumar</t>
  </si>
  <si>
    <t>Maddileti Bandari</t>
  </si>
  <si>
    <t>PV Sunil Kumar</t>
  </si>
  <si>
    <t>Nithin Bussa</t>
  </si>
  <si>
    <t>Amar Byagari</t>
  </si>
  <si>
    <t>Quiff</t>
  </si>
  <si>
    <t>Neil Patel</t>
  </si>
  <si>
    <t>Elon Musk</t>
  </si>
  <si>
    <t>Growth Marketing Conf</t>
  </si>
  <si>
    <t>Sheraz Farooqi</t>
  </si>
  <si>
    <t>Develop4U</t>
  </si>
  <si>
    <t>Colour Moon Technologies Pvt Ltd</t>
  </si>
  <si>
    <t>ThisisSwitch</t>
  </si>
  <si>
    <t>Tvisha Technologies</t>
  </si>
  <si>
    <t>Navtech</t>
  </si>
  <si>
    <t>Nethues Technologies</t>
  </si>
  <si>
    <t>INDBC Classifieds</t>
  </si>
  <si>
    <t>Bootstrap Tags</t>
  </si>
  <si>
    <t>Kevern Thomas</t>
  </si>
  <si>
    <t>Mr Black⁛</t>
  </si>
  <si>
    <t>U_xD835__xDD4F_ Jobs</t>
  </si>
  <si>
    <t>Jayanti. S Rao</t>
  </si>
  <si>
    <t>Rana Ayyub</t>
  </si>
  <si>
    <t>Leigh ✨_xD83C__xDF08_</t>
  </si>
  <si>
    <t>Emanuel</t>
  </si>
  <si>
    <t>AIM To EDUCATE</t>
  </si>
  <si>
    <t>JOBSPOTZ</t>
  </si>
  <si>
    <t>IndywoodEntertainmentConsortium</t>
  </si>
  <si>
    <t>Allison R Frye</t>
  </si>
  <si>
    <t>Ethane Web Technologies Pvt Ltd</t>
  </si>
  <si>
    <t>Perfect Search Media</t>
  </si>
  <si>
    <t>Straight North</t>
  </si>
  <si>
    <t>Digital Resource</t>
  </si>
  <si>
    <t>Digivate</t>
  </si>
  <si>
    <t>DASH TWO</t>
  </si>
  <si>
    <t>Lever</t>
  </si>
  <si>
    <t>atozemotions</t>
  </si>
  <si>
    <t>M ⚡</t>
  </si>
  <si>
    <t>FJ</t>
  </si>
  <si>
    <t>joker</t>
  </si>
  <si>
    <t>Krishna Teja Mandavilli</t>
  </si>
  <si>
    <t>Faroooooq</t>
  </si>
  <si>
    <t>Designer News</t>
  </si>
  <si>
    <t>Byles Digital Design</t>
  </si>
  <si>
    <t>free range coochie</t>
  </si>
  <si>
    <t>I Could’ve Just Sat On In With Massa</t>
  </si>
  <si>
    <t>Dream Creations</t>
  </si>
  <si>
    <t>The Hindu-Hyderabad</t>
  </si>
  <si>
    <t>RSM GEARS</t>
  </si>
  <si>
    <t>CricClubs</t>
  </si>
  <si>
    <t>NANDI TYRES AND TUBES</t>
  </si>
  <si>
    <t>Red Book Productions</t>
  </si>
  <si>
    <t>CodeWright</t>
  </si>
  <si>
    <t>BullRush</t>
  </si>
  <si>
    <t>Martin ten Voorde</t>
  </si>
  <si>
    <t>RKBhai</t>
  </si>
  <si>
    <t>BAF</t>
  </si>
  <si>
    <t>Sandy Gile</t>
  </si>
  <si>
    <t>Rodney McLeod</t>
  </si>
  <si>
    <t>Philadelphia Eagles</t>
  </si>
  <si>
    <t>Robin Chodak</t>
  </si>
  <si>
    <t>Wendy Van de Poll</t>
  </si>
  <si>
    <t>Asirvia GO</t>
  </si>
  <si>
    <t>Modern Webz</t>
  </si>
  <si>
    <t>Promote News Charity Feed PR.</t>
  </si>
  <si>
    <t>Sin</t>
  </si>
  <si>
    <t>Fair Soft Solutions</t>
  </si>
  <si>
    <t>Tanner Mosier</t>
  </si>
  <si>
    <t>mskaydub</t>
  </si>
  <si>
    <t>Ravi Kumar C</t>
  </si>
  <si>
    <t>ShareThis</t>
  </si>
  <si>
    <t>Placement Floor</t>
  </si>
  <si>
    <t>Jacob</t>
  </si>
  <si>
    <t>Marissa _xD83D__xDC7C__xD83C__xDFFD_</t>
  </si>
  <si>
    <t>Bizoforce - Accelerating Digital Solutions</t>
  </si>
  <si>
    <t>Rafi</t>
  </si>
  <si>
    <t>TSM_B2B</t>
  </si>
  <si>
    <t>India Job Search</t>
  </si>
  <si>
    <t>Freshjobupdates</t>
  </si>
  <si>
    <t>Thrive Agency</t>
  </si>
  <si>
    <t>BeNanna Bakery</t>
  </si>
  <si>
    <t>Jobs India</t>
  </si>
  <si>
    <t>Shane_Bruwer</t>
  </si>
  <si>
    <t>Valeria</t>
  </si>
  <si>
    <t>CareerAge.com</t>
  </si>
  <si>
    <t>Mark McNeilly</t>
  </si>
  <si>
    <t>Matt Cino</t>
  </si>
  <si>
    <t>Nick</t>
  </si>
  <si>
    <t>ya bitch</t>
  </si>
  <si>
    <t>SunArc Technologies</t>
  </si>
  <si>
    <t>Evon Technologies</t>
  </si>
  <si>
    <t>Octal IT Solution (CMMi Level-3 Appraised Company)</t>
  </si>
  <si>
    <t>Software Developers</t>
  </si>
  <si>
    <t>Promatics</t>
  </si>
  <si>
    <t>PhoenixBizz</t>
  </si>
  <si>
    <t>RipenApps</t>
  </si>
  <si>
    <t>A1FutureTechnologies</t>
  </si>
  <si>
    <t>Indywood Film Market</t>
  </si>
  <si>
    <t>Freshers Jobs</t>
  </si>
  <si>
    <t>BrainLeaf</t>
  </si>
  <si>
    <t>Tony Compton</t>
  </si>
  <si>
    <t>Pennylane Productions</t>
  </si>
  <si>
    <t>Akshay Kumar</t>
  </si>
  <si>
    <t>JobPatrika</t>
  </si>
  <si>
    <t>DBM Web Marketing</t>
  </si>
  <si>
    <t>Geek Relief</t>
  </si>
  <si>
    <t>Dr.RS Praveen Kumar</t>
  </si>
  <si>
    <t>DR.RSP Fan's _xD83D__xDC18_</t>
  </si>
  <si>
    <t>We are With CBN</t>
  </si>
  <si>
    <t>Tony Hazard</t>
  </si>
  <si>
    <t>James Brower</t>
  </si>
  <si>
    <t>Fily Camara</t>
  </si>
  <si>
    <t>Jean-Michel Garcias _xD83C__xDDEB__xD83C__xDDF7__xD83C__xDDEA__xD83C__xDDFA_</t>
  </si>
  <si>
    <t>Eurofins | EAG Laboratories</t>
  </si>
  <si>
    <t>Cerballiance</t>
  </si>
  <si>
    <t>Gabriel Attal</t>
  </si>
  <si>
    <t>LCI</t>
  </si>
  <si>
    <t>Adrien Gindre</t>
  </si>
  <si>
    <t>BIOGROUP</t>
  </si>
  <si>
    <t>Laurie Cissé</t>
  </si>
  <si>
    <t>Laboratoire Inovie Biopyrénées</t>
  </si>
  <si>
    <t>Alternatives Économiques</t>
  </si>
  <si>
    <t>Marina Sala</t>
  </si>
  <si>
    <t>Rebrandly</t>
  </si>
  <si>
    <t>Jobminer.in</t>
  </si>
  <si>
    <t>Seconds That Count</t>
  </si>
  <si>
    <t>Business Directory</t>
  </si>
  <si>
    <t>Stefka Ivanova | VP Brand | Forbes Contributor</t>
  </si>
  <si>
    <t>indianjobtalks</t>
  </si>
  <si>
    <t>NodeBB</t>
  </si>
  <si>
    <t>Fuckthisdude</t>
  </si>
  <si>
    <t>JW JOBS</t>
  </si>
  <si>
    <t>Sandhya Sree</t>
  </si>
  <si>
    <t>Marco Novo _xD83C__xDFA5__xD83D__xDD34_ #livestreaming #amazoninfluencer</t>
  </si>
  <si>
    <t>Cinema Special</t>
  </si>
  <si>
    <t>Vamsi Kaka</t>
  </si>
  <si>
    <t>excoecaria</t>
  </si>
  <si>
    <t>CSS Nectar</t>
  </si>
  <si>
    <t>w3webdesign</t>
  </si>
  <si>
    <t>Sylvie Merlet</t>
  </si>
  <si>
    <t>Vladimer Botsvadze _xD83D__xDEEB__xD83C__xDF0E__xD83C__xDF99_️</t>
  </si>
  <si>
    <t>La Montilienne</t>
  </si>
  <si>
    <t>Coach Eloquence</t>
  </si>
  <si>
    <t>AntoineTallon</t>
  </si>
  <si>
    <t>AvisProduitWeb</t>
  </si>
  <si>
    <t>Besson Dominique</t>
  </si>
  <si>
    <t>EnergieRhôneVallée</t>
  </si>
  <si>
    <t>Nguyen marguerite</t>
  </si>
  <si>
    <t>Bon d'achat 2018</t>
  </si>
  <si>
    <t>Nathalie Sahuc</t>
  </si>
  <si>
    <t>SHIATSUDO MONTELIMAR</t>
  </si>
  <si>
    <t>Marie Veille - Social Media</t>
  </si>
  <si>
    <t>managementguruz</t>
  </si>
  <si>
    <t>Bob Thompson</t>
  </si>
  <si>
    <t>Blu Formiga, INC.</t>
  </si>
  <si>
    <t>Shitty</t>
  </si>
  <si>
    <t>Telangana Job Alert</t>
  </si>
  <si>
    <t>JOBS EmploymentBoard</t>
  </si>
  <si>
    <t>Greg Valancius</t>
  </si>
  <si>
    <t>Success Lake SEO</t>
  </si>
  <si>
    <t>manu ❁ vai ver TWICE</t>
  </si>
  <si>
    <t>DEFindia</t>
  </si>
  <si>
    <t>Manthan Award</t>
  </si>
  <si>
    <t>Faun deHenry</t>
  </si>
  <si>
    <t>WillowAssist</t>
  </si>
  <si>
    <t>Still Tweeting? _xD83C__xDDEE__xD83C__xDDF3_</t>
  </si>
  <si>
    <t>⭕LIVE NOW | ZeroCool</t>
  </si>
  <si>
    <t>ExpertJobsOrg</t>
  </si>
  <si>
    <t>bhandaryda</t>
  </si>
  <si>
    <t>Shantanu</t>
  </si>
  <si>
    <t>Frankson D. S. Marshall</t>
  </si>
  <si>
    <t>ప్యాకేజీ వారహీ</t>
  </si>
  <si>
    <t>Ing. Cristian Randieri, PhD</t>
  </si>
  <si>
    <t>Explore My Jobs</t>
  </si>
  <si>
    <t>Paul Wiersgalla</t>
  </si>
  <si>
    <t>꧁•⊹٭_xD835__xDE7F_ _xD835__xDE7D_ _xD835__xDE71__xD835__xDE9E__xD835__xDE9B__xD835__xDE9B__xD835__xDE98__xD835__xDEA0__xD835__xDE9C_٭⊹•꧂</t>
  </si>
  <si>
    <t>jobsPosot in</t>
  </si>
  <si>
    <t>srikanth</t>
  </si>
  <si>
    <t>Lex. #ProfessorLex.</t>
  </si>
  <si>
    <t>ESPN</t>
  </si>
  <si>
    <t>YouTube</t>
  </si>
  <si>
    <t>.</t>
  </si>
  <si>
    <t>PeoplePerHour</t>
  </si>
  <si>
    <t>2364029335</t>
  </si>
  <si>
    <t>3286550383</t>
  </si>
  <si>
    <t>119657886</t>
  </si>
  <si>
    <t>86012608</t>
  </si>
  <si>
    <t>245542127</t>
  </si>
  <si>
    <t>193235468</t>
  </si>
  <si>
    <t>162659925</t>
  </si>
  <si>
    <t>166967184</t>
  </si>
  <si>
    <t>47786101</t>
  </si>
  <si>
    <t>17586386</t>
  </si>
  <si>
    <t>325079689</t>
  </si>
  <si>
    <t>614218528</t>
  </si>
  <si>
    <t>858801946853027841</t>
  </si>
  <si>
    <t>1400258503</t>
  </si>
  <si>
    <t>752910638192660482</t>
  </si>
  <si>
    <t>3228207062</t>
  </si>
  <si>
    <t>129279726</t>
  </si>
  <si>
    <t>111816657</t>
  </si>
  <si>
    <t>236971013</t>
  </si>
  <si>
    <t>413370855</t>
  </si>
  <si>
    <t>29568688</t>
  </si>
  <si>
    <t>48942281</t>
  </si>
  <si>
    <t>354582942</t>
  </si>
  <si>
    <t>3907907001</t>
  </si>
  <si>
    <t>705539763349164032</t>
  </si>
  <si>
    <t>2149377590</t>
  </si>
  <si>
    <t>30890113</t>
  </si>
  <si>
    <t>257294613</t>
  </si>
  <si>
    <t>56056293</t>
  </si>
  <si>
    <t>3300294446</t>
  </si>
  <si>
    <t>49252261</t>
  </si>
  <si>
    <t>273018943</t>
  </si>
  <si>
    <t>1710801594</t>
  </si>
  <si>
    <t>16351010</t>
  </si>
  <si>
    <t>100074593</t>
  </si>
  <si>
    <t>430610967</t>
  </si>
  <si>
    <t>10100372</t>
  </si>
  <si>
    <t>1863146666</t>
  </si>
  <si>
    <t>95203652</t>
  </si>
  <si>
    <t>313167231</t>
  </si>
  <si>
    <t>1377697838</t>
  </si>
  <si>
    <t>2921275729</t>
  </si>
  <si>
    <t>216002023</t>
  </si>
  <si>
    <t>140945550</t>
  </si>
  <si>
    <t>716494420888006660</t>
  </si>
  <si>
    <t>118168138</t>
  </si>
  <si>
    <t>2291416165</t>
  </si>
  <si>
    <t>242740911</t>
  </si>
  <si>
    <t>56006076</t>
  </si>
  <si>
    <t>1354543874</t>
  </si>
  <si>
    <t>52878977</t>
  </si>
  <si>
    <t>948577506</t>
  </si>
  <si>
    <t>71276396</t>
  </si>
  <si>
    <t>300387684</t>
  </si>
  <si>
    <t>2765485068</t>
  </si>
  <si>
    <t>2792438832</t>
  </si>
  <si>
    <t>1615739409491718148</t>
  </si>
  <si>
    <t>406516188</t>
  </si>
  <si>
    <t>2421995742</t>
  </si>
  <si>
    <t>2632505285</t>
  </si>
  <si>
    <t>162737382</t>
  </si>
  <si>
    <t>172726318</t>
  </si>
  <si>
    <t>1365169770</t>
  </si>
  <si>
    <t>4562481318</t>
  </si>
  <si>
    <t>103435881</t>
  </si>
  <si>
    <t>109868594</t>
  </si>
  <si>
    <t>69217051</t>
  </si>
  <si>
    <t>2899903684</t>
  </si>
  <si>
    <t>192772352</t>
  </si>
  <si>
    <t>2508626119</t>
  </si>
  <si>
    <t>2831223118</t>
  </si>
  <si>
    <t>31125247</t>
  </si>
  <si>
    <t>161532559</t>
  </si>
  <si>
    <t>369471121</t>
  </si>
  <si>
    <t>121056946</t>
  </si>
  <si>
    <t>14464159</t>
  </si>
  <si>
    <t>806079840675708928</t>
  </si>
  <si>
    <t>1601240095192797185</t>
  </si>
  <si>
    <t>315255615</t>
  </si>
  <si>
    <t>192324060</t>
  </si>
  <si>
    <t>28178092</t>
  </si>
  <si>
    <t>21171105</t>
  </si>
  <si>
    <t>3092433987</t>
  </si>
  <si>
    <t>15854117</t>
  </si>
  <si>
    <t>180363125</t>
  </si>
  <si>
    <t>2569050765</t>
  </si>
  <si>
    <t>2411431393</t>
  </si>
  <si>
    <t>248192203</t>
  </si>
  <si>
    <t>106837463</t>
  </si>
  <si>
    <t>16913954</t>
  </si>
  <si>
    <t>1201391378074222592</t>
  </si>
  <si>
    <t>1196241773757992960</t>
  </si>
  <si>
    <t>972651</t>
  </si>
  <si>
    <t>84681197</t>
  </si>
  <si>
    <t>220412723</t>
  </si>
  <si>
    <t>92544900</t>
  </si>
  <si>
    <t>372536101</t>
  </si>
  <si>
    <t>2375574151</t>
  </si>
  <si>
    <t>150686538</t>
  </si>
  <si>
    <t>1092355808891875328</t>
  </si>
  <si>
    <t>706842521796632576</t>
  </si>
  <si>
    <t>10498942</t>
  </si>
  <si>
    <t>15338256</t>
  </si>
  <si>
    <t>13058772</t>
  </si>
  <si>
    <t>30018058</t>
  </si>
  <si>
    <t>1255525146833682433</t>
  </si>
  <si>
    <t>92247886</t>
  </si>
  <si>
    <t>3278888852</t>
  </si>
  <si>
    <t>89761384</t>
  </si>
  <si>
    <t>449669136</t>
  </si>
  <si>
    <t>1009599391</t>
  </si>
  <si>
    <t>1968746804</t>
  </si>
  <si>
    <t>544260479</t>
  </si>
  <si>
    <t>339473294</t>
  </si>
  <si>
    <t>2547109196</t>
  </si>
  <si>
    <t>1564623295</t>
  </si>
  <si>
    <t>32340428</t>
  </si>
  <si>
    <t>52114314</t>
  </si>
  <si>
    <t>15171716</t>
  </si>
  <si>
    <t>3127503050</t>
  </si>
  <si>
    <t>97307104</t>
  </si>
  <si>
    <t>2192102106</t>
  </si>
  <si>
    <t>80854249</t>
  </si>
  <si>
    <t>49634971</t>
  </si>
  <si>
    <t>2429718336</t>
  </si>
  <si>
    <t>31167477</t>
  </si>
  <si>
    <t>772247166</t>
  </si>
  <si>
    <t>46403338</t>
  </si>
  <si>
    <t>2151120626</t>
  </si>
  <si>
    <t>117767974</t>
  </si>
  <si>
    <t>78065283</t>
  </si>
  <si>
    <t>54612480</t>
  </si>
  <si>
    <t>3595788384</t>
  </si>
  <si>
    <t>1066793484</t>
  </si>
  <si>
    <t>411999422</t>
  </si>
  <si>
    <t>936242646779138048</t>
  </si>
  <si>
    <t>260591278</t>
  </si>
  <si>
    <t>938727653422505984</t>
  </si>
  <si>
    <t>264184368</t>
  </si>
  <si>
    <t>2917786541</t>
  </si>
  <si>
    <t>946954957</t>
  </si>
  <si>
    <t>32630040</t>
  </si>
  <si>
    <t>550733804</t>
  </si>
  <si>
    <t>2568495517</t>
  </si>
  <si>
    <t>68580526</t>
  </si>
  <si>
    <t>1945813453</t>
  </si>
  <si>
    <t>759053350432280576</t>
  </si>
  <si>
    <t>4662675315</t>
  </si>
  <si>
    <t>2247508505</t>
  </si>
  <si>
    <t>585752033</t>
  </si>
  <si>
    <t>1020932804</t>
  </si>
  <si>
    <t>135030410</t>
  </si>
  <si>
    <t>14116807</t>
  </si>
  <si>
    <t>3229576766</t>
  </si>
  <si>
    <t>243056487</t>
  </si>
  <si>
    <t>895937264</t>
  </si>
  <si>
    <t>3180433092</t>
  </si>
  <si>
    <t>314646020</t>
  </si>
  <si>
    <t>441970965</t>
  </si>
  <si>
    <t>166704598</t>
  </si>
  <si>
    <t>751895010</t>
  </si>
  <si>
    <t>71281607</t>
  </si>
  <si>
    <t>846430350</t>
  </si>
  <si>
    <t>151788054</t>
  </si>
  <si>
    <t>1651193642</t>
  </si>
  <si>
    <t>26956474</t>
  </si>
  <si>
    <t>297662286</t>
  </si>
  <si>
    <t>4307782523</t>
  </si>
  <si>
    <t>95379260</t>
  </si>
  <si>
    <t>164178163</t>
  </si>
  <si>
    <t>39226054</t>
  </si>
  <si>
    <t>185085429</t>
  </si>
  <si>
    <t>111569289</t>
  </si>
  <si>
    <t>777784058080178177</t>
  </si>
  <si>
    <t>866945913888972800</t>
  </si>
  <si>
    <t>16842439</t>
  </si>
  <si>
    <t>4887125172</t>
  </si>
  <si>
    <t>19003873</t>
  </si>
  <si>
    <t>2574963420</t>
  </si>
  <si>
    <t>1305040446108958728</t>
  </si>
  <si>
    <t>1902456546</t>
  </si>
  <si>
    <t>701642905471963136</t>
  </si>
  <si>
    <t>3167130283</t>
  </si>
  <si>
    <t>920365416</t>
  </si>
  <si>
    <t>146880482</t>
  </si>
  <si>
    <t>80239903</t>
  </si>
  <si>
    <t>253761297</t>
  </si>
  <si>
    <t>1585956012141514757</t>
  </si>
  <si>
    <t>379718466</t>
  </si>
  <si>
    <t>26110930</t>
  </si>
  <si>
    <t>548287703</t>
  </si>
  <si>
    <t>1248960811021881344</t>
  </si>
  <si>
    <t>546720037</t>
  </si>
  <si>
    <t>237788311</t>
  </si>
  <si>
    <t>3955124956</t>
  </si>
  <si>
    <t>368155591</t>
  </si>
  <si>
    <t>1089075913</t>
  </si>
  <si>
    <t>18461544</t>
  </si>
  <si>
    <t>3401908216</t>
  </si>
  <si>
    <t>366017383</t>
  </si>
  <si>
    <t>1465184376</t>
  </si>
  <si>
    <t>2435446556</t>
  </si>
  <si>
    <t>1320343104</t>
  </si>
  <si>
    <t>558940095</t>
  </si>
  <si>
    <t>89759989</t>
  </si>
  <si>
    <t>174626738</t>
  </si>
  <si>
    <t>3049813988</t>
  </si>
  <si>
    <t>2833476896</t>
  </si>
  <si>
    <t>3166933069</t>
  </si>
  <si>
    <t>493479758</t>
  </si>
  <si>
    <t>373883201</t>
  </si>
  <si>
    <t>966032504292626434</t>
  </si>
  <si>
    <t>526831151</t>
  </si>
  <si>
    <t>3881624774</t>
  </si>
  <si>
    <t>856448059647168512</t>
  </si>
  <si>
    <t>970389589</t>
  </si>
  <si>
    <t>970606182770585601</t>
  </si>
  <si>
    <t>837398583687118852</t>
  </si>
  <si>
    <t>976072480908546049</t>
  </si>
  <si>
    <t>4877647019</t>
  </si>
  <si>
    <t>2197326901</t>
  </si>
  <si>
    <t>997166028</t>
  </si>
  <si>
    <t>193782515</t>
  </si>
  <si>
    <t>16357285</t>
  </si>
  <si>
    <t>3013566597</t>
  </si>
  <si>
    <t>1471043924</t>
  </si>
  <si>
    <t>2577037710</t>
  </si>
  <si>
    <t>23128010</t>
  </si>
  <si>
    <t>115991458</t>
  </si>
  <si>
    <t>2802648367</t>
  </si>
  <si>
    <t>2970126215</t>
  </si>
  <si>
    <t>123227807</t>
  </si>
  <si>
    <t>97224682</t>
  </si>
  <si>
    <t>15588825</t>
  </si>
  <si>
    <t>3007133678</t>
  </si>
  <si>
    <t>3900808721</t>
  </si>
  <si>
    <t>2347548374</t>
  </si>
  <si>
    <t>2555190554</t>
  </si>
  <si>
    <t>2716868599</t>
  </si>
  <si>
    <t>1431967950</t>
  </si>
  <si>
    <t>1940230142</t>
  </si>
  <si>
    <t>3379407430</t>
  </si>
  <si>
    <t>4156887100</t>
  </si>
  <si>
    <t>316356602</t>
  </si>
  <si>
    <t>992691660</t>
  </si>
  <si>
    <t>17059769</t>
  </si>
  <si>
    <t>10228272</t>
  </si>
  <si>
    <t>946128462930202630</t>
  </si>
  <si>
    <t>44859671</t>
  </si>
  <si>
    <t>Hyderabad, Telangana, India</t>
  </si>
  <si>
    <t>Mumbai, India</t>
  </si>
  <si>
    <t>Bengaluru, Karnataka, India</t>
  </si>
  <si>
    <t>Rotterdam, Netherlands</t>
  </si>
  <si>
    <t>Southeast Asia</t>
  </si>
  <si>
    <t>London, England</t>
  </si>
  <si>
    <t>he/him</t>
  </si>
  <si>
    <t>Los Angeles, CA</t>
  </si>
  <si>
    <t>Seattle</t>
  </si>
  <si>
    <t>Calgary, Alberta</t>
  </si>
  <si>
    <t>Idaho, USA</t>
  </si>
  <si>
    <t>England, United Kingdom</t>
  </si>
  <si>
    <t>London, UK</t>
  </si>
  <si>
    <t>Israel</t>
  </si>
  <si>
    <t>Global</t>
  </si>
  <si>
    <t>New Delhi, India</t>
  </si>
  <si>
    <t>Raleigh/Durham</t>
  </si>
  <si>
    <t>Cleveland, OH</t>
  </si>
  <si>
    <t>probably my mancave</t>
  </si>
  <si>
    <t>United States</t>
  </si>
  <si>
    <t>San Jose, CA</t>
  </si>
  <si>
    <t xml:space="preserve">she ⌗ 18 </t>
  </si>
  <si>
    <t>Richmond Hill, GA</t>
  </si>
  <si>
    <t>Barcelona, Spain</t>
  </si>
  <si>
    <t>Los Angeles</t>
  </si>
  <si>
    <t>Melbourne Australia</t>
  </si>
  <si>
    <t xml:space="preserve">London </t>
  </si>
  <si>
    <t>Marseille, France</t>
  </si>
  <si>
    <t>Babcock Ranch, FL</t>
  </si>
  <si>
    <t>Bhongir,Yadadri,Telangana</t>
  </si>
  <si>
    <t>VIJAYAWADA</t>
  </si>
  <si>
    <t>Lincoln, Lincolnshire</t>
  </si>
  <si>
    <t>Fort Worth, TX</t>
  </si>
  <si>
    <t>NYC | LA | PHX | PDX | MIDWEST</t>
  </si>
  <si>
    <t>Palm City Fl</t>
  </si>
  <si>
    <t>Tanganyika |A-Town |Sokoni one</t>
  </si>
  <si>
    <t>London</t>
  </si>
  <si>
    <t>Virginia, United States</t>
  </si>
  <si>
    <t>Chicago, IL</t>
  </si>
  <si>
    <t>Gawgia</t>
  </si>
  <si>
    <t>North York, Ontario</t>
  </si>
  <si>
    <t>Ukraine</t>
  </si>
  <si>
    <t>Herford, Germany</t>
  </si>
  <si>
    <t>Austin,TX / Guadalajara, MX</t>
  </si>
  <si>
    <t>Lahore, Pk</t>
  </si>
  <si>
    <t>Ahmedabad, India</t>
  </si>
  <si>
    <t xml:space="preserve">Nashville, TN </t>
  </si>
  <si>
    <t>Bangalore &amp; Kolkata</t>
  </si>
  <si>
    <t>New York, Chicago</t>
  </si>
  <si>
    <t>Newburyport, MA</t>
  </si>
  <si>
    <t>Coral Gables, FL</t>
  </si>
  <si>
    <t>bangalore</t>
  </si>
  <si>
    <t>Bharat</t>
  </si>
  <si>
    <t>Your Mom</t>
  </si>
  <si>
    <t>_xD83D__xDD25_Hot A$S South GA</t>
  </si>
  <si>
    <t>Heaven</t>
  </si>
  <si>
    <t>The memosphere</t>
  </si>
  <si>
    <t>Tremonton, UT</t>
  </si>
  <si>
    <t>the moon</t>
  </si>
  <si>
    <t>Pune, India</t>
  </si>
  <si>
    <t>Liverpool, England</t>
  </si>
  <si>
    <t>Mumbai</t>
  </si>
  <si>
    <t>UK</t>
  </si>
  <si>
    <t>Walnut Creek, CA</t>
  </si>
  <si>
    <t>London, Ontario</t>
  </si>
  <si>
    <t>Dakota Land</t>
  </si>
  <si>
    <t>Brazil</t>
  </si>
  <si>
    <t>San Francisco, CA</t>
  </si>
  <si>
    <t>Atlanta, GA</t>
  </si>
  <si>
    <t>California, USA</t>
  </si>
  <si>
    <t>Schaumburg, IL</t>
  </si>
  <si>
    <t>Portland-ish</t>
  </si>
  <si>
    <t>Create Yourself _xD83D__xDC49_</t>
  </si>
  <si>
    <t>Founder →</t>
  </si>
  <si>
    <t>brooklyn</t>
  </si>
  <si>
    <t xml:space="preserve">Hyderabad, Telangana, India. </t>
  </si>
  <si>
    <t>Costa Rica</t>
  </si>
  <si>
    <t>California</t>
  </si>
  <si>
    <t>Washington, DC</t>
  </si>
  <si>
    <t>Washington DC</t>
  </si>
  <si>
    <t>Washington, D.C.</t>
  </si>
  <si>
    <t>Hyderabad, Telangana India</t>
  </si>
  <si>
    <t>Get Smarter in AI ➡️</t>
  </si>
  <si>
    <t>8 ways I can help you ➜</t>
  </si>
  <si>
    <t>New York, NY</t>
  </si>
  <si>
    <t>Sunnyvale, CA</t>
  </si>
  <si>
    <t>Parkal, Hanumakonda.</t>
  </si>
  <si>
    <t>_xD835__xDD4F_Ð</t>
  </si>
  <si>
    <t>505 Thornall St #301, Edison, NJ 08837, USA</t>
  </si>
  <si>
    <t>INDIA</t>
  </si>
  <si>
    <t>Bay Area | Austin | BKNY | UK</t>
  </si>
  <si>
    <t>Kentucky</t>
  </si>
  <si>
    <t>Darmstadt, HE Germany</t>
  </si>
  <si>
    <t>Kerala, India</t>
  </si>
  <si>
    <t>Kentucky, USA</t>
  </si>
  <si>
    <t>Noida, India</t>
  </si>
  <si>
    <t>Chicago • Charlotte</t>
  </si>
  <si>
    <t>West Palm Beach, FL</t>
  </si>
  <si>
    <t>Culver City, CA</t>
  </si>
  <si>
    <t>Downers Grove, IL</t>
  </si>
  <si>
    <t xml:space="preserve">Hyderabad </t>
  </si>
  <si>
    <t>Sialkot. , Pakistan</t>
  </si>
  <si>
    <t>_xD83C__xDF0D_</t>
  </si>
  <si>
    <t>Photoshop</t>
  </si>
  <si>
    <t>Western Australia, Australia</t>
  </si>
  <si>
    <t>A Nigette Runs This Account</t>
  </si>
  <si>
    <t>Ajman, United Arab Emirates</t>
  </si>
  <si>
    <t>Hampshire, UK</t>
  </si>
  <si>
    <t>Atlanta</t>
  </si>
  <si>
    <t>Auckland, New Zealand</t>
  </si>
  <si>
    <t>Amsterdam</t>
  </si>
  <si>
    <t>Germany</t>
  </si>
  <si>
    <t>where you want 2 be....PG//DC</t>
  </si>
  <si>
    <t>Philadelphia, PA</t>
  </si>
  <si>
    <t>Highland Beach, FL</t>
  </si>
  <si>
    <t>Concord, NH</t>
  </si>
  <si>
    <t>North Carolina, USA</t>
  </si>
  <si>
    <t>Modern Webz, Tosham, Haryana, India</t>
  </si>
  <si>
    <t>International</t>
  </si>
  <si>
    <t>ariana follows</t>
  </si>
  <si>
    <t>Vizag</t>
  </si>
  <si>
    <t>Palo Alto, CA</t>
  </si>
  <si>
    <t>Orlando, FL</t>
  </si>
  <si>
    <t>Worldwide</t>
  </si>
  <si>
    <t>New Delhi</t>
  </si>
  <si>
    <t>Arlington TX</t>
  </si>
  <si>
    <t>Chilliwack, BC</t>
  </si>
  <si>
    <t>Durban, South Africa</t>
  </si>
  <si>
    <t>thunderdome</t>
  </si>
  <si>
    <t>Bikaner</t>
  </si>
  <si>
    <t>Dehradun, India</t>
  </si>
  <si>
    <t>India | UK | USA | Singapore</t>
  </si>
  <si>
    <t>Silicon Valley</t>
  </si>
  <si>
    <t>Phoenix, AZ</t>
  </si>
  <si>
    <t>India | USA | Australia | UAE</t>
  </si>
  <si>
    <t>Kolkata, India</t>
  </si>
  <si>
    <t>Atlanta GA, United States</t>
  </si>
  <si>
    <t>Smithtown, NY</t>
  </si>
  <si>
    <t>Delhi, India</t>
  </si>
  <si>
    <t>San Diego, CA</t>
  </si>
  <si>
    <t>Boston, MA</t>
  </si>
  <si>
    <t>Hyères, France</t>
  </si>
  <si>
    <t>Vanves</t>
  </si>
  <si>
    <t>Paris, France</t>
  </si>
  <si>
    <t>Pau, France</t>
  </si>
  <si>
    <t>Paris</t>
  </si>
  <si>
    <t>Barcelona, Catalunya</t>
  </si>
  <si>
    <t>World Wide Web</t>
  </si>
  <si>
    <t>Manchester</t>
  </si>
  <si>
    <t>The Netherlands</t>
  </si>
  <si>
    <t>Toronto, Ontario</t>
  </si>
  <si>
    <t>Viana do Castelo, Portugal</t>
  </si>
  <si>
    <t>Hyderabad(Ind) &amp; Cambridge(UK)</t>
  </si>
  <si>
    <t>Tamil Nadu, India</t>
  </si>
  <si>
    <t>Drôme-Ardèche</t>
  </si>
  <si>
    <t>Montélimar, France</t>
  </si>
  <si>
    <t>Chasselay, France</t>
  </si>
  <si>
    <t>Grignan</t>
  </si>
  <si>
    <t>Rhône-Alpes, France</t>
  </si>
  <si>
    <t>Bourg-lès-Valence, France</t>
  </si>
  <si>
    <t>Lyon_moins_le_quart</t>
  </si>
  <si>
    <t>Montélimar</t>
  </si>
  <si>
    <t>Coronado, California, USA</t>
  </si>
  <si>
    <t>Panama</t>
  </si>
  <si>
    <t>Baltimore, Md</t>
  </si>
  <si>
    <t>Levelland, Texas 79336</t>
  </si>
  <si>
    <t>Brasil</t>
  </si>
  <si>
    <t>New Delhi, South Asia</t>
  </si>
  <si>
    <t>Smells Like Rain</t>
  </si>
  <si>
    <t>Long Beach, CA</t>
  </si>
  <si>
    <t>Berlin, Germany</t>
  </si>
  <si>
    <t>San Antonio, TX</t>
  </si>
  <si>
    <t>Grenada</t>
  </si>
  <si>
    <t>Siracusa, Sicilia</t>
  </si>
  <si>
    <t>Wisconsin, USA</t>
  </si>
  <si>
    <t>Wrexham, Wales</t>
  </si>
  <si>
    <t>(617) + (313)</t>
  </si>
  <si>
    <t>San Bruno, CA</t>
  </si>
  <si>
    <t>#inovies: Your #digitalmarketingagency Contact for #SEO, #SMO, #SMM, #WebDesign #digitalmarketing #WebDevelopment and #EcommerceDevelopment in #Hyderabad</t>
  </si>
  <si>
    <t>webanalytics, web metrics, website statistics, tracking, SEO</t>
  </si>
  <si>
    <t>Taurean-dog person-nature lover-strong headed-loyal friend.❤</t>
  </si>
  <si>
    <t>Official Twitter account of Greater Hyderabad Municipal Corporation (#GHMC), #Hyderabad #Telangana</t>
  </si>
  <si>
    <t>self made business 
proddatur</t>
  </si>
  <si>
    <t>Marketing Director | Marketing Communications | B2B | Technology | Social Media Citizen of the world and a passion for connecting people across the globe</t>
  </si>
  <si>
    <t>Executive #recruitment specialists in consumer goods, industry, professional, technology and health sectors in South-East Asia and China</t>
  </si>
  <si>
    <t>Jobsplane is a complete job portal which gives information about the latest Jobs &amp; Internships in the market.</t>
  </si>
  <si>
    <t>Freelance 2D animator|| Illustrator|| Children's book illustrator|| ex-bookseller ||Created to create. OPEN FOR COMMISSIONS</t>
  </si>
  <si>
    <t>Looking for something?</t>
  </si>
  <si>
    <t>You know who I am.</t>
  </si>
  <si>
    <t>Movies, Oscars, Emmys more on https://t.co/kSIvLUh6nB. Insta: @gregoryellwood Bylines: LA Times, Variety, THR, Vox, HitFix</t>
  </si>
  <si>
    <t>My novel Hockeywood is available now! Physical copies of Hockeywood at https://t.co/HVwqctcgQX; e-book available on Amazon #LAKings #standwithukraine</t>
  </si>
  <si>
    <t>SJW, a pejorative term + meme mostly used for individuals who promote socially progressive left-wing + liberal views ALSO comics wrestling  horror UFOs music _xD83E__xDD84_</t>
  </si>
  <si>
    <t>AWS and GCP Architect. 
interested in Infra projects. A Foodie.
Bhakth always better than a SLAVE.</t>
  </si>
  <si>
    <t>MLA of Anushakti Nagar (Mumbai) - 5th Term |</t>
  </si>
  <si>
    <t>Successfully recruiting permanent, temporary &amp; contract staff since 1989 in Bedford, Milton Keynes, Biggleswade, Huntingdon &amp; beyond</t>
  </si>
  <si>
    <t>The online money making and saving blog #financialrelease</t>
  </si>
  <si>
    <t>Accenture UKI | HR | Talent | Leadership | Culture | Engagement | Diversity | Learning | Wellbeing. Most views plagiarised; remainder my own.</t>
  </si>
  <si>
    <t>Empowering YOU to Design YOUR Future ♡. Here's to your success! #ixd #ux #design All #uxjobs from India, Middle East &amp; African regions - Created by: @IA_UXJOBS</t>
  </si>
  <si>
    <t>The award for WEB GURUS on Design, Development, Creativity and Innovation.</t>
  </si>
  <si>
    <t>We're an AI-driven, browser test automation platform leading the charge of no-code testing! #QualityFirst #ShipHappensFaster</t>
  </si>
  <si>
    <t>#Webpage development, #socialmedia engagement, #seo content, #ecommerce solutions, #affiliate management. #WPL _xD83D__xDDA5_️_xD83D__xDCBB__xD83D__xDCF1__xD83D__xDD0E__xD83D__xDCC8__xD83D__xDCCA__xD83D__xDED2_ #wordpress, #drupal, #magento, #joomla</t>
  </si>
  <si>
    <t>Design Brand India, is a professional #webdevelopmentcompany,we have experienced in #CustomWebDesigning and #WebDevelopment, #CMSWebsiteDevelopment</t>
  </si>
  <si>
    <t>Graphic and Web Design Company specializing in Custom Wordpress design services as well as  Search Engine Optimization, Copywriting and Conversion Optimization.</t>
  </si>
  <si>
    <t>Cavs-Buckeyes-Browns-Guardos.
Tequila. Crush College Football and Basketball yearly. 
Cash App-$racjac0423 
Zelle-DM for #</t>
  </si>
  <si>
    <t>Formerly: ESPN, iHeart, B/R, and Barstool • Currently: Trying to figuring out what to eat • Host of the Pound Town Podcast</t>
  </si>
  <si>
    <t>hey everyone my name is John Connor welcome to my Twitter which is also the Twitter for my YouTube account which is my only account for twitter @connor182010</t>
  </si>
  <si>
    <t>Housewifey❤️ https://t.co/Dm9RhtmcFM</t>
  </si>
  <si>
    <t>Free + easy email reminders. Try it out by sending an email to 1min@followupthen.com.
Most tweets by 
^rs – Reilly Sweetland @rsweetland _xD83D__xDC4B_ (Founder)</t>
  </si>
  <si>
    <t>#YUNHO: deja de llorar x mi imbecil | #WEME #CIX #ATEEZ #DPR #SOMI #ITZY</t>
  </si>
  <si>
    <t>nada q destacar</t>
  </si>
  <si>
    <t>take you like my last breath @BTS_twt</t>
  </si>
  <si>
    <t>My #seoservices process involves technical site audits, thorough keyword research, deep competitive analysis and authoritative link building.</t>
  </si>
  <si>
    <t>SEO Analyst</t>
  </si>
  <si>
    <t>Results-driven enthusiast | Designing content solutions for global brands | SVP @Transperfect |#G11N |#L10N | #medialoc | #gameloc |Supporting charitable causes</t>
  </si>
  <si>
    <t>Audio Leader | Sound Designer | Dialog Specialist | Purveyor of Sonic Wizardry</t>
  </si>
  <si>
    <t>Proud Father _xD83D__xDC68_‍_xD83D__xDC66_‍_xD83D__xDC66_ Business Owner _xD83D__xDCC8_ Property Developer - @southbrookgroup  Commercial Finance - @catorwells</t>
  </si>
  <si>
    <t>Positive Change, Transformation and Design of Modern Working in Disruptive Times. Thought Leader, Consultant, KeyNote Speaker and Facilitator</t>
  </si>
  <si>
    <t>Online #Marketing, Organic #SEO experts, Content Specialists, Content Strategy, Technical SEO, Social Media, Paid Search (PPC), Estate Agents to PLC SEO</t>
  </si>
  <si>
    <t>Digital Transformation Consulting 
#AI #MachineLearning #DeepLearning 
#DataScience #AIEthics
#EdgeComputing #Fintech
#DigitalMarketing</t>
  </si>
  <si>
    <t>Social Media &amp; Tech Enthusiastic | Passionate about SEO | Digital Marketer @acecloudhosting | Owner @infopixi | Listen to my song - https://t.co/48eYQr2wZi</t>
  </si>
  <si>
    <t>The global thought leader in customer-centric business management.</t>
  </si>
  <si>
    <t>Warrior for Christ Father of 3 young men,  Freedom Fighter #MAGA #patriot</t>
  </si>
  <si>
    <t>Software Developer at ITP Software</t>
  </si>
  <si>
    <t>Gadgets and Tutorials for Blogger!</t>
  </si>
  <si>
    <t>digital marketing</t>
  </si>
  <si>
    <t>B2B Reviews &amp; Ratings you can trust</t>
  </si>
  <si>
    <t>A Simple Man</t>
  </si>
  <si>
    <t>Independent Publishing &amp; Online Marketing. We also love great conversation and a nice glass of wine!</t>
  </si>
  <si>
    <t>_xD835__xDC01__xD835__xDC1E__xD835__xDC1E__xD835__xDC2B_ &amp; _xD835__xDC1B__xD835__xDC1A__xD835__xDC1C__xD835__xDC28__xD835__xDC27_ _xD835__xDC1A__xD835__xDC27__xD835__xDC1A__xD835__xDC25__xD835__xDC32__xD835__xDC2C__xD835__xDC2D_ _xD83C__xDF1F_❤️️#Marines _xD83C__xDF1F_ aka クリス  or Tink _xD83C__xDF1F_Digital Cheerleader _xD83C__xDF1F_ #CMGR + #SMM w/ @jaybaer's team @convince _xD83C__xDF1F_ Loving life in #DFW</t>
  </si>
  <si>
    <t>Digital marketing, cx consulting for the world's most important brands | #1 Content Marketing Blog &amp; Social Media Podcast Series: https://t.co/qjAhBBBFsM</t>
  </si>
  <si>
    <t>Opportunity,sofware,product, &amp; programs</t>
  </si>
  <si>
    <t>In perfect world everyone is blind | @ManUtd |@realmadriden | @blackYellow |@inter_en | @yangasc1935 |Spooky place...</t>
  </si>
  <si>
    <t>Which Web Design Company is dedicated to building the brand reputation of web design companies. Over 11,000 reviews and ratings have been given by clients.</t>
  </si>
  <si>
    <t>Yadh bhavam tadh bhavathi</t>
  </si>
  <si>
    <t>I met you dancing on asphalt. ♌️ ♌️♐️ - Portrait Artist. Harlem Country Girl. Mama. AL/NY.</t>
  </si>
  <si>
    <t>If anything ends that is to have a new beginning.</t>
  </si>
  <si>
    <t>Providing local SEO services to small and medium sized businesses in North York Ontario Canada to help them better serve their customers.</t>
  </si>
  <si>
    <t>https://t.co/hh7FwtO8h3 is an encyclopedic website that lists the most impeccable mobile app and web development companies around the world.</t>
  </si>
  <si>
    <t>Quovantis is now an Emids company. We deliver tech solutions that help payers, providers and tech-enablers maximize technology to deliver care better.</t>
  </si>
  <si>
    <t>Software development agency - Trusted technology partner for over 170 businesses worldwide</t>
  </si>
  <si>
    <t>_xD83D__xDCA1_IntexSoft is not just a company, but a Team of passionate pros delivering end-to-end #software solutions for businesses and IT companies.</t>
  </si>
  <si>
    <t>Welcome to the official account of Improving Mexico, your gateway to #Digital Innovation powered by our cutting-edge #NearshoreModel. Stay connected with us!</t>
  </si>
  <si>
    <t>With global outreach, Star Knowledge partners with enterprises to develop cost effective ground breaking technology solutions that make a positive impact !!</t>
  </si>
  <si>
    <t>Drupal &amp; Ruby on Rails Development on Steroids!</t>
  </si>
  <si>
    <t>Digit Bazar is an IT company which focuses on #Digitalmarketing, #WebDevelopment and #MobileApplication Development services to the clients across the globe</t>
  </si>
  <si>
    <t>We at Nichetech Solutions have a higher understanding of software development processes and Niche Technology for business intelligence</t>
  </si>
  <si>
    <t>A part of PointClear Solutions and an award-winning software consulting company specializing in digital strategy, design, development, and management.</t>
  </si>
  <si>
    <t>GoodWorkLabs is a new-age boutique software lab that delivers cutting-edge products and solutions for customers globally. Mobile apps, games, software &amp; web.</t>
  </si>
  <si>
    <t>Dom &amp; Tom is a product agency that helps Fortune 500 companies and next generation startups build the future of digital.</t>
  </si>
  <si>
    <t>Boston-based agency focused on creating beautiful apps for Mobile, Voice and the Web. 
Follow us @deptagency to see what we've been working on.</t>
  </si>
  <si>
    <t>Top rated App Developer, Technology Studio &amp; Digital Agency Located in the Heart of Miami. _xD83C__xDF34_☀️</t>
  </si>
  <si>
    <t>i am a career counselor.</t>
  </si>
  <si>
    <t>Biggest micro penis this side the Hudson. 
 he/him 22</t>
  </si>
  <si>
    <t>The experience, skills, &amp; slide management tools to help you put your best slide forward. Especially for complex scientific, medical, &amp; regulatory presentations</t>
  </si>
  <si>
    <t>Proud Bharatiya - proud Sikh | IIT-B alumnus | Change agent | Humanity first |
For growth, step outside comfort zone!</t>
  </si>
  <si>
    <t>Stop Motion animator. Official Transformers Nostradamus. She/Her. Optimus Prime VA.</t>
  </si>
  <si>
    <t>Delightfully Devilish Seymour!</t>
  </si>
  <si>
    <t>I’m waiting on gta 6 _xD83E__xDD23_</t>
  </si>
  <si>
    <t>#TeamFollowBack #Spelhouse16 #AUC16 #Spelman16</t>
  </si>
  <si>
    <t>Job Portal for Freshers &amp; Experienced - Since 2001</t>
  </si>
  <si>
    <t>_xD83C__xDF10__xD83D__xDCBB__xD83D__xDCF1__xD83D__xDDA5_️_xD83D__xDD0D__xD83D__xDCC8__xD83D__xDCCA_</t>
  </si>
  <si>
    <t>Kricket, in the thang_xD83D__xDE1C_~Mama to 3 lil' ladies~❤ATL Falcons #DBN~Some1's Some1~songbird~Down With G.O.D~</t>
  </si>
  <si>
    <t>Welcome to the official Twitter channel for Walmart Family Mobile!  We hope to inspire you to save money, and live better!</t>
  </si>
  <si>
    <t>India Recruitment Job – A place of India Recruitment and Jobs in various sectors and branches.</t>
  </si>
  <si>
    <t>DNL Beats. (Producer/Beatmaker) Contact for beats: DNLvdBeats@gmail.com</t>
  </si>
  <si>
    <t>Digital Strategist with @higherlogic. #boymom #twinmom. Fueled by caffeine and concealer.</t>
  </si>
  <si>
    <t>Ridin' the vibes
_xD83C__xDDEE__xD83C__xDDF1_</t>
  </si>
  <si>
    <t>My life is mostly swimming, superheroes, and movies. 
_xD83C__xDFCA_‍♂️     _xD83E__xDDB8_‍♂️     _xD83C__xDFAC_
Mosiah 4:9-12
https://t.co/0kXJlTGzIe</t>
  </si>
  <si>
    <t>Photographer / Videographer / Gamer</t>
  </si>
  <si>
    <t>Follow us to get tips on Blogging, SEO, Affiliate Marketing and learn to optimize and monetize your website.</t>
  </si>
  <si>
    <t>SEO ANALYST</t>
  </si>
  <si>
    <t>Tamhane Clinic is a Day Care clinic offering GP, Ayurveda, Homeopathy treatment; is located at Kunjirwadi along Pune Solapur Highway 14 kilometres from Hadapsar</t>
  </si>
  <si>
    <t>#WebDesigners #Ghostwriters #Content Developers, K-Web Social #PinterestSpecialists. Top 100 Network Marketing Blogs https://t.co/yqMIkdDIXA</t>
  </si>
  <si>
    <t>A Doctor and a Website creator with earning from Google AdSense and treatment of Patients with Homoeopathy and Clinic at Kunjirwadi, Pune</t>
  </si>
  <si>
    <t>SoftwareFindr is an open platform that helps business owners - https://t.co/6QDU4jeYR4</t>
  </si>
  <si>
    <t>Author of Crushing LinkedIn and Keep them coming. Sales and digitalmarketing expert. Helping others grow.</t>
  </si>
  <si>
    <t>Former #CoFounder at @vulpineinteract + #DemandGeneration #Director @HearstBayArea. Current #HeadofContent @Unit21Inc. #INFJ</t>
  </si>
  <si>
    <t>Community for #buildinpublic #startups and #bootstrapping #entrepreneurs • Join us on Discord: https://t.co/Hbs0qEcbxV</t>
  </si>
  <si>
    <t>All Engineering jobs and Manufacturing jobs in India.</t>
  </si>
  <si>
    <t>He/Him. Creator of Step Back, and Co-Host of @probsnotaliens. MAs in American cultural studies, and US history. Married to @kbarne2 and my son's lame dad</t>
  </si>
  <si>
    <t>Commissioner, Greater Hyderabad Municipal Corporation</t>
  </si>
  <si>
    <t>The personal twitter handle of KTR has changed from @KTRTRS to @KTRBRS..</t>
  </si>
  <si>
    <t>Unemployed Atheist, hoping for a better future.  Fuck 12.</t>
  </si>
  <si>
    <t>Designer, numa fase twiteira @azde.sign da uma olhada nos meus desenhos. ✨✨</t>
  </si>
  <si>
    <t>Comediante, ator..insta @fabiorabin https://t.co/9BYMyJ3CJq… shows: contato@alfproducoes.com.br cinema: cica@quattroagentes.com.br</t>
  </si>
  <si>
    <t>Patriotismo sempre</t>
  </si>
  <si>
    <t>#Ruby and #Rails experts.We develop and #design amazing web, #mobile, #SaaS and #ecommerce solutions. New Video HERE: https://t.co/NE8E1rsE50</t>
  </si>
  <si>
    <t>Professional Speaker | Internal Communication Strategist | Making sense of complex communication challenges within leadership and teams.</t>
  </si>
  <si>
    <t>I Help #entrepreneurs &amp; #marketers Put Their Marketing Dollars to Work and See Measurable Results! Keep and grow #Customers with advanced #OnlineMarketing</t>
  </si>
  <si>
    <t>Ready to have a super-lean payments business? Being lean is a sign of a healthy and successful business. Let us know about your favorite #IRIS_CRM features!_xD83D__xDE09__xD83D__xDC95_</t>
  </si>
  <si>
    <t>She/Her/Dude. #ADHD, #ActuallyAutistic, demisexual &amp; demiromantic.
Still yelling about COVID. Listen to disabled people.
pfp: @alohasushicore</t>
  </si>
  <si>
    <t>A safer place to feel inspired? It’s possible.</t>
  </si>
  <si>
    <t>Create yourself and stop living on autopilot.</t>
  </si>
  <si>
    <t>Journalist with @lokmat</t>
  </si>
  <si>
    <t>Investing millions in Main Street businesses &amp; teaching you how to own the rest | HoldCo + VC Fund | My bio, not my tombstone, I hope it changes</t>
  </si>
  <si>
    <t>@pixiechess jqh@paradigm.xyz</t>
  </si>
  <si>
    <t>Official Twitter handle of the Telangana State Police. Join Us for Right Information at Telegram Channel : https://t.co/Pkmv02sMhH</t>
  </si>
  <si>
    <t>_xD83D__xDCF0_ Authentic source for breaking news, in-depth analysis, and updates on all things related to India _xD83C__xDDEE__xD83C__xDDF3_ #Stayinformed  #News #IndiaUpdates</t>
  </si>
  <si>
    <t>owner of my mind, and helping soul! sin errores no hay derrotas, sin derrotas no se aprende, si no aprendes seras siempre un perdedor; Así q aprende.</t>
  </si>
  <si>
    <t>Mashable is for superfans. We're not for the casually curious. Obsess with us.</t>
  </si>
  <si>
    <t>Bringing you information on web development tools, news and companies.</t>
  </si>
  <si>
    <t>Digital Creator | AI Enthusiast | Sharing Insights on AI, No-Code Tools, Online Business &amp; Productivity• DM For Collab _xD83D__xDE80_</t>
  </si>
  <si>
    <t>National Security &amp; Justice Reporter @CNN. Proud husband of @ValentineNews_ Tips to zachary.cohen@cnn.com or zcohen12@protonmail.com.</t>
  </si>
  <si>
    <t>CNN Senior Justice Correspondent - covering law enforcement, cyber, national security. _xD83C__xDDE7__xD83C__xDDFF__xD83C__xDDFA__xD83C__xDDF8_</t>
  </si>
  <si>
    <t>@CNN reporter covering the Pentagon and national security. @natashabertrand on Threads. natasha.bertrand@cnn.com. DM for Signal.</t>
  </si>
  <si>
    <t>Intelligence and national security for @CNN. Former @thehill, @defenseone. Likes = bookmarks. DM for secure contact info.</t>
  </si>
  <si>
    <t>Reporter @CNN. Former @politico, @thehill, @startribune. Bay Area native. jeremy.herb@cnn.com/ jeremy.herb@protonmail.com. DM for Signal.</t>
  </si>
  <si>
    <t>Sharing insights on AI, Tools &amp; Prompts • Guiding people to leverage on AI content in a productive manner • DM for collaboration _xD83D__xDCE9_</t>
  </si>
  <si>
    <t>A curated showcase of web design inspiration with a less-is-more bent. Curated by @dominicwhittle &amp; @guvnor_co</t>
  </si>
  <si>
    <t>Deputy Chief Minister - Telangana</t>
  </si>
  <si>
    <t>Chief Minister of Telangana, President,PCC, Telangana</t>
  </si>
  <si>
    <t>Making AI do my chores &amp; pay my bills | Teaching others the art of tech laziness | I talk about Tech, AI &amp; No-Code Tools | DM for Collaboration ✉️</t>
  </si>
  <si>
    <t>In my 5 years of SEO experience, I've already helped a total of 150 people achieve 536M+ traffic impressions and $132M+ revenue...</t>
  </si>
  <si>
    <t>Prof of Advanced Media in Residence, Newhouse School, Syracuse University | CEO The Palmer Group | #ai #web3</t>
  </si>
  <si>
    <t>YourStory: the story of our bold new India.
Follow @YSEcosystem, @TheCaptableCo, @YourStory_LIFE, @YSGulf, @YSBrandsOfIndia &amp; @DecryptingStory for more.</t>
  </si>
  <si>
    <t>Welcome to a world of career opportunities, advice, inspiration and community. #FindYourIn | Support → @LinkedInHelp</t>
  </si>
  <si>
    <t>Dial 100 in Emergency, for you... with you... always..</t>
  </si>
  <si>
    <t>Championing possibilities for all. Need help? Tweet us @AskPayPal</t>
  </si>
  <si>
    <t>A forum to spread Ambedkarism internationally | Buddhist | Clutch the Power, Crush the Caste | Founded by @SurajKrBauddh</t>
  </si>
  <si>
    <t>I shall be honest and hard work</t>
  </si>
  <si>
    <t>@Swaerossu State President Telangana
Swaero Students Union.</t>
  </si>
  <si>
    <t>I am create future genarations...</t>
  </si>
  <si>
    <t>IPS Officer &amp; satirical writer. Advocating tech governance &amp; Dalit self-rule. Committed to justice, equality, dignity. Ambedkarite at heart</t>
  </si>
  <si>
    <t>NEW DALIT.</t>
  </si>
  <si>
    <t>Elsewhere. #fucknazis</t>
  </si>
  <si>
    <t>Founder of @NPDigital. New York Times bestselling author, Forbes top 10 marketer, and creator of 1 of the 100 most brilliant companies by Entrepreneur Magazine.</t>
  </si>
  <si>
    <t>World-Class Speakers. Tactical Takeaways. Great Networking. #growthmarketingconf _xD83D__xDE80__xD83D__xDCC8__xD83C__xDF7A_  Register today:</t>
  </si>
  <si>
    <t>Journalist | Film Critic: @CriticsChoice | Podcast Host: @CinemaDebate | @Columbia Graduate | Opinions are strictly my own | F_xD83D__xDC8D_</t>
  </si>
  <si>
    <t>Find the best development company
Explore the top development company for #MobileApps, Web app, Blockchain, Chatbot, Game app, Voice app &amp; hire the best company</t>
  </si>
  <si>
    <t>ColourMoon is One Stop Solution For #WebDesign &amp; #MobileApps #GameDevelopment #DigitalMarketing Services, since 2008</t>
  </si>
  <si>
    <t>Switch is a fast-growing smart phone app company that is working on the next generation of product ideas to App-enable people’s lives.</t>
  </si>
  <si>
    <t>Tvisha is to provide its sophisticated solutions to achieve new frontiers in infrastructure mgmt, #Mobileappdevelopmentcompany and maintenance services</t>
  </si>
  <si>
    <t>A Diversified Web Development and Cloud Management Company offering Technology Consulting and Outsourced Software Development to the Tech Industry worldwide.</t>
  </si>
  <si>
    <t>Nethues Technologies is an award-winning outsourcing Web &amp; App Development company, serving since 2001. Info@nethues.com</t>
  </si>
  <si>
    <t>INDBC Classifieds is a web service offering Free Online Classified Ads using which you can post free ads related to your business, product or service in India.</t>
  </si>
  <si>
    <t>Gallery of the best code snippets for bootstrap</t>
  </si>
  <si>
    <t>Movies •|• Series •|• anime •|• @ManCity</t>
  </si>
  <si>
    <t>Volunteer curation by a group of UX’ers since 2009 // We Live TO BOOST your Jobs,Portfolios &amp; Good News "@ us" // https://t.co/TZRP0mkcbb // #uxjobs #UX #UXD #Design</t>
  </si>
  <si>
    <t>Truth ..no one can hide..</t>
  </si>
  <si>
    <t>Journalist. Global Opinions at @Washingtonpost . Words in The New Yorker, TIME, NYT, Guardian, Atlantic, FP. Author of Gujarat Files. Pritzker Fellow 22</t>
  </si>
  <si>
    <t>Artist, parent, nerd, gamer.  (nb, she/him/they | 42) #humanartist |
Comms open | newbabyfly@gmail.com</t>
  </si>
  <si>
    <t>Digital Business Evangelist | Fitness Coach | Burger Addicted  _xD83C__xDF54_
Mantra: Empower People Digitally</t>
  </si>
  <si>
    <t>To Educate To Agitate To Associate #AIMSRIKAKULAM</t>
  </si>
  <si>
    <t>India's leading film production, distribution, and film festival consultancy firm.</t>
  </si>
  <si>
    <t>Life Coach: #coachinginwonderland #peersupport 
Public Speaker &amp; Podcast Host: #mentalhealth #digitalmarketing #suicideprevention #mentalhealthmarketing</t>
  </si>
  <si>
    <t>Ethane Web Technologies Pvt Ltd is a trusted digital marketing agency providing data-driven and ROI-focused solutions to businesses.</t>
  </si>
  <si>
    <t>Digital marketing agency based in Chicago. Masters of #SEO, #PPC, and #TGIF. Follow for #digitalmarketing news, plus a lot of snacks. Google Premier Partner.</t>
  </si>
  <si>
    <t>SEO, PPC and Web Design services to help your business
• Generate more qualified sales leads
• Increase e-commerce traffic and sales
866-353-3953</t>
  </si>
  <si>
    <t>Internet marketing specialists in SEO, Website Design, Social Media, PPC, Facebook Advertising, Managed Live Chat &amp; More! Your resource for everything digital.</t>
  </si>
  <si>
    <t>We're a full service digital agency based in Shoreditch.  Contact us for more info on: SEO, PPC, CRO, Email, Social Media, Content Marketing and Web Design.</t>
  </si>
  <si>
    <t>Expertise in the Science of Digital. And the Art of Outdoor.</t>
  </si>
  <si>
    <t>Lever is an omnichannel marketing agency focused on driving successful, long-lasting results expertly and efficiently.</t>
  </si>
  <si>
    <t>Lover of Prophet Muhammad PBUH.
#Marketing is My Profession, #Birds Breeding is My Hobby #Crypto Trading is For Fun and Fun Bolay to Money _xD83D__xDE09_</t>
  </si>
  <si>
    <t>Deputy Director @ITCTOfficial. DG Ops &amp; Head Consultant @midstonecentre. Podcast: @FJTalksPodcast. 
RTs not endorsements, All opinions personal.</t>
  </si>
  <si>
    <t>Free Local Classifieds in India</t>
  </si>
  <si>
    <t>live. love. explore. learn. share. repeat.
Computer Science Engineer
IT Manager
IIM Calcutta Alumnus</t>
  </si>
  <si>
    <t>Designer||Sellfy : https://t.co/1ME9C39OwT|| port https://t.co/j6J5f5iSI4 https://t.co/LBGI9BxDg8 code PNF
nft buy karein?</t>
  </si>
  <si>
    <t>The official home of Designer News. The latest design stories, resources, jobs, and more.</t>
  </si>
  <si>
    <t>Health food store owners come to me when they want to dominate their competitors and find and keep more of their ideal customers.</t>
  </si>
  <si>
    <t>see header for my eternal mood • 30 flirty and thriving _xD83C__xDF89_</t>
  </si>
  <si>
    <t>My Backup Account: @_WrittenByHanna Writer. Lioness. ♌ #CelexaHive #WellbutrinHive #BlockShaunKing (She/Her)</t>
  </si>
  <si>
    <t>The official account of The Hindu's reporters in Hyderabad and across Telangana. Follow us for the latest updates on the city and the State.</t>
  </si>
  <si>
    <t>RSM GEARS is UAE based company with its own unique identity. Our goal is to provide complete range of high quality cricket products worldwide.</t>
  </si>
  <si>
    <t>A social platform that integrates technology, products &amp; services with every cricket administrator, organizer, player. Download app @ https://t.co/WL0QSvCol3</t>
  </si>
  <si>
    <t>We Are one of the leading Manufactures of Tyres and Tubes from India  Since 28 years All over the world.</t>
  </si>
  <si>
    <t>Wickedly creative video. #thevideoshow</t>
  </si>
  <si>
    <t>The Smartphone app that automatically captures billable time and calls for individuals who work as contractors and charge by the hour.</t>
  </si>
  <si>
    <t>passionate athlete, innovator, social, service, marketing, sales, responsible Azure also interested in Dynamics 365 CRM ERP, Microsoft 365 &amp; Power Platform</t>
  </si>
  <si>
    <t>Talent wins games, but teamwork and intelligence wins championships</t>
  </si>
  <si>
    <t>DMV..UVA .. Safety-Browns Business Antone Barnes Agbarnes1@gmail.com                Co-Founder Change Our Future</t>
  </si>
  <si>
    <t>#FlyEaglesFly</t>
  </si>
  <si>
    <t>Award winning #author on #Grief #LoveLifeAfterLoss #suicide #widow Certified Grief coach #survivor #speaker #tangodancer #NLP #Reiki #spiritual</t>
  </si>
  <si>
    <t>Author, Speaker, Ghostwriter, Content writer, Animal Communicator and Medium. Crazy in love with #Author2Author #A2A #books</t>
  </si>
  <si>
    <t>The World's Most Exciting Mobile Marketing Technology For Your Business! Promotes &amp; Attracts New Customers. See HOW it works, VISIT our WEBSITE...</t>
  </si>
  <si>
    <t>Modern Webz is a leading Digital Marketing Agency provide Web development, SEO, Pay Per Click (PPC), Social Media Marketing, Email and Mobile Marketing</t>
  </si>
  <si>
    <t>Charity News Feed from Promote News.
https://t.co/qSFBOmKEfE
Call +44 01746 218 290</t>
  </si>
  <si>
    <t>Hi, you’re a bad bitch.</t>
  </si>
  <si>
    <t>Fair Soft Solutions is a professional #web #design and #software #development #company offers affordable different custom #softwares</t>
  </si>
  <si>
    <t>dad jokes and jean shorts baby</t>
  </si>
  <si>
    <t>Unlocking the power of global digital behavior by synthesizing social share, interest, and intent data since 2007</t>
  </si>
  <si>
    <t>Placement Floor - Jobs, Placement, Recruitment, Job Search, Vacancies, Employment</t>
  </si>
  <si>
    <t>https://t.co/E6sogfvoKR is the world's best vector logos, logo png images, logo templates, brand logos and icons source. You can download in PNG, AI, EPS, CDR, SVG formats</t>
  </si>
  <si>
    <t>Never let anyone break that beautiful spirit of yours.</t>
  </si>
  <si>
    <t>Bizoforce is the best Open Innovation Platform to help accelerate Digital Solutions for Enterprises. Also, serves as a Technology Marketplace.</t>
  </si>
  <si>
    <t>We teach you how to grow your blog with organic traffic from social media Join our free course https://t.co/px763d8rsI  Imprint: https://t.co/LLrAv1Tqsp</t>
  </si>
  <si>
    <t>We search and post India based jobs. Want more than jobs? Join me on Linkedin. Click on the web link.</t>
  </si>
  <si>
    <t>For All Fresher And Experienced Job Updates</t>
  </si>
  <si>
    <t>_xD83C__xDF10_https://t.co/GWZhY62bDm
Thrive Internet Marketing Agency is a top Dallas, TX based web design and internet marketing company...</t>
  </si>
  <si>
    <t>Chilliwack hottest bakery. Check it out at http://t.co/BlZ8d6dv</t>
  </si>
  <si>
    <t>Property investor and property management specialist. Network marketting. When I not doing that, I am taking pictures somewhere in an African game park</t>
  </si>
  <si>
    <t>Makeup_xD83D__xDC84__xD83D__xDC8B_❣️</t>
  </si>
  <si>
    <t>India's Complete Jobs &amp; Career portal.</t>
  </si>
  <si>
    <t>ain't nothing to it but to do it!</t>
  </si>
  <si>
    <t>snapchat- Mattcappuccino instagram-MatthewCino</t>
  </si>
  <si>
    <t>17 - he/him
BR/EN
a man of the pipis
a real pipis person
I try to make music once every 5 years</t>
  </si>
  <si>
    <t>_xD83D__xDEAB_NSFW retweets_xD83D__xDEAB_ Swedish, autistic
she/her</t>
  </si>
  <si>
    <t>SunArc Technologies, the Leading Software Development Company is providing end-to-end IT services &amp; solutions in multiple industries and domains</t>
  </si>
  <si>
    <t>Software Development Company, India. 
Salesforce | Digital Transformation | HTML5 | Java | Custom App Development
_xD83D__xDCCD_ A5, IT Park, Sahastradhara Road, Dehradun</t>
  </si>
  <si>
    <t>Technology Outsourcing Simplified</t>
  </si>
  <si>
    <t>#Apps #Website &amp; #Software solutions for #startups #entrepreneurs #enterprise - Connect with team@sdi.la or Call +1.408.621.8481 for a free quote.</t>
  </si>
  <si>
    <t>Promatics is a global IT solutions company delivering web development, mobile application development &amp; software development services to clients worldwide.</t>
  </si>
  <si>
    <t>PhoenixBizz is a leading software and mobile app development company based in Phoenix, AZ offering web design, SEO, Website Development, Digital Marketing.</t>
  </si>
  <si>
    <t>#RipenApps provides specialized consulting &amp; advance services on mobile #app development &amp; building solutions for Smartphones &amp; tablets.
#ios #android #flutter</t>
  </si>
  <si>
    <t>With team of 200+ #designers and #animators, A1 is a White Label #creativeagency for agencies creating World Class #Logos, #InfoGraphics, #Animations &amp; lot more</t>
  </si>
  <si>
    <t>http://t.co/XENKtfFLAU is a specialist Career Website in India dedicated to Entry Level Job seekers &amp; Freshers.</t>
  </si>
  <si>
    <t>Web app used by web developers, freelancers and agencies to scope projects, create estimates and manage client expectations in minutes.</t>
  </si>
  <si>
    <t>Former footballer, ground hopping enthusiast. Love grass roots football.</t>
  </si>
  <si>
    <t>We help brands tell their stories through creative video production. Video is the most powerful way to communicate. Everyone has a story. https://t.co/QbL1rHdAya</t>
  </si>
  <si>
    <t>I'm working on #Wordpress #e-commerce #woo commerce #Social media marketing</t>
  </si>
  <si>
    <t>Local Business Marketing Specialist, SEO Leader, and Lead Geek.</t>
  </si>
  <si>
    <t>We are technology experts that help startups and small businesses gain unlimited access to a professional team of developers.</t>
  </si>
  <si>
    <t>With the blessings of our supreme leader, Behenji Kum. Mayawati, working as the President of Bahujan Samaj Party, Telangana. Pl support us at https://t.co/u5D2MghJaD</t>
  </si>
  <si>
    <t>Payback2society</t>
  </si>
  <si>
    <t>Support CBN, President Joe Biden, Victory Venkatesh and Salman</t>
  </si>
  <si>
    <t>Livin'</t>
  </si>
  <si>
    <t>Workaholic</t>
  </si>
  <si>
    <t>Étudiant à la faculté des sciences administratives et politiques de Bamako.</t>
  </si>
  <si>
    <t>NetComms - Online Social Media Management</t>
  </si>
  <si>
    <t>"Plus un homme est bête et moins l'existence lui semble mystérieuse"... ( Arthur Schopenhauer )</t>
  </si>
  <si>
    <t>With deep experience across #materialsscience and #engineeringscience, EAG is changing the way products are designed, manufactured and used.</t>
  </si>
  <si>
    <t>Cerballiance est un réseau de laboratoires de Biologie Médicale, qui compte près de 700 laboratoires.</t>
  </si>
  <si>
    <t>Ministre de l’Éducation nationale et de la Jeunesse / Conseiller municipal de #Vanves</t>
  </si>
  <si>
    <t>Bienvenue sur LCI, #La26 sur la TNT. Le meilleur de l'info, de l'analyse, du décryptage et tous les grands événements en direct #RespectZone</t>
  </si>
  <si>
    <t>Chef du service politique TF1-LCI / Directeur-adjoint de la rédaction de TF1 / Interview matinale TF1 à partir du 8 janvier</t>
  </si>
  <si>
    <t>Groupement de laboratoires en France, plus proche de vous _xD83D__xDD2C_A l’écoute du patient, au service des professionnels de santé _xD83E__xDDD1_‍⚕️</t>
  </si>
  <si>
    <t>Pour une information indépendante des pouvoirs économiques et financiers.
Depuis 1980.</t>
  </si>
  <si>
    <t>Periodista @rtve Reportera, presentadora, ENG.  Publicista-RRPP. Modelo-actriz de tele. Bailarina. IG @MarinaSalaD</t>
  </si>
  <si>
    <t>Helping #SocialMedia &amp; #DigitalMarketing boost #ROI #Branding and #ClickTracking with #DomainRegistration #API &amp; #URLShortening to power #BrandedLinks</t>
  </si>
  <si>
    <t>A brand new website featuring the best jobs for everyone and employers. Sumthing for Every1!! 
http://t.co/EQwE7kDXrI | http://t.co/EUH9udxldi</t>
  </si>
  <si>
    <t>Stop motion animation production company, working with agencies and consumer based brands to bring you the seconds that count! https://t.co/3mH17fOO8Q</t>
  </si>
  <si>
    <t>we're building the definitive index of businesses and services on twitter! Come help us grow!</t>
  </si>
  <si>
    <t>International visionist of frontend paradigms • JMC at heart • BG _xD83C__xDF08_ US ✈️ NL</t>
  </si>
  <si>
    <t>Webmaster for IndianJobTalks Forum for Indian jobs, careers and vacancies.</t>
  </si>
  <si>
    <t>A better platform for the modern web. The next generation forum software that's free and easy to use. | Mastodon: https://t.co/VoO0dgmUOP</t>
  </si>
  <si>
    <t>#Livestreamer, #marketingconsultant, #contentmarketing lover. Portuguese _xD83C__xDDF5__xD83C__xDDF9_, broadcasting in _xD83C__xDDF5__xD83C__xDDF9__xD83C__xDDEA__xD83C__xDDF8__xD83C__xDDEC__xD83C__xDDE7_ #Amazonlive creator @ https://t.co/GhomSB1PJz</t>
  </si>
  <si>
    <t>Geek by education, Consultant by profession, Cinema lover at heart and an aspiring script writer</t>
  </si>
  <si>
    <t>Media/PR Consultant in Telugu Film Industry. Cinema Lover. Living My Dream. Views expressed here are purely personal. #COYS #CSK #MSD Email vamsikaka2@gmail.com</t>
  </si>
  <si>
    <t>Job portal, career guidance, placement, matrimony, sports events</t>
  </si>
  <si>
    <t>CSS Nectar is a css website design showcase for web designers &amp; developers. Every day we select the best of the web design and add it to our gallery.</t>
  </si>
  <si>
    <t>Directrice de SyM Communication engagée dans la #RéserveCitoyenne26 @Gendarmerie_026 #DéfenseNationale Communicante #réseauxsociaux</t>
  </si>
  <si>
    <t>No. 1_xD83C__xDF0E_ Marketing Influencer by @thinkers360 | As Seen in @forbes | Advisor @HarvardBiz | Mentor @UCLAAnderson | Judge @Gartner_Inc | Speaker at @globalmrsummit</t>
  </si>
  <si>
    <t>Blogueuse à Montélimar. #artdevivre. Ici @livetweets. Le blog comme outil de communication web. #montelimar #artdevivre #drome #rhonealpes</t>
  </si>
  <si>
    <t>Prenez la parole, prenez le pouvoir</t>
  </si>
  <si>
    <t>Graphiste Freelance / Consultant Communication entre Grenoble &amp; Valence #GraphisteIsère</t>
  </si>
  <si>
    <t>Découvrez les #meilleurs #logiciels du #web, #graphisme, #facebook, #twitter, #applications, #plugin, #formation ...</t>
  </si>
  <si>
    <t>Secrétaire général du Secours populaire de Pierrelatte et membre du comité départemental de la Drôme.</t>
  </si>
  <si>
    <t>Producteur #énergie renouvelable l’Opérateur au service des #territoires #Drôme #Ardèche #énergies #éolien #photovoltaïque #hydraulique #développementdurable</t>
  </si>
  <si>
    <t>conseillère municipale de bourg les Valence</t>
  </si>
  <si>
    <t>PLUS DE PROMOTION SUR https://t.co/miAoPgpAsQ
#promo #codepromo #réduction #économie #bonplans #paschére #nike #amazon #bon #superpromo #super #promo</t>
  </si>
  <si>
    <t>#storytelling #curiosité  #identité_de_marque #communication_interne #intelligence_collective #optimisme</t>
  </si>
  <si>
    <t>Praticien en Shiatsu
Séances sur rendez-vous
Ateliers réguliers</t>
  </si>
  <si>
    <t>Veille quotidienne sur la #TransfoNum du nouveau monde
#FacebookExpert #TwitterExpert #Linkedin #CM #SocialMedia #Ereputation #Com #Mkg #Data #Innovation #Tech</t>
  </si>
  <si>
    <t>CustomerThink founder and global evangelist for customer-centric business.</t>
  </si>
  <si>
    <t>▬▬▬▬▬▬▬▬▬▬▬▬▬▬▬▬▬▬ #artisan social media worker, #organicfollow believer, handcrafted quality content #SocialMedia #influencermarketing ▬▬▬▬▬▬▬▬▬▬▬▬▬▬▬▬▬▬</t>
  </si>
  <si>
    <t>JOBS is an international job board that provides the latest job-matching features for Job Search and Staff Recruitment.</t>
  </si>
  <si>
    <t>A seeker of knowledge, truth and justice. 
Lover of tech, startups, futurism, social trends, politics and animals.  Proud Resister!</t>
  </si>
  <si>
    <t>Success Lake SEO located in Levelland, Texas.  Steve Melton has over 10 years of website design, promotion, search engine optimization, social media marketing.</t>
  </si>
  <si>
    <t>Inovies is the best web designing and digital marketing company in Hyderabad India. We are creating new strategies to make your business listed in google's top</t>
  </si>
  <si>
    <t>⊱ ๑ 나는 항상 너를 사랑해. ๑ ⊰ ♡ brazilian once ♡ she/her</t>
  </si>
  <si>
    <t>Empowering people at the edge of information through last mile connectivity, digital literacy and digital interventions.</t>
  </si>
  <si>
    <t>Manthan Award recognizes Best of ICT/ digital tools. It is less about technology/digital media but more about the right use of the digital/technological tools.</t>
  </si>
  <si>
    <t>Data-driven business strategist, innovator, mom to 4 amazing human beings, &amp; human owned by a bird and a dog https://t.co/ejeIanQ5oo</t>
  </si>
  <si>
    <t>These total losers locked us out for 6 months based on a lie. Their lie. 
Gab: ad360ie
Blog: https://t.co/YfmAFVyaiR
Memes: https://t.co/1ZiVDYW3c2
OutSide: https://t.co/C0v3DRfInO</t>
  </si>
  <si>
    <t>I've been assisting people with #SelfHealing worldwide since 1986. I'm the developer of the Willow System, Author, Speaker and love doing Q&amp;A on #TalkRadio</t>
  </si>
  <si>
    <t>#bot calling out Indian startups that stop tweeting. Blame @wrede</t>
  </si>
  <si>
    <t>#CGG
#_xD835__xDD65__xD835__xDD59__xD835__xDD56__xD835__xDD55__xD835__xDD52__xD835__xDD55__xD835__xDD58__xD835__xDD52__xD835__xDD5E__xD835__xDD5A__xD835__xDD5F__xD835__xDD58_ 
#_xD835__xDD58__xD835__xDD56__xD835__xDD56__xD835__xDD5C__xD835__xDD55__xD835__xDD52__xD835__xDD55_
#_xD835__xDD65__xD835__xDD68__xD835__xDD5A__xD835__xDD65__xD835__xDD54__xD835__xDD59__xD835__xDD64__xD835__xDD65__xD835__xDD52__xD835__xDD63_
#_xD835__xDD52__xD835__xDD5D__xD835__xDD5D__xD835__xDD52__xD835__xDD63__xD835__xDD60__xD835__xDD66__xD835__xDD5F__xD835__xDD55__xD835__xDD55__xD835__xDD56__xD835__xDD54__xD835__xDD56__xD835__xDD5F__xD835__xDD65__xD835__xDD58__xD835__xDD66__xD835__xDD6A_
Follow @thedadgaming for more hot dads like me!</t>
  </si>
  <si>
    <t>MODI</t>
  </si>
  <si>
    <t>Nehruvian | Gandhian | Congress | Rahul Gandhi |</t>
  </si>
  <si>
    <t>Trust...but verify. A bit of an eccentric. _xD83D__xDC68_‍_xD83C__xDFEB_✌_xD83C__xDFFE__xD83C__xDDEC__xD83C__xDDE9_ #ChelseaFC</t>
  </si>
  <si>
    <t>die hard fan of pk</t>
  </si>
  <si>
    <t>@Intellisystem_ #Founder  - Professor @uni_ecampus  @C3i_CNI Board Member   #Scientist #Writer #Technology #Author social@randieri.com</t>
  </si>
  <si>
    <t>_xD83C__xDDFB__xD83C__xDDE6_Sede Vacante
✝️ Pro-Life 
Wisconsin _xD83E__xDDC0_ 
Music and Cats 
Merry Christmas _xD83C__xDF84_
Please Don't Litter _xD83D__xDC4D_
Serious When Necessary 
_xD83D__xDD3A_https://t.co/muhF4GwzKQ</t>
  </si>
  <si>
    <t>Author of #SciFi 'Mineran’, #darkfantasy ‘Jarrod’ &amp; kid's #diversity #picturebook @emilyandhermums. Committee Member for @WrexCarnival. Author Website Maker</t>
  </si>
  <si>
    <t>Jobs Posot is a job meta search engine that includes hundreds of offers from many web pages. On one page you can get the results from the most popular job sites</t>
  </si>
  <si>
    <t>Semi-pro polemicist | semi-private intellectual | dad | educator | advisor | creator | #GoBlue | #BLM | _xD83C__xDDFA__xD83C__xDDF8__xD83C__xDDF2__xD83C__xDDF0__xD83C__xDFF3_️‍_xD83C__xDF08__xD83C__xDDFA__xD83C__xDDE6_</t>
  </si>
  <si>
    <t>Serving sports fans. Anytime. Anywhere.</t>
  </si>
  <si>
    <t>like and subscribe.</t>
  </si>
  <si>
    <t>Too much on my mind. Just enough in my account.</t>
  </si>
  <si>
    <t>⚡ Make Bright Ideas Happen. Join 3M freelancers &amp; 1M businesses. Post business projects and pay by the hour.</t>
  </si>
  <si>
    <t>dragplus.com/browse/webanal…</t>
  </si>
  <si>
    <t>ghmc.gov.in</t>
  </si>
  <si>
    <t>bestvwant.org</t>
  </si>
  <si>
    <t>geojunxion.com</t>
  </si>
  <si>
    <t>monroeconsulting.com</t>
  </si>
  <si>
    <t>jobsplane.com</t>
  </si>
  <si>
    <t>linktr.ee/davidansoncrea…</t>
  </si>
  <si>
    <t>linktr.ee/robertdowneyjr</t>
  </si>
  <si>
    <t>linktr.ee/gregoryellwood</t>
  </si>
  <si>
    <t>shorturl.at/hlq46</t>
  </si>
  <si>
    <t>linktr.ee/theradzone</t>
  </si>
  <si>
    <t>nawabmalik.in</t>
  </si>
  <si>
    <t>1stchoicerec.com</t>
  </si>
  <si>
    <t>financialrelease.uk</t>
  </si>
  <si>
    <t>uk.linkedin.com/in/tonyhoran/</t>
  </si>
  <si>
    <t>linktr.ee/uxjobs</t>
  </si>
  <si>
    <t>virtuoso.qa</t>
  </si>
  <si>
    <t>webpageland.com</t>
  </si>
  <si>
    <t>designbrandindia.com</t>
  </si>
  <si>
    <t>freemanmultimedia.com</t>
  </si>
  <si>
    <t>linktr.ee/willburge</t>
  </si>
  <si>
    <t>facebook.com/john20connor</t>
  </si>
  <si>
    <t>youtube.com/channel/UCQwZF…</t>
  </si>
  <si>
    <t>makdikoo.com</t>
  </si>
  <si>
    <t>goo.gl/oHQB7c</t>
  </si>
  <si>
    <t>linkedin.com/in/barnaby-was…</t>
  </si>
  <si>
    <t>awazbeats.com</t>
  </si>
  <si>
    <t>twitter.com/johngow</t>
  </si>
  <si>
    <t>smokingchilimedia.com</t>
  </si>
  <si>
    <t>ipfconline.fr/contacts-eng.h…</t>
  </si>
  <si>
    <t>deepanshugahlaut.com</t>
  </si>
  <si>
    <t>bloggerplugins.org</t>
  </si>
  <si>
    <t>goodfirms.co</t>
  </si>
  <si>
    <t>facebook.com/Navvuko</t>
  </si>
  <si>
    <t>fcmmedia.co.uk</t>
  </si>
  <si>
    <t>digitalcheerleader.com</t>
  </si>
  <si>
    <t>linktr.ee/convinceandcon…</t>
  </si>
  <si>
    <t>bit.ly/playinmy</t>
  </si>
  <si>
    <t>whichwebdesigncompany.com</t>
  </si>
  <si>
    <t>tiffany-collins.com</t>
  </si>
  <si>
    <t>pantherassociates.com</t>
  </si>
  <si>
    <t>topdevelopers.co</t>
  </si>
  <si>
    <t>bit.ly/3mZJKmK</t>
  </si>
  <si>
    <t>redwerk.com</t>
  </si>
  <si>
    <t>intexsoft.com</t>
  </si>
  <si>
    <t>itexico.com</t>
  </si>
  <si>
    <t>star-knowledge.com</t>
  </si>
  <si>
    <t>square63.com</t>
  </si>
  <si>
    <t>digitbazar.com</t>
  </si>
  <si>
    <t>nichetechsolutions.com</t>
  </si>
  <si>
    <t>pointclearsolutions.com</t>
  </si>
  <si>
    <t>goodworklabs.com</t>
  </si>
  <si>
    <t>domandtom.com</t>
  </si>
  <si>
    <t>rocketinsights.com</t>
  </si>
  <si>
    <t>sdsol.com</t>
  </si>
  <si>
    <t>employmentnews24.blogspot.com</t>
  </si>
  <si>
    <t>slidesource.com</t>
  </si>
  <si>
    <t>youtube.com/channel/UCEOh4…</t>
  </si>
  <si>
    <t>webpage.tips</t>
  </si>
  <si>
    <t>walmartfamilymobile.com</t>
  </si>
  <si>
    <t>indiarecruitmentjob.com</t>
  </si>
  <si>
    <t>soundcloud.com/DNL-Beats</t>
  </si>
  <si>
    <t>youtube.com/@internetj3r</t>
  </si>
  <si>
    <t>tamhaneclinic.com</t>
  </si>
  <si>
    <t>kalungigroup.com</t>
  </si>
  <si>
    <t>youroq.com</t>
  </si>
  <si>
    <t>softwarefindr.com</t>
  </si>
  <si>
    <t>linktr.ee/Karmaworks</t>
  </si>
  <si>
    <t>buymeacoffee.com/bootstrap4eva</t>
  </si>
  <si>
    <t>linktr.ee/tristanjohnson</t>
  </si>
  <si>
    <t>fabiorabin.com.br</t>
  </si>
  <si>
    <t>edugear.in</t>
  </si>
  <si>
    <t>jetruby.com/?rs=twitter-pr…</t>
  </si>
  <si>
    <t>skotwaldron.com</t>
  </si>
  <si>
    <t>toprankvisibility.com</t>
  </si>
  <si>
    <t>fresheritjobz.blogspot.com</t>
  </si>
  <si>
    <t>iriscrm.com</t>
  </si>
  <si>
    <t>ko-fi.com/dreamsofskies</t>
  </si>
  <si>
    <t>linktr.ee/Upskillyourlif…</t>
  </si>
  <si>
    <t>contrarianthinking.biz/tw</t>
  </si>
  <si>
    <t>paradigm.xyz/2023/12/joinin…</t>
  </si>
  <si>
    <t>tspolice.gov.in</t>
  </si>
  <si>
    <t>indianewsnetwork.com</t>
  </si>
  <si>
    <t>facebook.com/oviedo.jc</t>
  </si>
  <si>
    <t>mashable.com</t>
  </si>
  <si>
    <t>cnn.com/profiles/zacha…</t>
  </si>
  <si>
    <t>CNN.com</t>
  </si>
  <si>
    <t>cnn.com/profiles/natas…</t>
  </si>
  <si>
    <t>cnn.com/politics</t>
  </si>
  <si>
    <t>thesamurai.beehiiv.com</t>
  </si>
  <si>
    <t>httpster.net</t>
  </si>
  <si>
    <t>revanthreddy.com</t>
  </si>
  <si>
    <t>theaipromax.beehiiv.com</t>
  </si>
  <si>
    <t>optimizimi.com</t>
  </si>
  <si>
    <t>shellypalmer.com</t>
  </si>
  <si>
    <t>hyderabadpolice.gov.in</t>
  </si>
  <si>
    <t>paypal.com/us/home</t>
  </si>
  <si>
    <t>thesunilonline.blogspot.com</t>
  </si>
  <si>
    <t>npdigital.com</t>
  </si>
  <si>
    <t>grwth.link/gmc-global-tb</t>
  </si>
  <si>
    <t>develop4u.co</t>
  </si>
  <si>
    <t>thecolourmoon.com</t>
  </si>
  <si>
    <t>thisisswitch.com</t>
  </si>
  <si>
    <t>tvisha.com</t>
  </si>
  <si>
    <t>navtech.io</t>
  </si>
  <si>
    <t>nethues.com</t>
  </si>
  <si>
    <t>indbc.com</t>
  </si>
  <si>
    <t>bootstraptags.com</t>
  </si>
  <si>
    <t>newyorker.com/magazine/2019/…</t>
  </si>
  <si>
    <t>newbabyfly.carrd.co</t>
  </si>
  <si>
    <t>indywood.co.in</t>
  </si>
  <si>
    <t>allisoninwonderland.com</t>
  </si>
  <si>
    <t>ethanetechnologies.com</t>
  </si>
  <si>
    <t>perfectsearchmedia.com</t>
  </si>
  <si>
    <t>straightnorth.com</t>
  </si>
  <si>
    <t>digivate.com</t>
  </si>
  <si>
    <t>dashtwo.com</t>
  </si>
  <si>
    <t>leverinteractive.com</t>
  </si>
  <si>
    <t>atozemotions.com</t>
  </si>
  <si>
    <t>itct.org.uk/about/our-team/</t>
  </si>
  <si>
    <t>instagram.com/farooqdesigns_/</t>
  </si>
  <si>
    <t>bylesdigitaldesign.com/health-food-ma…</t>
  </si>
  <si>
    <t>hannaphifer.com</t>
  </si>
  <si>
    <t>dcevents.co</t>
  </si>
  <si>
    <t>thehindu.com/news/cities/Hy…</t>
  </si>
  <si>
    <t>rsmgears.com</t>
  </si>
  <si>
    <t>cricclubs.com</t>
  </si>
  <si>
    <t>redbookproductions.co.uk</t>
  </si>
  <si>
    <t>codewright.net</t>
  </si>
  <si>
    <t>micromanager.io</t>
  </si>
  <si>
    <t>microsoft.com/en-us/</t>
  </si>
  <si>
    <t>rkbhai.in</t>
  </si>
  <si>
    <t>changeourfuture.org</t>
  </si>
  <si>
    <t>philadelphiaeagles.com</t>
  </si>
  <si>
    <t>robinchodak.com</t>
  </si>
  <si>
    <t>wendyvandepoll.com</t>
  </si>
  <si>
    <t>asirvia.com/bostman</t>
  </si>
  <si>
    <t>modernwebz.com</t>
  </si>
  <si>
    <t>promote.news</t>
  </si>
  <si>
    <t>rktoday.in</t>
  </si>
  <si>
    <t>sharethis.com</t>
  </si>
  <si>
    <t>Instagram.com/jacobisaak</t>
  </si>
  <si>
    <t>Instagram.com/MissaAubree</t>
  </si>
  <si>
    <t>bizoforce.com</t>
  </si>
  <si>
    <t>careerjobs.co.in</t>
  </si>
  <si>
    <t>blog.thesocialms.com</t>
  </si>
  <si>
    <t>linkedin.com/e/fps/82047491/</t>
  </si>
  <si>
    <t>freshjobupdates.com</t>
  </si>
  <si>
    <t>thriveagency.com</t>
  </si>
  <si>
    <t>benannabakery.com</t>
  </si>
  <si>
    <t>shanebruwer.com</t>
  </si>
  <si>
    <t>youtube.com/channel/UCOh4a…</t>
  </si>
  <si>
    <t>sunarctechnologies.com</t>
  </si>
  <si>
    <t>evontech.com</t>
  </si>
  <si>
    <t>octalsoftware.com</t>
  </si>
  <si>
    <t>softwaredevelopersindia.com</t>
  </si>
  <si>
    <t>promaticsindia.com</t>
  </si>
  <si>
    <t>phoenixbizz.com</t>
  </si>
  <si>
    <t>ripenapps.com</t>
  </si>
  <si>
    <t>A1future.com</t>
  </si>
  <si>
    <t>vfreshers.com</t>
  </si>
  <si>
    <t>brainleaf.com</t>
  </si>
  <si>
    <t>plvisuals.com</t>
  </si>
  <si>
    <t>socialcheif.com</t>
  </si>
  <si>
    <t>jobpatrika.blogspot.in</t>
  </si>
  <si>
    <t>dbmwebmarketing.com</t>
  </si>
  <si>
    <t>sites.google.com/site/seoservic…</t>
  </si>
  <si>
    <t>eag.com</t>
  </si>
  <si>
    <t>cerballiance.fr/fr</t>
  </si>
  <si>
    <t>whatsapp.com/channel/0029Va…</t>
  </si>
  <si>
    <t>TF1info.fr</t>
  </si>
  <si>
    <t>tf1info.fr</t>
  </si>
  <si>
    <t>biogroup.fr</t>
  </si>
  <si>
    <t>biopyrenees.com</t>
  </si>
  <si>
    <t>alternatives-economiques.fr</t>
  </si>
  <si>
    <t>marinasalablog.wordpress.com</t>
  </si>
  <si>
    <t>Rebrandly.com</t>
  </si>
  <si>
    <t>jobminer.in</t>
  </si>
  <si>
    <t>secondsthatcountstudios.com</t>
  </si>
  <si>
    <t>twibs.com</t>
  </si>
  <si>
    <t>stefka.com</t>
  </si>
  <si>
    <t>indianjobtalks.com/forum/index.php</t>
  </si>
  <si>
    <t>nodebb.org</t>
  </si>
  <si>
    <t>sandijobs.com</t>
  </si>
  <si>
    <t>marcoting.shop</t>
  </si>
  <si>
    <t>imdb.com/name/nm9477533…</t>
  </si>
  <si>
    <t>excoecaria.com</t>
  </si>
  <si>
    <t>symcommunication.fr</t>
  </si>
  <si>
    <t>vladimerbotsvadze.com</t>
  </si>
  <si>
    <t>lamontilienne.fr/lettre-de-mont…</t>
  </si>
  <si>
    <t>coacheloquence.com</t>
  </si>
  <si>
    <t>at-graphisme.fr</t>
  </si>
  <si>
    <t>avis-produit-web.com</t>
  </si>
  <si>
    <t>super-promo.webnode.fr</t>
  </si>
  <si>
    <t>pretextedecom.com</t>
  </si>
  <si>
    <t>shiatsudomontelimar.e-monsite.com</t>
  </si>
  <si>
    <t>managementguruz.com</t>
  </si>
  <si>
    <t>HookedOnCustomers.com</t>
  </si>
  <si>
    <t>bluformiga.biz</t>
  </si>
  <si>
    <t>telanganajobalert.in</t>
  </si>
  <si>
    <t>jobs.as</t>
  </si>
  <si>
    <t>successlakeseo.com</t>
  </si>
  <si>
    <t>inovies.com/digital-market…</t>
  </si>
  <si>
    <t>curiouscat.qa/signalminari</t>
  </si>
  <si>
    <t>defindia.org</t>
  </si>
  <si>
    <t>manthanaward.org</t>
  </si>
  <si>
    <t>ow.ly/bLAw30d4srH</t>
  </si>
  <si>
    <t>360s.ml</t>
  </si>
  <si>
    <t>willow.link/qualifications</t>
  </si>
  <si>
    <t>twitterpulse.io</t>
  </si>
  <si>
    <t>twitch.tv/zerocoollatte</t>
  </si>
  <si>
    <t>instagram.com/shaandelhiteinc</t>
  </si>
  <si>
    <t>intellisystem.it</t>
  </si>
  <si>
    <t>open.spotify.com/artist/2LlKsdS…</t>
  </si>
  <si>
    <t>pnburrows.com</t>
  </si>
  <si>
    <t>jobs.posot.in</t>
  </si>
  <si>
    <t>LexKuhne.com</t>
  </si>
  <si>
    <t>espn.com</t>
  </si>
  <si>
    <t>PeoplePerHour.com</t>
  </si>
  <si>
    <t>https://t.co/1ME9C39OwT https://t.co/j6J5f5iSI4 https://t.co/LBGI9BxDg8</t>
  </si>
  <si>
    <t>https://t.co/px763d8rsI https://t.co/LLrAv1Tqsp</t>
  </si>
  <si>
    <t>http://t.co/EQwE7kDXrI http://t.co/EUH9udxldi</t>
  </si>
  <si>
    <t>https://t.co/YfmAFVyaiR https://t.co/1ZiVDYW3c2 https://t.co/C0v3DRfInO</t>
  </si>
  <si>
    <t>http://sellfy.com/FarooqDzn http://farooqdesigns.carbonmade.com http://Gofifacoins.com</t>
  </si>
  <si>
    <t>http://dld.bz/jpHrE http://blog.thesocialms.com/impressum/</t>
  </si>
  <si>
    <t>http://www.design-jobs.in http://www.jobminer.in</t>
  </si>
  <si>
    <t>http://360s.ml http://Wild1.ml http://WildTherapy.ml</t>
  </si>
  <si>
    <t>ThePlaylist.net</t>
  </si>
  <si>
    <t>instagram.com/ashleydufner/?…</t>
  </si>
  <si>
    <t>bit.ly/snk-yt</t>
  </si>
  <si>
    <t>convinceandconvert.com</t>
  </si>
  <si>
    <t>AlecChournos.redbubble.com</t>
  </si>
  <si>
    <t>Kalungigroup.com/services</t>
  </si>
  <si>
    <t>discord.gg/XueSXY8VSq</t>
  </si>
  <si>
    <t>youtube.com/fabiorabinstan</t>
  </si>
  <si>
    <t>bit.ly/2fsOQVW</t>
  </si>
  <si>
    <t>t.me/TelanganaState</t>
  </si>
  <si>
    <t>uxjobs.io</t>
  </si>
  <si>
    <t>youtube.com/channel/UCFMnO…</t>
  </si>
  <si>
    <t>sellfy.com/FarooqDzn farooqdesigns.carbonmade.com Gofifacoins.com</t>
  </si>
  <si>
    <t>onelink.to/cricclubs</t>
  </si>
  <si>
    <t>dld.bz/jpHrE blog.thesocialms.com/impressum/</t>
  </si>
  <si>
    <t>lnk.bio/thriveagency</t>
  </si>
  <si>
    <t>Vfreshers.com</t>
  </si>
  <si>
    <t>rsp4all.org</t>
  </si>
  <si>
    <t>design-jobs.in jobminer.in</t>
  </si>
  <si>
    <t>twine.fm/kimemson</t>
  </si>
  <si>
    <t>fosstodon.org/@nodebb</t>
  </si>
  <si>
    <t>marcoting.live</t>
  </si>
  <si>
    <t>buff.ly/2XUPctO</t>
  </si>
  <si>
    <t>360s.ml Wild1.ml WildTherapy.ml</t>
  </si>
  <si>
    <t>YouTube.com/wierg</t>
  </si>
  <si>
    <t>none</t>
  </si>
  <si>
    <t>regular</t>
  </si>
  <si>
    <t>Open Twitter Page for This Person</t>
  </si>
  <si>
    <t>inovies
https://t.co/l70Vv6QO3G https://t.co/A65gGJJl0F</t>
  </si>
  <si>
    <t>webanalytics_ag
Inovies web design A larger online
space even for your smaller business
needs #web https://t.co/wAQUMgozRP</t>
  </si>
  <si>
    <t>chavan_pranoti
@GHMCOnline drainage water overflow
since 2 months now. No permanent
solution undertaken even after
repeated complains. Entire area
is stinking. Inovies street, patrika
nagar near max cure hospital https://t.co/cFQ6nSypry</t>
  </si>
  <si>
    <t xml:space="preserve">ghmconline
</t>
  </si>
  <si>
    <t>sivaramaiah2008
Inovies looking for Fresher B.Tech
/ MBA / MCA / Graduate (Any stream)
- 2010 Batch http://goo.gl/fb/udTU3</t>
  </si>
  <si>
    <t>emranhrbr
Immediate openings for Research
and content Writers: hyderabad,
TS Inovies Excellent writing/editing
skills, with… https://t.co/5RmhFewukq</t>
  </si>
  <si>
    <t>carolinebombart
@MonroeConsult @successmethod_
@Inovies - Hi! Happy to have you
in my community :)</t>
  </si>
  <si>
    <t xml:space="preserve">monroeconsult
</t>
  </si>
  <si>
    <t>jobsplane
Hiring Technical Documentation
Writer @ Inovies Girls Only(Fresher&amp;amp;Exp)
at Inovies http://t.co/2qBvIRO9
#freshers</t>
  </si>
  <si>
    <t>chandra_sekhare
@Inovies #StandByPVSunilKumarIPS</t>
  </si>
  <si>
    <t>nnaya_a
Vin Diesel is always inovies that
are cheesy but you still want to
watch it and see what crazy thing
will happen next. I Stan</t>
  </si>
  <si>
    <t>bbozuteru
@HockeywoodKings @TheGregoryE @RobertDowneyJr
RDJ himself has said those barely
qualify as acting, he was inovies,
sure, but no acting muscles were
flexed</t>
  </si>
  <si>
    <t xml:space="preserve">robertdowneyjr
</t>
  </si>
  <si>
    <t xml:space="preserve">thegregorye
</t>
  </si>
  <si>
    <t xml:space="preserve">hockeywoodkings
</t>
  </si>
  <si>
    <t>the_rad_zone
The amount of people inovies who
have lighter fluid laying around
their house seems unrealistic.
I can't think of a single person
I know who has lighter fluid, let
alone a lighter that would need
it.</t>
  </si>
  <si>
    <t>sivashanker_26
@nawabmalikncp Inovies they show
police as hero's. Outside they
give a damn to department . Ye
Kya logic Hain sir</t>
  </si>
  <si>
    <t xml:space="preserve">nawabmalikncp
</t>
  </si>
  <si>
    <t>1stchoicerec
Thank you for the follow! @CameronFirefish
@t0nyh0ran @pure_banners @finreluk
@Inovies @crystalprosky #FridayFeeling</t>
  </si>
  <si>
    <t xml:space="preserve">finreluk
</t>
  </si>
  <si>
    <t xml:space="preserve">t0nyh0ran
</t>
  </si>
  <si>
    <t>uxjobs_imea
#uxjobs (#India) UI/UX Developer
cum Designer - inovies - Madhapur,
Hyderabad, Telangana https://t.co/lXLhLdkrC6</t>
  </si>
  <si>
    <t>webguruawards
Check our previous #winners of
this particular Date &amp;amp; Month
19 #May https://t.co/napOv1pnvW
#19May #19May2015 #19May2016 #19May2017
#19May2018 #19May2019 #19May2020
#19May2021 #19May2022 #Webguruawards
#Throwback @Inovies @Virtuoso_QA
https://t.co/1jU6knqzwa</t>
  </si>
  <si>
    <t xml:space="preserve">virtuoso_qa
</t>
  </si>
  <si>
    <t>webpageland
The latest Webpage development
Daily! https://t.co/6hEuZ7pmRL
#inovies</t>
  </si>
  <si>
    <t>designbrandind
The latest The Web Design for your
business Daily! https://t.co/rApEaOQcay
#webdesign #inovies</t>
  </si>
  <si>
    <t xml:space="preserve">fmidesign
</t>
  </si>
  <si>
    <t>racjac23
@WillBurge It blows. Why is it
so hard for the majority of sports
inovies to be even close to real?
It infuriates me. Like Remember
the Titans ending on a 75 yard
reverse...get lost. Watching the
Gambler the other night was infuriating
as they tried to play out a point
spread. Idiots</t>
  </si>
  <si>
    <t xml:space="preserve">willburge
</t>
  </si>
  <si>
    <t>connor182010
@AshleyAmberA @YouTube To anyone
who tweets on this girls aren’t
the only one that wear makeup guys
when they inovies wear it too but
I think it’s a lighter makeup then
the girls. But I have wonder if
most men where makeup in real life
as well but lighter always wonder
if anyone knows let me knowplease</t>
  </si>
  <si>
    <t xml:space="preserve">ashleydufner
</t>
  </si>
  <si>
    <t>followupthen
@Inovies Start using FollowUpThen
with our unlimited free plan. https://t.co/M3XtXuOXGt</t>
  </si>
  <si>
    <t>dprian____
@vlucianav LA CONXHA TUYA LUCIANA
igual siempre novies nunca inovies
dulzura ;))))?)</t>
  </si>
  <si>
    <t xml:space="preserve">choisansatan
</t>
  </si>
  <si>
    <t>taedodekoo
she’s so cute shes so cute inovies
gahhssdddf</t>
  </si>
  <si>
    <t>mehkaadams
RT https://t.co/ihg0FcpYCd Best
Digital Marketing Consulting Company
in Hyderabad-@Inovies see more&amp;gt;https://t.co/phGzagIvst
#Best #DigitalMarketing #consulting
#company #Hyderabad #inovies #S…
https://t.co/TCdfc7yzzs</t>
  </si>
  <si>
    <t>suryakotianu
@Inovies #StandByPVSunilKumarIPS
#StandByPVSunilKumarIPS #UnknownMiraclesOfGodKabir
#HappyBirthdayNBK #thursdaymorning
#ThursdayThoughts #ThursdayMotivation
#NBK107 #NandamuriBalakrishna #NariShakti4NewIndia
#Save_male_nurses #Shanijayanti
#HBDNBK #thursdayvibes</t>
  </si>
  <si>
    <t>barnabywass
Thanks for the follow @ipfconline1
@Inovies @inspiredlywrit @SmokingChili
@JeremyScrivens @johngow @SwiftyMorgan.
Happy to connect!</t>
  </si>
  <si>
    <t xml:space="preserve">swiftymorgan
</t>
  </si>
  <si>
    <t xml:space="preserve">johngow
</t>
  </si>
  <si>
    <t xml:space="preserve">jeremyscrivens
</t>
  </si>
  <si>
    <t xml:space="preserve">smokingchili
</t>
  </si>
  <si>
    <t xml:space="preserve">ipfconline1
</t>
  </si>
  <si>
    <t>dpanshugahlaut
Will you become one with #GrowthHacker
marketing? by @inovies https://t.co/zgUGO2RDH2
via @CustomerThink</t>
  </si>
  <si>
    <t xml:space="preserve">customerthink
</t>
  </si>
  <si>
    <t>coopsgreenteam
Hey Inovies thanks for following
me. Make it a great day @Inovies
!</t>
  </si>
  <si>
    <t>rameshdudala
@Inovies gerg</t>
  </si>
  <si>
    <t xml:space="preserve">bloggerplugins
</t>
  </si>
  <si>
    <t>mahasri25080194
https://t.co/Ky35yAel8G Inovies
providing the best Digital marketing
Services in Hyderabad, SEO and
PPC services in Hyderabad, Local
SEO services in Hyderabad, Search
engine optimization services. https://t.co/WJnMVGHFJe</t>
  </si>
  <si>
    <t>goodfirms
A client said @Inovies has ability
&amp;amp; reliability factor on @GoodFirms
https://t.co/lLMMr12bWm #GoodFirms
#Reviews #MobileAppDevelopment
https://t.co/6T2V0tKIfH</t>
  </si>
  <si>
    <t>sumanthch
@Inovies No.</t>
  </si>
  <si>
    <t>fcmtaryn
#SHARETHELOVE @convince @ChristinKardos
@Roja_Inovies have a great day
:)</t>
  </si>
  <si>
    <t xml:space="preserve">christinkardos
</t>
  </si>
  <si>
    <t xml:space="preserve">convince
</t>
  </si>
  <si>
    <t xml:space="preserve">roja_inovies
</t>
  </si>
  <si>
    <t>bizitflint
"INOVIES" Recruits FRESHERS : Technical
Documentation Writer http://goo.gl/fb/WBFTi</t>
  </si>
  <si>
    <t>mackphason
 nice http://t.co/029pYK8R0r via
@Inovies</t>
  </si>
  <si>
    <t>whichwdc
inovies has just signed up to WWDC
- welcome! http://t.co/SkDoBNYcFu
#tech</t>
  </si>
  <si>
    <t>mulasailaja
@Inovies Vaadu hero kaadu, street
rowdy… https://t.co/wt5Y7MH436</t>
  </si>
  <si>
    <t>its_me_mahii
Look at these senseless ppl. i
pity ‘em, jail ki veltharanta,okasari
velli randi set avtharu. Mi idol
tho Saha, Contestants antha vaala
life lo bane untaru. ila roads
meedha padi rowdy’s la behave chese
badhulu velli mi families kosam
kashtapadandi ra nayana!! #BiggBossTelugu7
https://t.co/kWzJAHjJ1X</t>
  </si>
  <si>
    <t>superrjoint
Shower sex is just....no...only
looks good inovies or whatever...</t>
  </si>
  <si>
    <t>ameetchaudhry
WALK IN @ INOVIES FOR TECHNICAL
DOCUMENTATION WRITERS - FRESHERS
- 2012 PASSED OUTS : On 8TH JUNE
&amp;amp; 9TH JUNE,2013... http://t.co/MUsqHWnyjX</t>
  </si>
  <si>
    <t>pantherassoc
Hey Inovies thanks for the follow!
Have you tried out our FREE SEO
audit service? https://t.co/k1zqxwJAnb</t>
  </si>
  <si>
    <t>topdevelopersco
List of leading #SEO Companies
– #August2020 @ThriveAgency @leveronline
@dashtwo @Inovies @digivate @DigitlResource
@StraightNorth @Perfect_Search
@gexton @ethanewebtech_xD83D__xDC49_https://t.co/Ma5MmPFXwm
#SEOCompanies #SEOAgencies #SearchEngineOptimizationServices
#SEOServices https://t.co/3y6Jeb4ak6</t>
  </si>
  <si>
    <t xml:space="preserve">quovantis
</t>
  </si>
  <si>
    <t xml:space="preserve">redwerk
</t>
  </si>
  <si>
    <t xml:space="preserve">skynet_tv
</t>
  </si>
  <si>
    <t xml:space="preserve">intexsoft
</t>
  </si>
  <si>
    <t xml:space="preserve">improvingmx
</t>
  </si>
  <si>
    <t xml:space="preserve">star_knowledge
</t>
  </si>
  <si>
    <t xml:space="preserve">square63
</t>
  </si>
  <si>
    <t xml:space="preserve">digitbazar
</t>
  </si>
  <si>
    <t xml:space="preserve">nichetechsol
</t>
  </si>
  <si>
    <t xml:space="preserve">worryfreelabs
</t>
  </si>
  <si>
    <t xml:space="preserve">goodworklabs
</t>
  </si>
  <si>
    <t xml:space="preserve">dom_and_tom
</t>
  </si>
  <si>
    <t xml:space="preserve">rocketinsights
</t>
  </si>
  <si>
    <t xml:space="preserve">miamitechsperts
</t>
  </si>
  <si>
    <t>employmennews24
Inovies Recruits Freshers http://goo.gl/fb/Zbrfw</t>
  </si>
  <si>
    <t>evanevsthedude
When I breathe in my lungs make
that high pitched whistle noise
they always use inovies after a
flashbang or emp. God I love being
sick</t>
  </si>
  <si>
    <t>slidesource
@Inovies Welcome! Hope you find
the tweets we share useful.</t>
  </si>
  <si>
    <t>karmaceejay
RT @Inovies: #Wikipedia reverted
the article on #DawoodIbrahim just
now #inovies https://t.co/OAJe8N669i
https://t.co/eEWIpnmlQL</t>
  </si>
  <si>
    <t>nexus8846
@hagodhem2 @BarbatosRasiel Yes,
and that's fine. Theres been an
uptick in final battles in vacant
grey wastelands inovies though
and they're getting boring. Obviously
reserve final judgement for the
film, but it's concerning.</t>
  </si>
  <si>
    <t xml:space="preserve">barbatosrasiel
</t>
  </si>
  <si>
    <t xml:space="preserve">hagodhem2
</t>
  </si>
  <si>
    <t>lady_machel
Thought that shit only occured
inovies.</t>
  </si>
  <si>
    <t>chetanasforum
(FRESHERS) Walk-In @ 'INOVIES'
: Trainee Technical Writers : On
4 December 2014 @ Hyderabad : http://t.co/UuiI3MbpU7
http://t.co/pxdm9uvUQc</t>
  </si>
  <si>
    <t>webpage_tips
The latest The Web development
Daily! https://t.co/dJ5tAee2D8
#inovies</t>
  </si>
  <si>
    <t>fountainkricket
@FamilyMobile a2: I usually pick
because everyone knows I have great
taste inovies. OR were watching
whatever's scariest #CatchMoreData</t>
  </si>
  <si>
    <t xml:space="preserve">familymobile
</t>
  </si>
  <si>
    <t>irjobline
New blog posting, FRESHERS JOBS
@ INOVIES : Technical Documentation
Writer : Hyderabad - http://tinyurl.com/5tmsy5e</t>
  </si>
  <si>
    <t>dnl_o
Swagg is inovies</t>
  </si>
  <si>
    <t>laura_logic
@Inovies Thank you for the follow!
:)</t>
  </si>
  <si>
    <t>paul_melman
@shes_the_maNN1 But like, SpongeBob
has a landline phone. Surely they
must have seen them inovies and
shows and such</t>
  </si>
  <si>
    <t xml:space="preserve">shes_the_mann1
</t>
  </si>
  <si>
    <t>aquaalec
Pssst A lot of stuff inovies nowadays
is computer animated. Still looks
godlike. Imma move along with my
day and let the fans enjoy what
they will thanks._xD83D__xDC4D_</t>
  </si>
  <si>
    <t>internetjer
@SherazFarooqi_ @crystallniicole
Is computer animated, move along
with your day.</t>
  </si>
  <si>
    <t>writeupcafe
Digital Marketing – SEO Service Inovies
https://t.co/7rB6YmtAOE https://t.co/srt848Ot2K</t>
  </si>
  <si>
    <t>nishaadweta
Top Digital Marketing Companies
in Hyderabad Inovies is Digital
Marketing Agency in Hyderabad &amp;amp;
provide custom solutions and experts
in Search Engine Marketing &amp;amp;
Social Media Marketing.For more
visit https://t.co/fdiRbJZmzy #DigitalMarketingServices</t>
  </si>
  <si>
    <t>tamhaneclinic
FRESHERS JOBS @ INOVIES : Technical
Documentation Writer : Hyderabad
http://f.ast.ly/XHr7B</t>
  </si>
  <si>
    <t>kalungigroup
@Inovies feels great to be followed
by you find out more about me here
https://t.co/pcbwvsrmKU via https://t.co/oVnhkyrDBz</t>
  </si>
  <si>
    <t>youroq
FRESHERS JOBS @ INOVIES : Technical
Document Writer : Hyderabad: FRESHERS
JOBS @ INOVIES : Technical Document
Wr... http://bit.ly/m6OrqS</t>
  </si>
  <si>
    <t>anithapujya
Inovies is Best Digital Marketing
Company in Hyderabad.Take advantage
of our years of experience in the
online world and let us help you
improve your results. Web design,
SEO, SEM, social networks.Phn:-040
40273049. https://t.co/ux6qaPH7Uo
#BestDigitalMarketingCompanyinHyderabad
https://t.co/8pgmgBA8xO</t>
  </si>
  <si>
    <t>softwarefindr_
Hey @Inovies, Thank you for the
follow!</t>
  </si>
  <si>
    <t>wendy97053587
Hi @Inovies.</t>
  </si>
  <si>
    <t>karmawork
Inovies is now following me on
Twitter! https://t.co/r8HOx587Ra
https://t.co/uQZlDMTHnQ</t>
  </si>
  <si>
    <t>artworksbyshana
@Inovies I thought you might like
this post I wrote about #ContentPromotion
tactics. Take a look: https://t.co/AWaRjKO7da</t>
  </si>
  <si>
    <t>bootstrap4eva
Inovies Inovies makes an ideal
partner for organizations looking
at transformational IT sol… https://t.co/eovi4dgmCT
https://t.co/Ny6rddgi1D</t>
  </si>
  <si>
    <t>enggjobsindia
MANAGER- Marketing &amp;Sales (5-10years)
INDUSTRIAL PRODUCTS / CONSUMABLE
at Inovies Consulting: Job Description:...
http://t.co/OdIk7qh0</t>
  </si>
  <si>
    <t>tristanpej
We're having an awkward moment
where media has picked up that
people want more diverse casts
inovies, but everything has to
be based on previous media from
the age when media was less diverse.</t>
  </si>
  <si>
    <t>dushyant_pimple
Contaminated water, direct sewage
water, major reason for dengue,
malaria in the so called hitech
area of Hyderabad... @GHMCOnline
@KTRTRS @CommissionrGHMC It's either
from Gur Nihal Restaurant or Royal
Men Hostel.. Inovies Street, Patrika
Nagar, Madhapur. Please look into
this. https://t.co/WU2dZbNGjw</t>
  </si>
  <si>
    <t xml:space="preserve">commissionrghmc
</t>
  </si>
  <si>
    <t xml:space="preserve">ktrtrs
</t>
  </si>
  <si>
    <t>lostboyraskal
Normalize guns not being inovies.</t>
  </si>
  <si>
    <t>amadahamy
@PQuestiono @Limadireitabr @fabiorabin
Boa, li tmb que ela já quitou a
dívida com a caixa. Só quem ainda
não deu explicações é a Micheque
então e o Bozo com os inovies em
moeda corrente… Obrigada. https://t.co/Jpzr0A58vw</t>
  </si>
  <si>
    <t xml:space="preserve">fabiorabin
</t>
  </si>
  <si>
    <t xml:space="preserve">pquestiono
</t>
  </si>
  <si>
    <t>mpchekuri
Gland Packing: we(Inovies) offer
a wide range of products such as
C/Graphited Cotton gland packing
rope, metalli... http://t.co/bN17xFoR</t>
  </si>
  <si>
    <t>jetrubyagency
@RankVisibility @Inovies @skotwaldron
- Thanks for being new top engaged
this week :)</t>
  </si>
  <si>
    <t xml:space="preserve">skotwaldron
</t>
  </si>
  <si>
    <t xml:space="preserve">rankvisibility
</t>
  </si>
  <si>
    <t>sravanthiboyapa
"INOVIES" Recruits FRESHERS : Technical
Documentation Writer http://nblo.gs/ickuX</t>
  </si>
  <si>
    <t>naziyamalik22
You are so cute even now inovies
on stage india wale show you are
really adorable</t>
  </si>
  <si>
    <t>iris_crm
Lead Generation Company based in
Hyderabad India : Inovies: Lead
generation is the… https://t.co/3xo5RebN8s
#SalesEfficiency #salestips #crm
https://t.co/IRYhvc7BNt</t>
  </si>
  <si>
    <t>dreamsofskies
@Idiom_blue And yeah, a narrative
flashback is also a kind of plot
device used inovies and books all
the time... so there's probably
a lot of accidental comflation
between the two, in the heads that
are unfamiliar.</t>
  </si>
  <si>
    <t>writingjobs_in
Fresher Technical Documentation
writers 2010 p: Inovies - Writing
Jobs in India #WritingJobs #Freelance
#Writing #Jobs http://t.co/Hm2HrC01</t>
  </si>
  <si>
    <t xml:space="preserve">pinterest
</t>
  </si>
  <si>
    <t xml:space="preserve">eenadu
</t>
  </si>
  <si>
    <t xml:space="preserve">upskillyourlife
</t>
  </si>
  <si>
    <t xml:space="preserve">aadeshrawal
</t>
  </si>
  <si>
    <t xml:space="preserve">codie_sanchez
</t>
  </si>
  <si>
    <t xml:space="preserve">joshqharris
</t>
  </si>
  <si>
    <t xml:space="preserve">telanganacops
</t>
  </si>
  <si>
    <t xml:space="preserve">indianewsnetwk
</t>
  </si>
  <si>
    <t>oviedojc
@Inovies hello i'm interestesd
in further information for multiple
clients on regards of mobile apps,
what do you guys have to offer</t>
  </si>
  <si>
    <t xml:space="preserve">mashable
</t>
  </si>
  <si>
    <t xml:space="preserve">development_web
</t>
  </si>
  <si>
    <t xml:space="preserve">iamjordan
</t>
  </si>
  <si>
    <t xml:space="preserve">zcohencnn
</t>
  </si>
  <si>
    <t xml:space="preserve">evanperez
</t>
  </si>
  <si>
    <t xml:space="preserve">natashabertrand
</t>
  </si>
  <si>
    <t xml:space="preserve">katiebolillis
</t>
  </si>
  <si>
    <t xml:space="preserve">jeremyherb
</t>
  </si>
  <si>
    <t xml:space="preserve">samuraipreneur
</t>
  </si>
  <si>
    <t xml:space="preserve">httpster_
</t>
  </si>
  <si>
    <t xml:space="preserve">bhatticlp
</t>
  </si>
  <si>
    <t xml:space="preserve">revanth_anumula
</t>
  </si>
  <si>
    <t xml:space="preserve">mhdfaran
</t>
  </si>
  <si>
    <t xml:space="preserve">hridoyreh
</t>
  </si>
  <si>
    <t xml:space="preserve">shellypalmer
</t>
  </si>
  <si>
    <t xml:space="preserve">yourstoryco
</t>
  </si>
  <si>
    <t xml:space="preserve">linkedin
</t>
  </si>
  <si>
    <t xml:space="preserve">hydcitypolice
</t>
  </si>
  <si>
    <t xml:space="preserve">paypal
</t>
  </si>
  <si>
    <t xml:space="preserve">missionambedkar
</t>
  </si>
  <si>
    <t xml:space="preserve">sfi_arjun
</t>
  </si>
  <si>
    <t xml:space="preserve">bedasampath
</t>
  </si>
  <si>
    <t xml:space="preserve">mnaveenssu
</t>
  </si>
  <si>
    <t xml:space="preserve">maddiletibanda4
</t>
  </si>
  <si>
    <t xml:space="preserve">pv_sunil_kumar
</t>
  </si>
  <si>
    <t xml:space="preserve">nithin_bussa
</t>
  </si>
  <si>
    <t xml:space="preserve">amarbyagari
</t>
  </si>
  <si>
    <t xml:space="preserve">quiffboy
</t>
  </si>
  <si>
    <t xml:space="preserve">neilpatel
</t>
  </si>
  <si>
    <t xml:space="preserve">elonmusk
</t>
  </si>
  <si>
    <t>growthmktconf
@Inovies we published a post about
creating a framework for rapid
growth. I think you'd like it:
https://t.co/aQDFokYyrg</t>
  </si>
  <si>
    <t xml:space="preserve">sherazfarooqi_
</t>
  </si>
  <si>
    <t>oviyamchetna
Inovies is one of the best Digital
Marketing company in Hyderabad.
Inovies providing services in SEO,
SEM, on page Optimization, Local
Marketing in Madhapur, Hyderabad
India. To contact visit our Website
https://t.co/U4Z6pFOyPt #DigitalMarketing
#digitalmarketingagency https://t.co/bE8yWD826P</t>
  </si>
  <si>
    <t>develop4u_co
Are you Looking for #Top Mobile
App Development Companies in #Hyderabad,
India? then here is the #list of
top #Mobileapp development #companies
For More: https://t.co/YH704dGVoU
@impressicodigi @Inovies @nethues
@navaratantech @TvishaT @SwitchSoft
@thecolourmoon</t>
  </si>
  <si>
    <t xml:space="preserve">thecolourmoon
</t>
  </si>
  <si>
    <t xml:space="preserve">switchsoft
</t>
  </si>
  <si>
    <t xml:space="preserve">tvishat
</t>
  </si>
  <si>
    <t xml:space="preserve">navaratantech
</t>
  </si>
  <si>
    <t xml:space="preserve">nethues
</t>
  </si>
  <si>
    <t>indbcclassified
#classifiedads Gland Packing: we(Inovies)
offer a wide range of products
such as C/Graphited Cotton... http://t.co/hIq0uzjn
#classifieds</t>
  </si>
  <si>
    <t>hyderabadblogs
web designers hyderabad – inovies
http://t.co/sLl6xphHh7</t>
  </si>
  <si>
    <t>bootstraptags
Inovies Inovies makes an ideal
partner for organizations looking
at transformational IT sol… … https://t.co/YvWZhV3bmW</t>
  </si>
  <si>
    <t>kevreem
@MrBlackOG Kevin hart but in interviews
not inovies and stand-ups.</t>
  </si>
  <si>
    <t xml:space="preserve">mr_blackog
</t>
  </si>
  <si>
    <t>ia_uxjobs
#uxjobs (India) UI Designer - inovies
- Hyderabad, Andhra Pradesh https://t.co/6J7NFtVgJd</t>
  </si>
  <si>
    <t>jayantisrao
@RanaAyyub he plays like an interesting
Indian but u only noticed his religion
inovies . isn't it disgusting?</t>
  </si>
  <si>
    <t xml:space="preserve">ranaayyub
</t>
  </si>
  <si>
    <t>newbabyfly
Unlikely Allies Sticker Pre-order!
Get your Misraaks and glittery
Starhorse stickers. Pre-order open
until midnight est Sept. 10th.
Fill out the form, Inovies will
go out Sept. 11. Eta 10-14 days
production time. Form Here: https://t.co/oQwHvacpeG
https://t.co/6PgfgegaqS</t>
  </si>
  <si>
    <t>alisovino
RT BarnabyWass: Thanks for the
follow ipfconline1 Inovies inspiredlywrit
SmokingChili JeremyScrivens johngow
SwiftyMorgan. Happy to conne…</t>
  </si>
  <si>
    <t>aim_pvsk
@Inovies #StandByPVSunilKumarIPS</t>
  </si>
  <si>
    <t>jobspotz
Get career tips too/ Inovies Walk-in
Drive for #Freshers - On 14th to
16th May 2015 http://t.co/0TmPKfVRn3
#walkins</t>
  </si>
  <si>
    <t>indywoodifc
Congratulations Inovies Consulting
Pvt. Ltd. being awarded with #Indywood_IT_Excellence_Award
for Excellence in Web Development
and Digital Marketing. #Indywood
#ITExcellenceAward #Inovies #WebDevelopment
#DigitalMarketing @Inovies https://t.co/SX2nIDNofr</t>
  </si>
  <si>
    <t>allifrye123
ThriveAgency: @TopDevelopersCo
@leveronline @dashtwo @Inovies
@digivate @DigitlResource @StraightNorth
@Perfect_Search @gexton @ethanewebtech
Thank you!</t>
  </si>
  <si>
    <t xml:space="preserve">ethanewebtech
</t>
  </si>
  <si>
    <t xml:space="preserve">perfect_search
</t>
  </si>
  <si>
    <t xml:space="preserve">straightnorth
</t>
  </si>
  <si>
    <t xml:space="preserve">digitlresource
</t>
  </si>
  <si>
    <t xml:space="preserve">digivate
</t>
  </si>
  <si>
    <t xml:space="preserve">dashtwo
</t>
  </si>
  <si>
    <t>leveronline
@TopDevelopersCo @ThriveAgency
@dashtwo @Inovies @digivate @DigitlResource
@StraightNorth @Perfect_Search
@gexton @ethanewebtech Woo-hoo!</t>
  </si>
  <si>
    <t>azahar_shaik
@Inovies #StandWithPVsunilkumarIPS</t>
  </si>
  <si>
    <t>m4moazam
@pali_mayank @faisalafridi007 @Natsecjeff
This Israeli Uniform from Arab
Israel war When Pakistani Shutdown
to Israeli planes So we don't need
to prove Our self in papers or
inovies like india we know what
power we have We just show it in
self defense like 27feb 2019 when
we was Destroyed 2 indians war
planes https://t.co/QnUnTOqdHT</t>
  </si>
  <si>
    <t xml:space="preserve">natsecjeff
</t>
  </si>
  <si>
    <t xml:space="preserve">allblacks9926
</t>
  </si>
  <si>
    <t>namanas
Inovies web designing company in
hyderabad @ https://t.co/oRC5FuUMzc</t>
  </si>
  <si>
    <t>mandavilli
@GHMCOnline Why is this road (Inovies
St, Madhapur) being dug up? Pls
specify reasons &amp;amp; the plan
to restore this neatly laid road
going bad. https://t.co/Tl0AYbqo9D</t>
  </si>
  <si>
    <t>farooqdesigns
@Inovies Which are the best colleges
in Hyderabad where i could learn
web application design , responsive
page design app designs etc?</t>
  </si>
  <si>
    <t>designernewsbot
Inovies Digital Marketing Company
#discussion https://t.co/LFRJ0gpsiD</t>
  </si>
  <si>
    <t>byles_digital
@Inovies That's a few! _xD83D__xDE0E_ I'm guessing
that's for clients though?</t>
  </si>
  <si>
    <t>notshebjammin
And this is so real because I hate
having to watch her inovies. She
gives nothing _xD83D__xDE2D_ watching Savages
is a fucking chore because she's
the love interest. You know how
hard it is to make me not wana
watch Aaron Taylor-Johnson be unnecessarily
hot?!</t>
  </si>
  <si>
    <t>writtenbyhanna
The only person who should be upset
is Blake which makes me think back
to this delicious read https://t.co/pp4svrLGvs
https://t.co/3k6dEsr7I9</t>
  </si>
  <si>
    <t>dc_dreamsevents
#7hsportsevents #tcpl #tv5 @NANDI_TYRES
@Inovies #eliteacademy #hoteljubilleridge
@cricclubs @RSMGEARS @THHyderabad
#cricket #Corporate #Hyderabad
#Telangana Grab your free passes
for TCPL - Seasons 2 on https://t.co/VxgeZdWk2H
https://t.co/4S7A7UlOBk</t>
  </si>
  <si>
    <t xml:space="preserve">thhyderabad
</t>
  </si>
  <si>
    <t xml:space="preserve">rsmgears
</t>
  </si>
  <si>
    <t xml:space="preserve">cricclubs
</t>
  </si>
  <si>
    <t xml:space="preserve">nandi_tyres
</t>
  </si>
  <si>
    <t>redbookfilms
@Inovies Hey thanks for following,
let me know a bit more about what
you do... https://t.co/zFn4jVXFw0</t>
  </si>
  <si>
    <t>codeitwright
#HappyMonday @crimebooks01 @TobiMapsOffice
@Inovies thanks for being top new
followers - have a great week :)</t>
  </si>
  <si>
    <t>bullrushapp
@Inovies How much money did you
loose already without even knowing?
https://t.co/VZJZIdHeMY</t>
  </si>
  <si>
    <t>martintenvoorde
Marketing - Optimise Leadership
(145) - Think effectively with
SEO and brand building strategies
via @Inovies https://t.co/AI7arBynFv</t>
  </si>
  <si>
    <t>rkbhaai
Inovies Hyderabad Walkin for Technical
Documentation Writers - Female
Only - Sandi Jobs http://t.co/kGv3jdjiuJ</t>
  </si>
  <si>
    <t>bfriedle
Hey Inovies ! Thank you for the
follow. Glad to have you here,
and hope to make it worth your
time. Cheers https://t.co/KVxhB65kCf</t>
  </si>
  <si>
    <t>sandy_gile
@Eagles @Rodney_McLeod4 bill murry
sandyisses u why aren't u inovies</t>
  </si>
  <si>
    <t xml:space="preserve">rodney_mcleod4
</t>
  </si>
  <si>
    <t xml:space="preserve">eagles
</t>
  </si>
  <si>
    <t>suiciderecovery
#FollowFriday @GoAsirvia @wendyvandepoll
@Roja_Inovies thanks for being
top new followers this week :)</t>
  </si>
  <si>
    <t xml:space="preserve">wendyvandepoll
</t>
  </si>
  <si>
    <t xml:space="preserve">goasirvia
</t>
  </si>
  <si>
    <t>modern_webz
Inovies Do you want to learn how
to achieve online success without
burning money on ads? Free Webinar:
https://t.co/MCM6PCqmZZ</t>
  </si>
  <si>
    <t>procharitynews
Hi @Inovies Thanks for following!
Pre-register for PROnounce here
https://t.co/ylkO9QiwYN via https://t.co/urNtwGDfT5</t>
  </si>
  <si>
    <t>breathinuari
why r people inovies always eating
chinese food_xD83D__xDE02_</t>
  </si>
  <si>
    <t>fairsoftguntur
Fair Soft Solutions inovies quality
#web #design and #web #development
agency in Hyderabad, India. https://t.co/xJEHrVJyKY</t>
  </si>
  <si>
    <t>tanner_mosier
I like inovies how when the main
character mysteriously shows up
at someones house they act like
nothing happened and just go on</t>
  </si>
  <si>
    <t>kkaverill
Isn't funny how Hollywood is against
NRA, but sp many of them play inovies
w prop guns, that can turn up deadly!</t>
  </si>
  <si>
    <t>crkonline
Inovies Hyderabad Walkin for Technical
Documentation Writers - Female
Only - Sandi Jobs http://t.co/65WTYEwBM2
via @sharethis</t>
  </si>
  <si>
    <t xml:space="preserve">sharethis
</t>
  </si>
  <si>
    <t>placementfloor
Inovies looking for Trainee Technical
writer (Female only), graduates
2013 passout or earlier - http://t.co/AbNRvzWgi9</t>
  </si>
  <si>
    <t>seeklogo
Inovies Logo PNG Vector #logo #vector
https://t.co/9D2Ivziyz1</t>
  </si>
  <si>
    <t>jcbisaak
@MissaAubree the shit they'll do
inovies nowadays lmao!!</t>
  </si>
  <si>
    <t xml:space="preserve">missaaubree
</t>
  </si>
  <si>
    <t>bizoforceinc
https://t.co/G0brgk4Hjv See Profile
of Inovies here- https://t.co/kk8NJNFFDq
&amp;amp; get Leads https://t.co/7Hkf2mGvhH</t>
  </si>
  <si>
    <t>rafi1227
Inovies Consulting walk-in for
PHP Codeigniter https://t.co/IcoqFk8nOZ
https://t.co/xv1MJSJHC0</t>
  </si>
  <si>
    <t>tsm_b2b
@Inovies Do you want to learn how
to achieve online success without
burning money on ads? Free Webinar:
https://t.co/2RtEo1GnRB</t>
  </si>
  <si>
    <t>india_jobsearch
#India #jobs #indiaj Technical
Documentation Writer's (female's
Candidates Only) @ Inovies ...
http://t.co/Um0ZLqjl #MBA #INDIAJOBSEARCH</t>
  </si>
  <si>
    <t>freshjobupdates
Inovies Openings For Freshers in
August 2014 Educational Qualification:
B.Tech,MBA,MCA,Graduate Job...
http://t.co/TW4gpuKxey</t>
  </si>
  <si>
    <t>thriveagency
@TopDevelopersCo @leveronline @dashtwo
@Inovies @digivate @DigitlResource
@StraightNorth @Perfect_Search
@gexton @ethanewebtech Thank you!</t>
  </si>
  <si>
    <t>benannabakery
Hey Inovies thanks for the follow!</t>
  </si>
  <si>
    <t>jobsin_india
Inovies-Freshers (Technical Documentation
Writer)-BE/ BTech/ ME/ MTech/ MCA-Hyderabad…
http://goo.gl/fb/dogWY</t>
  </si>
  <si>
    <t>shanebruwer
@Inovies Whats up there , thank
you for following , I truthfully
value it . Allow me to share an
element that would undoubtedly
interest y</t>
  </si>
  <si>
    <t>valeriaordaz00
i wish that things that happen
inovies happen in real life that
would be sweet._xD83D__xDE0D_</t>
  </si>
  <si>
    <t>careerage
Urgent Opening for Android Developers-only
Immediate Joiners inovies ANDROID
DEVELOPER 2-5 years https://t.co/Vy0sHUbj3x</t>
  </si>
  <si>
    <t>markkyyymark
@MattCino1 you have great taste
inovies my friend</t>
  </si>
  <si>
    <t xml:space="preserve">mattcino1
</t>
  </si>
  <si>
    <t>lapsiluco
@LongWan95103581 @Klar____ @Iddelf
Thing is: inovies the murderers
are THE VILLAINS. Their acts are
discouraged. when you look at hentai,
nothing there's discouraging you
from doing so</t>
  </si>
  <si>
    <t xml:space="preserve">iddelf
</t>
  </si>
  <si>
    <t xml:space="preserve">sunarc_tech
</t>
  </si>
  <si>
    <t>evontech
@TopDevelopersCo @a1future @ripenappstech
@Phoenix_Bizz @promatics @SoftwaredevIn
@Inovies @octalitsolution @SunArc_tech
Thank you so much @TopDevelopersCo
to select @Evontech as a Top #UIUXDesigningAgencies</t>
  </si>
  <si>
    <t xml:space="preserve">octalitsolution
</t>
  </si>
  <si>
    <t xml:space="preserve">softwaredevin
</t>
  </si>
  <si>
    <t xml:space="preserve">promatics
</t>
  </si>
  <si>
    <t xml:space="preserve">phoenix_bizz
</t>
  </si>
  <si>
    <t xml:space="preserve">ripenappstech
</t>
  </si>
  <si>
    <t xml:space="preserve">a1future
</t>
  </si>
  <si>
    <t>indywoodfilm
Congratulations Inovies Consulting
Pvt. Ltd. being awarded with #Indywood_IT_Excellence_Award
for Excellence in... https://t.co/uX0j79Bsa1</t>
  </si>
  <si>
    <t>vfreshers
Inovies- Jobs For Technical Writers
in Hyderabad http://bit.ly/hUGKPM</t>
  </si>
  <si>
    <t>brainleafit
#HappyMonday @Inovies @av_tms @PennylaneVideos
thanks for being top new followers
- have a great week :)</t>
  </si>
  <si>
    <t xml:space="preserve">tonycompton
</t>
  </si>
  <si>
    <t xml:space="preserve">pennylanevideos
</t>
  </si>
  <si>
    <t xml:space="preserve">av_tms
</t>
  </si>
  <si>
    <t>jobpatrika
INOVIES Walk-In For Freshers as
Trainee Technical Writers On 15-19
June 2015 @ Hyderabad… http://t.co/d3FU4NH4jG</t>
  </si>
  <si>
    <t>dbmwebmarketing
RT https://t.co/kSsIeNxKhg Best
Digital Marketing Consulting Company
in Hyderabad-@Inovies see more&amp;gt;https://t.co/ZooAmSRapU
#Best #DigitalMarketing #consulting
#company #Hyderabad #inovies #S…
https://t.co/4P5fhpbTmy</t>
  </si>
  <si>
    <t>getgeekrelief
@Inovies Do you know how to analyze
your web traffic? Check out how
to make the most of your data -
https://t.co/Rjk7fWsMm6</t>
  </si>
  <si>
    <t xml:space="preserve">rspraveenswaero
</t>
  </si>
  <si>
    <t>narenadarswaero
@Inovies #StandByPVSunilKumarIPS
#StandByPVSunilKumarIPS #StandByPVSunilKumarIPS
#StandByPVSunilKumarIPS #StandByPVSunilKumarIPS
#StandByPVSunilKumarIP #StandByPVSunilKumarIPS
#StandByPVSunilKumarIPS #StandByPVSunilKumarIPS
#StandByPVSunilKumarIPS #StandByPVSunilKumarIPS</t>
  </si>
  <si>
    <t>saitelugumovies
RT @Inovies: Zero to Hero What
an inspiring journey _xD83D__xDD25_ Congrats
_xD83D__xDC95_#PallaviPrashanth #BiggBossTelugu7
Winner _xD83D__xDCF7_ #inovies https://t.co/OAJe8…</t>
  </si>
  <si>
    <t>thaz32
I hate tt.inovies the female gotta
b look.sexy all the time like bitch
its 10pm u in robe.n.nite.clothes
bt u got.on lip gloss wtf.</t>
  </si>
  <si>
    <t>jameslbrower2
RT https://t.co/JobkD6HQK2 Best
Digital Marketing Consulting Company
in Hyderabad-@Inovies see more&amp;gt;https://t.co/SBOwsMe9Zn
#Best #DigitalMarketing #consulting
#company #Hyderabad #inovies #S…
https://t.co/oNMUDm6TFT</t>
  </si>
  <si>
    <t>filycamara681
Le silence détient un pouvoir profond.
En son absence, les voix s'élèvent,
les idées se heurtent et le changement
prend son envol. Grâce au pouvoir
du silence, nous créons des espaces
de réflexion, amplifions des voix
inovies et allumons les flammes
du changement social.</t>
  </si>
  <si>
    <t>net_comms
@Inovies TFTF your awesome and
we appreciate you. https://t.co/AIrmJ0SmTO</t>
  </si>
  <si>
    <t>garcias_jmichel
@agindre @LCI @GabrielAttal Sur
ce point il a tout à fait raison
@GabrielAttal ! ✅ @cerballiance
@Biogroup_Labo @Inovies @EAGLaboratories</t>
  </si>
  <si>
    <t xml:space="preserve">eaglaboratories
</t>
  </si>
  <si>
    <t xml:space="preserve">cerballiance
</t>
  </si>
  <si>
    <t xml:space="preserve">gabrielattal
</t>
  </si>
  <si>
    <t xml:space="preserve">lci
</t>
  </si>
  <si>
    <t xml:space="preserve">agindre
</t>
  </si>
  <si>
    <t xml:space="preserve">biogroup_labo
</t>
  </si>
  <si>
    <t>laurieciss
@Biogroup_Labo @Inovies @LaboBiopyrenees</t>
  </si>
  <si>
    <t xml:space="preserve">labobiopyrenees
</t>
  </si>
  <si>
    <t>altereco_
Ces entreprises suscitent l’appétit
de fonds d’investissement étrangers
https://t.co/IbQ1Z2KvVa</t>
  </si>
  <si>
    <t>marinasalad
La família de Tossa _xD83C__xDF24_☀️⛅️ #celebraciodaniversari
#laviaenfa80 #totsambnovios #inovies…
https://t.co/UoVHAVU8gv</t>
  </si>
  <si>
    <t>rebrandlybuzz
@Roja_Inovies What tool are you
using to schedule your Social Media
Posts Roja?</t>
  </si>
  <si>
    <t>jobminerin
Opening for Web Designers @ Inovies
- Hyderabad: http://t.co/6SRcd08h
#Jobs #India</t>
  </si>
  <si>
    <t>stcstudios
#article Top marketing trends to
not be missed in 2K18 by @inovies
https://t.co/dJ2M6gMTZg via @CustomerThink
https://t.co/BqZI4dRPVx</t>
  </si>
  <si>
    <t>twibs
@inovies added as a twitter business
at http://t.co/HRrR2A34m1. To manage
your account, go to http://t.co/XAfTgtF2tv</t>
  </si>
  <si>
    <t>iistefka
@Inovies Hi, I saw you, guys, on
Awwwards' website &amp;amp; would love
to get your feedback on a recent
submission: https://t.co/qkoScoYq1Z</t>
  </si>
  <si>
    <t>indianjobtalkss
Jobs http://t.co/1LrOZmvX Inovies
Marketing India Pvt Ltd Hyderabad
: Marketing Engineer: *Company...
http://t.co/k2nsSYC9 Vacancies</t>
  </si>
  <si>
    <t>nodebb
Will you become one with Growth
Hacker marketing? by @inovies https://t.co/VcihkqQ0sJ
via @CustomerThink #forum #nodebb</t>
  </si>
  <si>
    <t>alljobs4u_com
PHP Developer job in Inovies onsulting
Pvt Ltd at Hyderabad https://t.co/XRgMpVQh0l</t>
  </si>
  <si>
    <t>fuckthisdude2
@Inovies Lmao. Houthis are launching
missles and are indiscriminately
attacking international trade.
Bye bye houthis.</t>
  </si>
  <si>
    <t>jwjobssms
Technical Writers: Inovies @ Hyderabad.
Inovies: Birlasoft India @ Multiple
Locations. Web Designers: iCMG
@ Bangalore. Details @ JWJOBS.</t>
  </si>
  <si>
    <t>sandijobs
Inovies Hyderabad Walkin for Technical
Documentation Writers - Female
Only - Sandi Jobs http://t.co/kZvqJritt0</t>
  </si>
  <si>
    <t>mfcnovo
Is your Website ready to face the
next... http://t.co/tKCAsIuXi7
#mobilefriendlywebsite #responsivewebsite
#responsivedesign via @Inovies</t>
  </si>
  <si>
    <t>cinemaspecial
@vamsikaka Good. Mee site down
avvatam aaasharyam ledu mastaru.
inovies(mee designer and developer)
site gallanthu ayyindi.</t>
  </si>
  <si>
    <t xml:space="preserve">vamsikaka
</t>
  </si>
  <si>
    <t>excoecariamedia
Inovies - PHP Developers - 1.5
- 5 years - lz7qjoitzl https://t.co/502Ts4DZRa
#excoecaria #jobs.excoecaria.com
#career #careers #employmen…</t>
  </si>
  <si>
    <t>binabindu
Inovies offer very unique Website
Development in Hyderabad which
make our client deal with the work
easily. visit https://t.co/y67Olt6ZF5
#bestwebsitedevelopmentcompanyinhyderabad
#websitedevelopmentinhyderabad
#webapplicationdevelopmentcompanyinhyderabad
https://t.co/BLBP8NUMV4</t>
  </si>
  <si>
    <t>cssnectar
New #WebDesign Inspiration - Best
... http://t.co/SLXARDa1mY on http://t.co/iELzF83Dgj
@Inovies @w3webdesign_in http://t.co/IW1qAuXAaA</t>
  </si>
  <si>
    <t xml:space="preserve">w3webdesign_in
</t>
  </si>
  <si>
    <t>smontelimar
Bienvenue @Marie_Veille @SHIATSUDOMONTEL
@NSahuc @Superpromo2O18 @Nguyen56712041
@RhoneVallee @besson1258 @AvisProduitWeb
@at_graphisme @CoachEloquence @Roja_Inovies
@lamontilienne26 @VladoBotsvadze</t>
  </si>
  <si>
    <t xml:space="preserve">vladobotsvadze
</t>
  </si>
  <si>
    <t xml:space="preserve">lamontilienne26
</t>
  </si>
  <si>
    <t xml:space="preserve">coacheloquence
</t>
  </si>
  <si>
    <t xml:space="preserve">at_graphisme
</t>
  </si>
  <si>
    <t xml:space="preserve">avisproduitweb
</t>
  </si>
  <si>
    <t xml:space="preserve">besson1258
</t>
  </si>
  <si>
    <t xml:space="preserve">rhonevallee
</t>
  </si>
  <si>
    <t xml:space="preserve">nguyen56712041
</t>
  </si>
  <si>
    <t xml:space="preserve">superpromo2o18
</t>
  </si>
  <si>
    <t xml:space="preserve">nsahuc
</t>
  </si>
  <si>
    <t xml:space="preserve">shiatsudomontel
</t>
  </si>
  <si>
    <t xml:space="preserve">marie_veille
</t>
  </si>
  <si>
    <t>mguruz
(FRESHERS) "INOVIES" recruits FRESHERS
: Any Graduates / BE / B.Tech /
MCA / MBA : 2010 / 2009 Passout
: Technical... http://fb.me/QUealchY</t>
  </si>
  <si>
    <t>bob_thompson
Think effectively with SEO and
brand building strategies by @inovies
https://t.co/2gzinUUVq1 via @CustomerThink</t>
  </si>
  <si>
    <t>bluformiga
Le sigo de vuelta a @Inovies ➽
❤/RT Gracias, por seguirme!. "Like"
FB Fanpage https://t.co/6D1loW3HVy
via https://t.co/q7YKpZnOfD</t>
  </si>
  <si>
    <t>shittyscotty
I'll take a shot of alcohol and
let you taste it on my lips. only
inovies is someone so smooth.</t>
  </si>
  <si>
    <t>tgjobalert
Technical Writers job openings
at Inovies @ Hyderabad: 4 + years
of PHP experience… https://t.co/hgYxmhidyh</t>
  </si>
  <si>
    <t>jobs_board
Inovies Consulting: Technical Documentation
Writer (Hyderabad, ) http://jobs.as/d?j=623082
#Jobs #Job</t>
  </si>
  <si>
    <t>gvalan
Thanks for the recent follow @dinesh_vetal
@SuccessLake @Inovies! Happy to
connect :) have a great Monday.
_xD83D__xDD36_ https://t.co/59N8l0SVQ6</t>
  </si>
  <si>
    <t xml:space="preserve">successlake
</t>
  </si>
  <si>
    <t>inovies1
Inovies is the best pay per click
advertising company in Hyderabad.
We offer pay per click management
service to help businesses grow
and get more leads &amp;amp; sales.
https://t.co/YIjeRnQHMR #PPCAgency
#PPCAgecnyHyderabad https://t.co/TY1uRHfntd</t>
  </si>
  <si>
    <t>oncemanu
@_minaesthetic british accent is
so cool, i always try to recreate
it when i hear it inovies and stuff
djjckckxk</t>
  </si>
  <si>
    <t>defindia
@Inovies Embrace us with your presence
@manthanaward on Dec1-9th Annual
Digital Festival Development. http://t.co/9bIhAz92
#manthan</t>
  </si>
  <si>
    <t xml:space="preserve">manthanaward
</t>
  </si>
  <si>
    <t>entwistletx
Inovies, thanks for your follow!
Who is your favorite person in
history? https://t.co/5BH9HiTg9W
#thankfulfor #followers</t>
  </si>
  <si>
    <t>360ie
Actionable Growth Hacking Tactics
we follow at inovies https://t.co/QaxYra44Ic</t>
  </si>
  <si>
    <t>willowassist
TFTF @Inovies _xD83D__xDC9A_ Did you see "Be
The Tree, Not a Leaf" ➡️ https://t.co/LAOuX75G2V
⬅️ #SelfHealing #Love #Mindfulness
#Understanding #Life https://t.co/qHgi8M1cFF</t>
  </si>
  <si>
    <t>twitpulse_in
Paging inovies (@inovies, 629 followers).
Your last tweet was 90 days ago.
Are you OK? _xD83E__xDD12_</t>
  </si>
  <si>
    <t>zerocoollatte
Thanks for the recent follow @Bskhod
@Inovies Happy to connect :) have
a great Saturday. ➡️ Want this
_xD83C__xDD93_❓ https://t.co/osnmCP95Qb</t>
  </si>
  <si>
    <t>expertjobsorg
(EXPERIENCED) Walk-In @ 'INOVIES'
: JAVA Developers : On 15, 16 September
2014 @ Hyderabad More: http://t.co/b7WnZqC4AE</t>
  </si>
  <si>
    <t>darbeputtur
@shaandelhite Better you can make
him an actor rather than politician
inovies</t>
  </si>
  <si>
    <t xml:space="preserve">shaandelhite
</t>
  </si>
  <si>
    <t>therealfrankson
Adulting: watch destruction inovies
and thinking, "damn, that'll cost
some billions well to rebuild"</t>
  </si>
  <si>
    <t>varahipackage
RT @Inovies: . . . . . . Dont Mind
Testing Twitter #DunkiReview #SalaarCeaseFire
#CompanionInNeed #HBDYSJagan #AskSRK
#IPLAuction #BoycottP…</t>
  </si>
  <si>
    <t>c_randieri
Inovies Thanks for following us
! https://t.co/HIGPBnvqTD</t>
  </si>
  <si>
    <t>exploremyjobs
Walk-in at Inovies for Trainee
Content Writers on 4th November
2016 - Hyderabad. Details @...
https://t.co/tW1swIa7hS</t>
  </si>
  <si>
    <t>wiergeezy
@Inovies @PNBurrows @creditcarddl
- Happy to have you in my community
:)</t>
  </si>
  <si>
    <t xml:space="preserve">pnburrows
</t>
  </si>
  <si>
    <t>jobsposot_in
New job offer: India it jobs inovies
requires technical hyderabad   
http://bit.ly/iS7GIJ</t>
  </si>
  <si>
    <t>srikanth55557
INOVIES | IT Technology | Web Design
and Development| Indusutrial Craft
http://t.co/QHextqae via @sharethis</t>
  </si>
  <si>
    <t>lexkuhne
@espn "Imagine," like when your
dreams kill you inovies? They're
both silly and fugly.</t>
  </si>
  <si>
    <t xml:space="preserve">espn
</t>
  </si>
  <si>
    <t xml:space="preserve">youtube
</t>
  </si>
  <si>
    <t xml:space="preserve">mrblackog
</t>
  </si>
  <si>
    <t>peopleperhour
@Inovies Thank you for following,
_xD83D__xDC1B_ Have you joined our G+ Community
_xD83D__xDC49_ https://t.co/JdxdutDFSu</t>
  </si>
  <si>
    <t>Directed</t>
  </si>
  <si>
    <t>Workbook Settings 2</t>
  </si>
  <si>
    <t>Top URLs in Tweet in Entire Graph</t>
  </si>
  <si>
    <t>https://inovies.com</t>
  </si>
  <si>
    <t>https://www.inovies.com/digital-marketing/</t>
  </si>
  <si>
    <t>https://www.inovies.com</t>
  </si>
  <si>
    <t>https://www.inovies.com/web-design/</t>
  </si>
  <si>
    <t>https://inovies.com/digital-marketing/</t>
  </si>
  <si>
    <t>https://www.inovies.com/web-design/web-designing-company-in-hyderabad</t>
  </si>
  <si>
    <t>https://twitter.com/Inovies/status/1402693044516757504</t>
  </si>
  <si>
    <t>https://www.inovies.com/digital-marketing-company/</t>
  </si>
  <si>
    <t>https://twitter.com/Inovies</t>
  </si>
  <si>
    <t>https://www.inovies.com/digital-marketing-company/seo-company</t>
  </si>
  <si>
    <t>Entire Graph Count</t>
  </si>
  <si>
    <t>Top URLs in Tweet</t>
  </si>
  <si>
    <t>Top Domains in Tweet in Entire Graph</t>
  </si>
  <si>
    <t>Top Domains in Tweet</t>
  </si>
  <si>
    <t>Top Hashtags in Tweet in Entire Graph</t>
  </si>
  <si>
    <t>seo</t>
  </si>
  <si>
    <t>smm</t>
  </si>
  <si>
    <t>branding</t>
  </si>
  <si>
    <t>ppc</t>
  </si>
  <si>
    <t>sem</t>
  </si>
  <si>
    <t>hyderabad</t>
  </si>
  <si>
    <t>contentmarketing</t>
  </si>
  <si>
    <t>Top Hashtags in Tweet</t>
  </si>
  <si>
    <t>Top Words in Tweet in Entire Graph</t>
  </si>
  <si>
    <t>#inovies</t>
  </si>
  <si>
    <t>#digitalmarketing</t>
  </si>
  <si>
    <t>#seo</t>
  </si>
  <si>
    <t>#smm</t>
  </si>
  <si>
    <t>#branding</t>
  </si>
  <si>
    <t>#ppc</t>
  </si>
  <si>
    <t>#sem</t>
  </si>
  <si>
    <t>#hyderabad</t>
  </si>
  <si>
    <t>#digitalmarketingagency</t>
  </si>
  <si>
    <t>Top Words in Tweet</t>
  </si>
  <si>
    <t>Top Word Pairs in Tweet in Entire Graph</t>
  </si>
  <si>
    <t>#digitalmarketing,#onlinemarketing</t>
  </si>
  <si>
    <t>#onlinemarketing,#seo</t>
  </si>
  <si>
    <t>#searchrankings,#onlinepresence</t>
  </si>
  <si>
    <t>#marketingtips,#brandbuilding</t>
  </si>
  <si>
    <t>#ppc,#marketingtips</t>
  </si>
  <si>
    <t>#digitalstrategy,#sem</t>
  </si>
  <si>
    <t>#branding,#smm</t>
  </si>
  <si>
    <t>#ecommercemarketing,#contentmarketing</t>
  </si>
  <si>
    <t>#onlinepresence,#roi</t>
  </si>
  <si>
    <t>#seo,#ecommercemarketing</t>
  </si>
  <si>
    <t>Top Word Pairs in Tweet</t>
  </si>
  <si>
    <t>Top Replied-To in Entire Graph</t>
  </si>
  <si>
    <t>_minaesthetic</t>
  </si>
  <si>
    <t>Top Mentioned in Entire Graph</t>
  </si>
  <si>
    <t>gexton</t>
  </si>
  <si>
    <t>Top Replied-To in Tweet</t>
  </si>
  <si>
    <t>Top Mentioned in Tweet</t>
  </si>
  <si>
    <t>Top Tweeters in Entire Graph</t>
  </si>
  <si>
    <t>Top Tweeters</t>
  </si>
  <si>
    <t>Top URLs in Tweet by Count</t>
  </si>
  <si>
    <t>http://goo.gl/nV4liR</t>
  </si>
  <si>
    <t>https://inovies.com https://www.inovies.com/digital-marketing/ https://www.inovies.com https://inovies.com/digital-marketing/ https://twitter.com/Inovies/status/1402693044516757504 http://www.inovies.com/10-simple-ways-to-drive-better-quality-leads-from-your-website-78-inovies.html https://twitter.com/inovies/status/1402693044516757504 https://www.paypal-proserv.com/newmoney/celebrating-entrepreneurs/allprofiles.php?id=865 https://bit.ly/3Rj51nb http://www.inovies.com</t>
  </si>
  <si>
    <t>http://dragplus.com/post/id/34255305 https://dragplus.com/post/id/37318508 https://dragplus.com/post/id/37880695 https://dragplus.com/post/id/37880697 https://dragplus.com/post/id/37880696</t>
  </si>
  <si>
    <t>http://dlvr.it/MY983r</t>
  </si>
  <si>
    <t>http://goo.gl/fb/g6OUB</t>
  </si>
  <si>
    <t>http://dld.bz/jkhyX http://dld.bz/e7hFg http://dld.bz/guNNa</t>
  </si>
  <si>
    <t>https://www.webguruawards.com/user/details/webdesignagency-1662 http://webguruawards.com/winners https://webguruawards.com/winners</t>
  </si>
  <si>
    <t>https://paper.li/e-1505227948?edition_id=c2f075e0-b34a-11e7-8e26-0cc47a0d15fd</t>
  </si>
  <si>
    <t>http://paper.li/e-1435832732?edition_id=85117d90-bb72-11e5-96f4-002590a5ba2d https://paper.li/e-1435832732?edition_id=b03b63c0-b3ee-11e7-af31-002590a5ba2d</t>
  </si>
  <si>
    <t>https://www.followupthen.com</t>
  </si>
  <si>
    <t>https://www.inovies.com/digital-marketing/growth-hacking https://goo.gl/c6bQLQ https://www.inovies.com/technical-writing/software-project-documentation-company https://www.inovies.com/technical-writing/website-content-company https://www.inovies.com/technical-writing/technical-documentaion-services-company https://www.inovies.com/technical-writing/pre-sales-sales-marketing-communication-company https://www.inovies.com/technical-writing/training-materials-company https://www.inovies.com/technical-writing/newsletter-and-email-writing-company https://www.inovies.com/technical-writing/slogan-writing-tagline-writing-company https://goo.gl/36LgiX</t>
  </si>
  <si>
    <t>https://customerthink.com/will-you-become-one-with-growth-hacker-marketing/</t>
  </si>
  <si>
    <t>http://www.inovies.com/indias-cloud-growth-lessons-6-inovies.html http://inovies.com/inovies_news.php?id=18 http://www.inovies.com/smbs-favorite-sources-for-sales-leads-9-inovies.html http://www.inovies.com/microsoft-makes-windows-free-for-small-devices-22-inovies.html http://www.inovies.com/microsoft-cuts-azure-pricing-19-inovies.html http://www.inovies.com/following-are-the-8-amazing-operating-systems-getting-to-know-them-17-inovies.html http://www.inovies.com/cyber-attacks-against-indian-government-and-financial-organizations-witness-more-than-100-percent-ju-7-inovies.html http://www.inovies.com/ubuntu-smartphone-wont-be-as-open-as-they-say-18-inovies.html http://www.inovies.com/inovies-job-apply.php?jid=11 http://inovies.com/inovies_news.php?id=21</t>
  </si>
  <si>
    <t>https://app.bitly.com/Bj8k6mNLbHH/bitlinks/2NlE0Qu http://bit.ly/2NlE0Qu https://www.freehostforum.com//forum/web-hosting-forum-web-hosting-web-host-hosting-managed-hosting-shared-hosting/web-hosting-forum/605984-inovies-digital-marketing-agency%C2%A0in-hyderabad#post605984 https://www.inovies.com/digital-marketing-company/</t>
  </si>
  <si>
    <t>https://goo.gl/ozkQCA</t>
  </si>
  <si>
    <t>http://www.inovies.com/news.php</t>
  </si>
  <si>
    <t>http://tinyurl.com/lu764oq http://tinyurl.com/k7ztz4m</t>
  </si>
  <si>
    <t>https://x.com/its_me_Mahii/status/1736510131028783379?s=20</t>
  </si>
  <si>
    <t>http://fb.me/2Gm62A7h0</t>
  </si>
  <si>
    <t>http://ift.tt/2q3fHez</t>
  </si>
  <si>
    <t>http://TopDevelopers.co https://bit.ly/3kr97ri https://bit.ly/3fs59eV https://bit.ly/2ItxUwZ https://bit.ly/39b0qy9</t>
  </si>
  <si>
    <t>http://www.chetanasforum.com/topic/108138-freshers-inovies http://www.chetanasforum.com/topic/108200-tomorrow-inovies http://www.chetanasforum.com/topic/108735-tomorrow-inovies</t>
  </si>
  <si>
    <t>https://paper.li/webpage_tips/1505152105?edition_id=4eccfa80-b363-11e7-af31-002590a5ba2d</t>
  </si>
  <si>
    <t>https://writeupcafe.com/blog/business/1205656-digital-marketing-seo-service-inovies/ https://writeupcafe.com/blog/visual-design/1205665-inovies-is-top-most-best-web-designing-company-based-in-hyderabad-india/ https://writeupcafe.com/blog/marketing/1206053-inovies-is-top-digital-marketing-agency-in-hyderabad/ https://writeupcafe.com/blog/visual-design/1206056-inovies-is-best-website-design-company/ https://writeupcafe.com/blog/marketing/1206456-inovies-is-best-digital-marketing-services-in-hyderabad/ https://writeupcafe.com/blog/visual-design/1206461-inovies-is-best-website-design-company-2/ https://writeupcafe.com/blog/marketing/1206692-inovies-is-best-digital-marketing-agency-seo-sem-services-in-hyderabad/ https://writeupcafe.com/blog/marketing/1214041-inovies-is-one-of-the-best-website-content-writing-services-in-hyderabad/ https://writeupcafe.com/blog/business/1214246-advertising-agencies-for-business-sales-inovies/ https://writeupcafe.com/blog/business/1214603-best-website-design-services-in-hyderabad-inovies/</t>
  </si>
  <si>
    <t>http://p.ost.im/p/e2T3PN</t>
  </si>
  <si>
    <t>https://www.inovies.com/web-design/ https://www.inovies.com/web-design/web-designing-company-in-hyderabad https://www.inovies.com/web-design/ecommerce-website-design-company https://www.inovies.com/digital-marketing-company/social-media-marketing-company https://www.inovies.com/web-design/website-design-packages https://www.inovies.com/digital-marketing-company/seo-company https://www.inovies.com/web-design/responsive-web-design-company https://www.inovies.com/digital-marketing-company/ https://www.inovies.com/digital-marketing-company/content-marketing-strategy-company https://urlzs.com/a3vGd</t>
  </si>
  <si>
    <t>http://vulpine.social/how-to-promote-your-blog http://bit.ly/ShanaHaynie</t>
  </si>
  <si>
    <t>http://bit.ly/2lH694G</t>
  </si>
  <si>
    <t>http://dlvr.it/v3H4b</t>
  </si>
  <si>
    <t>http://bit.ly/XmLXWS</t>
  </si>
  <si>
    <t>http://dlvr.it/Py5JSn</t>
  </si>
  <si>
    <t>http://bit.ly/AopjtK</t>
  </si>
  <si>
    <t>http://grwth.link/whats-growth-marketing</t>
  </si>
  <si>
    <t>https://bit.ly/30r2Oga</t>
  </si>
  <si>
    <t>http://tinyurl.com/cxdqqq6</t>
  </si>
  <si>
    <t>http://wp.me/p4zw85-9Mm http://wp.me/p4zw85-9Nn</t>
  </si>
  <si>
    <t>http://dld.bz/dZxGh</t>
  </si>
  <si>
    <t>https://tinyurl.com/y2bcujb3</t>
  </si>
  <si>
    <t>http://goo.gl/fb/9UKiz4</t>
  </si>
  <si>
    <t>http://hyderabad.namanas.com/clad_5e4460aaee6dd.html http://hyderabad.namanas.com/clad_5e4ee4a0e8f02.html http://hyderabad.namanas.com/clad_5e56de21df516.html http://hyderabad.namanas.com/clad_5e5812b5e6c1b.html http://hyderabad.namanas.com/clad_5e5812b9b6d71.html http://hyderabad.namanas.com/clad_5e658ee1568f4.html http://hyderabad.namanas.com/clad_5e86443bd27af.html http://hyderabad.namanas.com/clad_5e86443d69b05.html</t>
  </si>
  <si>
    <t>https://www.designernews.co/stories/106829-inovies-digital-marketing-company?utm_source=twitter&amp;utm_medium=social&amp;utm_campaign=designernewsbot</t>
  </si>
  <si>
    <t>http://www.mtv.com/news/2896215/the-unbearable-blakeness-of-lively/?utm=share_twitter</t>
  </si>
  <si>
    <t>https://www.dreamcreationsevents.com/event/tcpl-season-2/</t>
  </si>
  <si>
    <t>http://bit.ly/watch-behind-the-scenes</t>
  </si>
  <si>
    <t>http://www.micromanagerapps.com/</t>
  </si>
  <si>
    <t>https://lnkd.in/eTP-h_M</t>
  </si>
  <si>
    <t>http://fb.me/1jJCXbOy4</t>
  </si>
  <si>
    <t>http://amzn.to/2Bxgqba</t>
  </si>
  <si>
    <t>http://smarturl.it/mh9e52 https://twitter.com/Inovies</t>
  </si>
  <si>
    <t>http://shar.es/Trdm8</t>
  </si>
  <si>
    <t>http://placementfloor.com/inovies-looking-for-trainee-technical-writer-female-only-graduates-2013-passout-or-earlier/</t>
  </si>
  <si>
    <t>https://seeklogo.com/vector-logo/449219/inovies</t>
  </si>
  <si>
    <t>https://careerjobs.co.in/inovies-consulting-walk-in-for-php-codeigniter/</t>
  </si>
  <si>
    <t>http://smarturl.it/mh9e52</t>
  </si>
  <si>
    <t>http://bit.ly/SHmvYF</t>
  </si>
  <si>
    <t>http://fb.me/6AXbc6GRV http://fb.me/32GHeueoF</t>
  </si>
  <si>
    <t>http://m.careerage.com/ad/xar672 http://m.careerage.com/ad/vu993o</t>
  </si>
  <si>
    <t>https://fb.me/NXevbXMG</t>
  </si>
  <si>
    <t>http://goo.gl/fb/mFntkz</t>
  </si>
  <si>
    <t>http://www.geekrelief.com/business-analytics-website-maintenance-checklist-part-2/</t>
  </si>
  <si>
    <t>https://www.mynetcomms.com</t>
  </si>
  <si>
    <t>https://www.altereco.media/cW0</t>
  </si>
  <si>
    <t>https://www.instagram.com/p/BbKTSxHBdI9/</t>
  </si>
  <si>
    <t>http://bit.ly/Sr86zP http://bit.ly/tDPpxp</t>
  </si>
  <si>
    <t>http://bit.ly/2DNutt8</t>
  </si>
  <si>
    <t>https://www.awwwards.com/sites/onbrand-17-beyond</t>
  </si>
  <si>
    <t>http://customerthink.com/will-you-become-one-with-growth-hacker-marketing/</t>
  </si>
  <si>
    <t>https://goo.gl/fb/6bZeaE</t>
  </si>
  <si>
    <t>http://fb.me/1wHvhBUMs</t>
  </si>
  <si>
    <t>http://www.example.com/</t>
  </si>
  <si>
    <t>http://ift.tt/1S5ndwp</t>
  </si>
  <si>
    <t>https://www.inovies.com/digital-marketing-company/seo-company https://twitter.com/i/web/status/1199280373106003968 https://twitter.com/i/web/status/1198924003072602113 https://ecommerdwebsitedevelopmentce.wordpress.com/2020/04/29/web-application-development-company/ https://ecommerdwebsitedevelopmentce.wordpress.com/2020/05/07/custom-android-application-development-company/ https://ecommerdwebsitedevelopmentce.wordpress.com/2020/05/08/advanced-website-development-company/ https://inovieswebanddevelopmentcompany.design.blog/2020/04/09/web-development-company-in-hyderabad/ https://inovieswebanddevelopmentcompany.design.blog/2020/04/14/ecommerce-website-development-company/ https://inovieswebanddevelopmentcompany.design.blog/2020/04/16/website-development-company-in-hyderabad/ https://www.inovies.com/digital-marketing-company/ppc/pay-per-click-management-services</t>
  </si>
  <si>
    <t>http://CSSNectar.com http://cssnectar.com/css-gallery-inspiration/best-web-design-company-in-uae/ http://cssnectar.com/css-gallery-inspiration/best-website-design-company-in-hyderabad-india/ https://cssnectar.com/css-gallery-inspiration/inovies/</t>
  </si>
  <si>
    <t>http://customerthink.com/think-effectively-with-seo-and-brand-building-strategies/ http://customerthink.com/7-social-media-habits-you-need-to-stop-right-now/</t>
  </si>
  <si>
    <t>https://goo.gl/fb/neDsXP https://goo.gl/fb/ikyrIJ https://goo.gl/fb/PkDpxM https://goo.gl/fb/g5WU3b https://goo.gl/fb/7TbwbQ https://goo.gl/fb/3yWiIV https://goo.gl/fb/yh2tZK</t>
  </si>
  <si>
    <t>https://commun.it/thank-you/?aid=thankyou134</t>
  </si>
  <si>
    <t>http://bit.ly/35DOSzX</t>
  </si>
  <si>
    <t>http://bitly.com/QsHZJ1</t>
  </si>
  <si>
    <t>http://ow.ly/TwQx30cJigK</t>
  </si>
  <si>
    <t>http://paper.li/AD360IE/1487249796?read=https%3A%2F%2Fwww.inovies.com%2Fdigital%2Dmarketing%2Fgrowth%2Dhacking</t>
  </si>
  <si>
    <t>http://willow.link/grounded/</t>
  </si>
  <si>
    <t>https://commun.it/?aid=thankyou162</t>
  </si>
  <si>
    <t>http://bit.ly/1b05wwM http://bit.ly/1ypmGeY http://bit.ly/1s8LVew http://bit.ly/1oRAh6P http://bit.ly/1artvDU http://bit.ly/1yotgVy http://bit.ly/1OiORRg http://bit.ly/1HcxbVT http://bit.ly/1zis5mi http://bit.ly/1zjnIra</t>
  </si>
  <si>
    <t>http://fb.me/5N77BAiUk</t>
  </si>
  <si>
    <t>http://shar.es/6QTXQ http://shar.es/6QVkM http://shar.es/6QVIG</t>
  </si>
  <si>
    <t>Top URLs in Tweet by Salience</t>
  </si>
  <si>
    <t>https://inovies.com https://www.inovies.com/digital-marketing/ https://www.inovies.com https://inovies.com/digital-marketing/ https://twitter.com/Inovies/status/1402693044516757504 http://www.inovies.com/10-simple-ways-to-drive-better-quality-leads-from-your-website-78-inovies.html http://www.inovies.com https://twitter.com/inovies/status/1402693044516757504 https://www.paypal-proserv.com/newmoney/celebrating-entrepreneurs/allprofiles.php?id=865 https://bit.ly/3Rj51nb</t>
  </si>
  <si>
    <t>https://dragplus.com/post/id/37318508 http://dragplus.com/post/id/34255305 https://dragplus.com/post/id/37880697 https://dragplus.com/post/id/37880696 https://dragplus.com/post/id/37880695</t>
  </si>
  <si>
    <t>http://dld.bz/guNNa http://dld.bz/jkhyX http://dld.bz/e7hFg</t>
  </si>
  <si>
    <t>https://www.webguruawards.com/user/details/webdesignagency-1662 https://webguruawards.com/winners http://webguruawards.com/winners</t>
  </si>
  <si>
    <t>https://www.inovies.com/technical-writing/technical-documentaion-services-company https://www.inovies.com/technical-writing/newsletter-and-email-writing-company https://www.inovies.com/technical-writing/pre-sales-sales-marketing-communication-company https://www.inovies.com/technical-writing/software-project-documentation-company https://www.inovies.com/technical-writing/website-content-company https://www.inovies.com/digital-marketing/growth-hacking https://www.inovies.com/technical-writing/slogan-writing-tagline-writing-company https://goo.gl/c6bQLQ https://www.inovies.com/technical-writing/training-materials-company https://goo.gl/WptreJ</t>
  </si>
  <si>
    <t>http://www.inovies.com/indias-cloud-growth-lessons-6-inovies.html http://inovies.com/inovies_news.php?id=18 http://www.inovies.com/cyber-attacks-against-indian-government-and-financial-organizations-witness-more-than-100-percent-ju-7-inovies.html http://www.inovies.com/microsoft-cuts-azure-pricing-19-inovies.html http://www.inovies.com/smbs-favorite-sources-for-sales-leads-9-inovies.html http://www.inovies.com/ubuntu-smartphone-wont-be-as-open-as-they-say-18-inovies.html http://www.inovies.com/microsoft-makes-windows-free-for-small-devices-22-inovies.html http://www.inovies.com/following-are-the-8-amazing-operating-systems-getting-to-know-them-17-inovies.html http://inovies.com/inovies_news.php?id=19 http://www.inovies.com/inovies_news.php?id=13</t>
  </si>
  <si>
    <t>https://www.inovies.com/digital-marketing-company/ http://bit.ly/2NlE0Qu https://app.bitly.com/Bj8k6mNLbHH/bitlinks/2NlE0Qu https://www.freehostforum.com//forum/web-hosting-forum-web-hosting-web-host-hosting-managed-hosting-shared-hosting/web-hosting-forum/605984-inovies-digital-marketing-agency%C2%A0in-hyderabad#post605984</t>
  </si>
  <si>
    <t>http://tinyurl.com/k7ztz4m http://tinyurl.com/lu764oq</t>
  </si>
  <si>
    <t>https://bit.ly/3fs59eV https://bit.ly/39b0qy9 http://TopDevelopers.co https://bit.ly/3kr97ri https://bit.ly/2ItxUwZ</t>
  </si>
  <si>
    <t>http://www.chetanasforum.com/topic/108200-tomorrow-inovies http://www.chetanasforum.com/topic/108735-tomorrow-inovies http://www.chetanasforum.com/topic/108138-freshers-inovies</t>
  </si>
  <si>
    <t>https://writeupcafe.com/blog/business/1214603-best-website-design-services-in-hyderabad-inovies/ https://writeupcafe.com/blog/business/1214246-advertising-agencies-for-business-sales-inovies/ https://writeupcafe.com/blog/social-media/1223120-inovies-social-media-marketing-agency/ https://writeupcafe.com/blog/marketing/1207480-inovies-is-ppc-advertising-company-in-hyderabad-with-search-engine-optimization-social-media-and-email-marketing/ https://writeupcafe.com/blog/visual-design/1205665-inovies-is-top-most-best-web-designing-company-based-in-hyderabad-india/ https://writeupcafe.com/blog/marketing/1209829-inovies-content-marketing/ https://writeupcafe.com/blog/visual-design/1206056-inovies-is-best-website-design-company/ https://writeupcafe.com/blog/visual-design/1206461-inovies-is-best-website-design-company-2/ https://writeupcafe.com/blog/business/1206820-affordable-seo-services-company-inovies/ https://writeupcafe.com/blog/marketing/1213163-inovies-is-a-content-marketing-solutions-and-digital-marketing-agencies-in-hyderabad/</t>
  </si>
  <si>
    <t>https://www.inovies.com/web-design/ https://www.inovies.com/web-design/web-designing-company-in-hyderabad https://www.inovies.com/web-design/ecommerce-website-design-company https://www.inovies.com/web-design/website-design-packages https://www.inovies.com/digital-marketing-company/social-media-marketing-company https://www.inovies.com/digital-marketing-company/content-marketing-strategy-company https://www.inovies.com/digital-marketing-company/ https://www.inovies.com/web-design/responsive-web-design-company https://www.inovies.com/digital-marketing-company/seo-company https://urlzs.com/a3vGd</t>
  </si>
  <si>
    <t>http://wp.me/p4zw85-9Nn http://wp.me/p4zw85-9Mm</t>
  </si>
  <si>
    <t>http://hyderabad.namanas.com/clad_5e86443d69b05.html http://hyderabad.namanas.com/clad_5e4ee4a0e8f02.html http://hyderabad.namanas.com/clad_5e658ee1568f4.html http://hyderabad.namanas.com/clad_5e5812b5e6c1b.html http://hyderabad.namanas.com/clad_5e5812b9b6d71.html http://hyderabad.namanas.com/clad_5e4460aaee6dd.html http://hyderabad.namanas.com/clad_5e56de21df516.html http://hyderabad.namanas.com/clad_5e86443bd27af.html</t>
  </si>
  <si>
    <t>https://www.bizofit.com/business-directory/inovies/?p=1323233 https://www.inovies.com</t>
  </si>
  <si>
    <t>http://fb.me/32GHeueoF http://fb.me/6AXbc6GRV</t>
  </si>
  <si>
    <t>http://www.twibs.com/signin.php http://www.twibs.com</t>
  </si>
  <si>
    <t>https://twitter.com/i/web/status/1199280373106003968 https://twitter.com/i/web/status/1198924003072602113 https://www.inovies.com/digital-marketing-company/seo-company http://bit.ly/37vTjxz https://ecommerdwebsitedevelopmentce.wordpress.com/2020/05/08/advanced-website-development-company/ https://inovieswebanddevelopmentcompany.design.blog/2020/04/16/website-development-company-in-hyderabad/ https://inovieswebanddevelopmentcompany.design.blog/2020/04/14/ecommerce-website-development-company/ https://ecommerdwebsitedevelopmentce.wordpress.com/2020/04/29/web-application-development-company/ http://bit.ly/36aECOs http://bit.ly/35YV0m0</t>
  </si>
  <si>
    <t>http://cssnectar.com/css-gallery-inspiration/best-web-design-company-in-uae/ http://cssnectar.com/css-gallery-inspiration/best-website-design-company-in-hyderabad-india/ https://cssnectar.com/css-gallery-inspiration/inovies/ http://CSSNectar.com</t>
  </si>
  <si>
    <t>http://customerthink.com/7-social-media-habits-you-need-to-stop-right-now/ http://customerthink.com/think-effectively-with-seo-and-brand-building-strategies/</t>
  </si>
  <si>
    <t>https://goo.gl/fb/7TbwbQ https://goo.gl/fb/neDsXP https://goo.gl/fb/3yWiIV https://goo.gl/fb/g5WU3b https://goo.gl/fb/yh2tZK https://goo.gl/fb/PkDpxM https://goo.gl/fb/ikyrIJ</t>
  </si>
  <si>
    <t>http://bit.ly/1b05wwM http://bit.ly/1ypmGeY http://bit.ly/1OiORRg http://bit.ly/1s8LVew http://bit.ly/1nvLe2Y http://bit.ly/1ygoi8I http://bit.ly/1zjnIra http://bit.ly/1yotgVy http://bit.ly/1sPBuho http://bit.ly/1BhlJrg</t>
  </si>
  <si>
    <t>http://shar.es/6QVkM http://shar.es/6QVIG http://shar.es/6QTXQ</t>
  </si>
  <si>
    <t>Top Domains in Tweet by Count</t>
  </si>
  <si>
    <t>inovies.com ow.ly twitter.com goo.gl linkedin.com g.co yourstory.com klou.tt paypal-proserv.com bit.ly</t>
  </si>
  <si>
    <t>goo.gl inovies.com lnkd.in</t>
  </si>
  <si>
    <t>bitly.com bit.ly freehostforum.com inovies.com</t>
  </si>
  <si>
    <t>bit.ly topdevelopers.co</t>
  </si>
  <si>
    <t>inovies.com is.gd urlzs.com 2020.contact b.link tinyurl.com cutt.ly company.contact</t>
  </si>
  <si>
    <t>vulpine.social bit.ly</t>
  </si>
  <si>
    <t>smarturl.it twitter.com</t>
  </si>
  <si>
    <t>bit.ly twitter.com wordpress.com design.blog inovies.com talk.company cutt.ly</t>
  </si>
  <si>
    <t>Top Domains in Tweet by Salience</t>
  </si>
  <si>
    <t>ow.ly inovies.com twitter.com goo.gl linkedin.com g.co yourstory.com klou.tt paypal-proserv.com youtube.com</t>
  </si>
  <si>
    <t>goo.gl twitter.com</t>
  </si>
  <si>
    <t>inovies.com goo.gl lnkd.in</t>
  </si>
  <si>
    <t>freehostforum.com bitly.com bit.ly inovies.com</t>
  </si>
  <si>
    <t>statusbrew.com youtu.be</t>
  </si>
  <si>
    <t>is.gd inovies.com 2020.contact cutt.ly company.contact b.link tinyurl.com urlzs.com</t>
  </si>
  <si>
    <t>twitter.com smarturl.it</t>
  </si>
  <si>
    <t>statusbrew.com pronounce.media</t>
  </si>
  <si>
    <t>bit.ly inoviesmarketing.com</t>
  </si>
  <si>
    <t>twitter.com bit.ly design.blog wordpress.com inovies.com cutt.ly talk.company</t>
  </si>
  <si>
    <t>statusbrew.com bit.ly</t>
  </si>
  <si>
    <t>Top Hashtags in Tweet by Count</t>
  </si>
  <si>
    <t>inovies digitalmarketing seo branding smm ppc sem hyderabad digitalmarketingagency onlinemarketing</t>
  </si>
  <si>
    <t>inovies web</t>
  </si>
  <si>
    <t>webguruawards winners may 19may 19may2015 19may2016 19may2017 19may2018 19may2019 19may2020</t>
  </si>
  <si>
    <t>inovies hyderabad company india best webdevelopment digitalmarketing in smo webdesign</t>
  </si>
  <si>
    <t>hyderabad best_digital_marketing agency seo_company digital_marketing_agency digitamarketing_company</t>
  </si>
  <si>
    <t>website tech webdesign</t>
  </si>
  <si>
    <t>appdevelopment appdevelopers appdevelopmentcompanies appdevelopmentagencies uiuxdesigningagencies uiuxdesigners webdesign uiuxdesign seo august2020</t>
  </si>
  <si>
    <t>webdesign webdevelopment webdeveloper websitedesign webdesigner websitedevelopment website webdevelopers websiteinfo inoviescontentmarketing</t>
  </si>
  <si>
    <t>contentpromotion linkedin</t>
  </si>
  <si>
    <t>followfriday book</t>
  </si>
  <si>
    <t>web design development</t>
  </si>
  <si>
    <t>india jobs indiaj mba indiajobsearch indiajobs</t>
  </si>
  <si>
    <t>standbypvsunilkumarips standbypvsunilkumarip</t>
  </si>
  <si>
    <t>free mobilefriendlywebsite responsivewebsite responsivedesign images website webdesign</t>
  </si>
  <si>
    <t>seoinhyderabad webdevelopmentcompanyinhyderabad websitedevelopmentcompanyinhyderabad webdevelopersinhyderabad seoservicescompanyinhyderabad seoservicesinhyderabad seocompaniesinhyderabad payperclickadvertising bestseoservicesinhyderabad bestwebsitedevelopmentcompanyinhyderabad</t>
  </si>
  <si>
    <t>ppcagency ppcagecnyhyderabad ppccompany payperclickadvertising payperclickmarketing</t>
  </si>
  <si>
    <t>Top Hashtags in Tweet by Salience</t>
  </si>
  <si>
    <t>onlinemarketing contentmarketing marketingtips brandbuilding roi onlineadvertising ecommercemarketing onlinepresence seotips searchrankings</t>
  </si>
  <si>
    <t>web inovies</t>
  </si>
  <si>
    <t>india uxjobs</t>
  </si>
  <si>
    <t>19may2020 19may2021 19may application marketing may webguru development digital winners</t>
  </si>
  <si>
    <t>s company digitalmarketing inovies hyderabad consulting best</t>
  </si>
  <si>
    <t>hyderabad inovies company best india digitalmarketing webdevelopment in smo marketing</t>
  </si>
  <si>
    <t>best_digital_marketing digital_marketing_agency digitamarketing_company agency seo_company hyderabad</t>
  </si>
  <si>
    <t>goodfirms mobileappdevelopment reviews</t>
  </si>
  <si>
    <t>website webdesign tech</t>
  </si>
  <si>
    <t>appdevelopment appdevelopers appdevelopmentcompanies appdevelopmentagencies uiuxdesign seoagencies webdesign appdev mobileappdevelopment searchengineoptimizationservices</t>
  </si>
  <si>
    <t>dawoodibrahim inovies wikipedia</t>
  </si>
  <si>
    <t>webdevelopment webdeveloper webdesign websitedesign webdesigner websitedevelopment website webdevelopers websiteinfo inoviescontentmarketing</t>
  </si>
  <si>
    <t>linkedin contentpromotion</t>
  </si>
  <si>
    <t>crm salesefficiency salestips</t>
  </si>
  <si>
    <t>writingjobs writing freelance jobs</t>
  </si>
  <si>
    <t>top hyderabad companies list mobileapp</t>
  </si>
  <si>
    <t>classifieds classifiedads</t>
  </si>
  <si>
    <t>indywood digitalmarketing inovies webdevelopment itexcellenceaward indywood_it_excellence_award</t>
  </si>
  <si>
    <t>tv5 telangana hoteljubilleridge 7hsportsevents hyderabad corporate tcpl cricket eliteacademy</t>
  </si>
  <si>
    <t>book followfriday</t>
  </si>
  <si>
    <t>indiajobs indiaj mba jobs indiajobsearch india</t>
  </si>
  <si>
    <t>pallaviprashanth inovies biggbosstelugu7</t>
  </si>
  <si>
    <t>totsambnovios laviaenfa80 inovies celebraciodaniversari</t>
  </si>
  <si>
    <t>india jobs</t>
  </si>
  <si>
    <t>free webdesign responsivedesign website mobilefriendlywebsite images responsivewebsite</t>
  </si>
  <si>
    <t>career careers employmen jobs excoecaria</t>
  </si>
  <si>
    <t>seoinhyderabad webdevelopmentcompanyinhyderabad seoservicescompanyinhyderabad seocompaniesinhyderabad webdevelopersinhyderabad seoservicesinhyderabad websitedevelopmentcompanyinhyderabad payperclickadvertising bestseoservicesinhyderabad ppcservicesinhyderabad</t>
  </si>
  <si>
    <t>job jobs</t>
  </si>
  <si>
    <t>payperclickadvertising ppccompany payperclickmarketing ppcagecnyhyderabad ppcagency</t>
  </si>
  <si>
    <t>followers thankfulfor</t>
  </si>
  <si>
    <t>selfhealing mindfulness love life understanding</t>
  </si>
  <si>
    <t>hbdysjagan salaarceasefire asksrk iplauction companioninneed dunkireview</t>
  </si>
  <si>
    <t>Top Words in Tweet by Count</t>
  </si>
  <si>
    <t>joined following g community thank</t>
  </si>
  <si>
    <t>#inovies #digitalmarketing #seo #smm #branding #ppc #sem #hyderabad #digitalmarketingagency #onlinemarketing</t>
  </si>
  <si>
    <t>amp award #inovies excellence conferred rattan nagendra wins bommasani ies</t>
  </si>
  <si>
    <t>hospital repeated area permanent overflow cure months stinking nagar even</t>
  </si>
  <si>
    <t>graduate mca batch b fresher 2010 mba tech looking stream</t>
  </si>
  <si>
    <t>skills editing writing ts excellent writers immediate hyderabad content openings</t>
  </si>
  <si>
    <t>hi successmethod_ community monroeconsult happy</t>
  </si>
  <si>
    <t>girls documentation technical hiring exp fresher #freshers amp writer</t>
  </si>
  <si>
    <t>#standbypvsunilkumarips</t>
  </si>
  <si>
    <t>want still diesel cheesy crazy thing next stan see happen</t>
  </si>
  <si>
    <t>acting sure those thegregorye himself flexed robertdowneyjr rdj muscles hockeywoodkings</t>
  </si>
  <si>
    <t>lighter fluid think need alone house seems unrealistic person around</t>
  </si>
  <si>
    <t>hain hero's logic nawabmalikncp police outside damn sir kya ye</t>
  </si>
  <si>
    <t>follow pure_banners finreluk cameronfirefish thank #fridayfeeling crystalprosky t0nyh0ran</t>
  </si>
  <si>
    <t>designer #india hyderabad #uxjobs ui ltd consulting telangana pvt graphic</t>
  </si>
  <si>
    <t>#webguruawards 19 #may #client #winners #customized #19may2018 #global amp #19may2019</t>
  </si>
  <si>
    <t>#inovies development webpage latest daily</t>
  </si>
  <si>
    <t>business design web daily #webdesign minipea fmidesign via stories #inovies</t>
  </si>
  <si>
    <t>hard close infuriates night remember lost spread idiots real point</t>
  </si>
  <si>
    <t>makeup girls anyone lighter wonder wear ashleyambera youtube think real</t>
  </si>
  <si>
    <t>free plan using unlimited followupthen start</t>
  </si>
  <si>
    <t>tuya conxha la novies siempre dulzura vlucianav nunca luciana igual</t>
  </si>
  <si>
    <t>cute s shes gahhssdddf</t>
  </si>
  <si>
    <t>phgzagivst #hyderabad digital company #consulting gt #best more co #company</t>
  </si>
  <si>
    <t>more #inovies hyderabad india co t https services company design</t>
  </si>
  <si>
    <t>happy inspiredlywrit ipfconline1 connect johngow swiftymorgan jeremyscrivens follow smokingchili thanks</t>
  </si>
  <si>
    <t>marketing customerthink one become via #growthhacker</t>
  </si>
  <si>
    <t>thanks great following day hey make</t>
  </si>
  <si>
    <t>via cloud microsoft storage indian india's smartphone ways lessons growth</t>
  </si>
  <si>
    <t>digital services hyderabad marketing seo providing #hyderabad engine optimization local</t>
  </si>
  <si>
    <t>#goodfirms reliability factor #reviews client #mobileappdevelopment ability amp goodfirms</t>
  </si>
  <si>
    <t>great christinkardos roja_inovies convince day #sharethelove</t>
  </si>
  <si>
    <t>documentation technical freshers recruits writer</t>
  </si>
  <si>
    <t>via nice</t>
  </si>
  <si>
    <t>#website client added wwdc recent congratulations project welcome up inovies's</t>
  </si>
  <si>
    <t>vaadu kaadu hero street rowdy</t>
  </si>
  <si>
    <t>velli mi s padi okasari vaala nayana look families ra</t>
  </si>
  <si>
    <t>good sex whatever shower looks</t>
  </si>
  <si>
    <t>june passed writers 2012 outs 8th walk freshers 9th amp</t>
  </si>
  <si>
    <t>thanks follow free audit out seo tried hey service</t>
  </si>
  <si>
    <t>list #appdevelopment #appdevelopers top nichetechsol square63 companies #appdevelopmentcompanies digitbazar #appdevelopmentagencies</t>
  </si>
  <si>
    <t>freshers recruits</t>
  </si>
  <si>
    <t>pitched flashbang whistle noise high god breathe make being use</t>
  </si>
  <si>
    <t>tweets useful share welcome hope find</t>
  </si>
  <si>
    <t>#inovies #wikipedia reverted now #dawoodibrahim article</t>
  </si>
  <si>
    <t>final judgement uptick getting grey theres barbatosrasiel yes reserve though</t>
  </si>
  <si>
    <t>thought shit occured</t>
  </si>
  <si>
    <t>2014 writers 'inovies' walk trainee hyderabad freshers technical dec 25</t>
  </si>
  <si>
    <t>web #inovies development latest daily</t>
  </si>
  <si>
    <t>scariest watching a2 great pick whatever's usually #catchmoredata everyone familymobile</t>
  </si>
  <si>
    <t>technical freshers hyderabad writer jobs new documentation posting blog job</t>
  </si>
  <si>
    <t>swagg</t>
  </si>
  <si>
    <t>follow thank</t>
  </si>
  <si>
    <t>surely such spongebob shes_the_mann1 phone shows seen landline</t>
  </si>
  <si>
    <t>thanks animated computer godlike along pssst imma enjoy still move</t>
  </si>
  <si>
    <t>animated computer along move day crystallniicole sherazfarooqi_</t>
  </si>
  <si>
    <t>hyderabad marketing company best services digital agency web design content</t>
  </si>
  <si>
    <t>marketing digital hyderabad amp search media #digitalmarketingservices solutions more experts</t>
  </si>
  <si>
    <t>technical freshers hyderabad writer jobs documentation document</t>
  </si>
  <si>
    <t>great feels via more followed out here find</t>
  </si>
  <si>
    <t>document freshers jobs technical hyderabad writer wr</t>
  </si>
  <si>
    <t>website company hyderabad best development 040 40273049 web visit more</t>
  </si>
  <si>
    <t>follow thank hey</t>
  </si>
  <si>
    <t>hi</t>
  </si>
  <si>
    <t>following thanks now twitter</t>
  </si>
  <si>
    <t>here wrote take connect thought look post find #linkedin tactics</t>
  </si>
  <si>
    <t>sol transformational ideal organizations looking partner makes</t>
  </si>
  <si>
    <t>10years marketing consumable sales consulting description 5 products job manager</t>
  </si>
  <si>
    <t>media diverse want having casts up picked less age awkward</t>
  </si>
  <si>
    <t>water restaurant gur look commissionrghmc malaria reason royal called area</t>
  </si>
  <si>
    <t>guns being normalize</t>
  </si>
  <si>
    <t>com só dívida tmb quitou e já micheque em pquestiono</t>
  </si>
  <si>
    <t>gland packing rope c offer such wide products graphited cotton</t>
  </si>
  <si>
    <t>top thanks engaged new rankvisibility week being skotwaldron</t>
  </si>
  <si>
    <t>documentation technical freshers recruits writer new generation</t>
  </si>
  <si>
    <t>even wale cute show really india adorable stage now</t>
  </si>
  <si>
    <t>lead generation company #salesefficiency based hyderabad india #crm #salestips</t>
  </si>
  <si>
    <t>comflation plot yeah time probably narrative books accidental between device</t>
  </si>
  <si>
    <t>writing documentation technical #writingjobs #freelance india #writing jobs #jobs p</t>
  </si>
  <si>
    <t>send email com hello apps offer interestesd more detailed guys</t>
  </si>
  <si>
    <t>think growth framework rapid published post creating</t>
  </si>
  <si>
    <t>marketing hyderabad contact #digitalmarketingagency local #digitalmarketing digital optimization company best</t>
  </si>
  <si>
    <t>development #hyderabad nethues looking #top here more impressicodigi switchsoft mobile</t>
  </si>
  <si>
    <t>gland c offer such wide products graphited #classifieds packing #classifiedads</t>
  </si>
  <si>
    <t>web hyderabad designers company development</t>
  </si>
  <si>
    <t>kevin interviews hart mrblackog ups stand</t>
  </si>
  <si>
    <t>andhra designer pradesh hyderabad #uxjobs ui india</t>
  </si>
  <si>
    <t>disgusting ranaayyub interesting plays indian u noticed religion</t>
  </si>
  <si>
    <t>form order sept pre out est sticker 11 eta starhorse</t>
  </si>
  <si>
    <t>conne happy inspiredlywrit ipfconline1 johngow swiftymorgan jeremyscrivens follow smokingchili barnabywass</t>
  </si>
  <si>
    <t>16th 14th career tips #walkins drive #freshers walk 2015</t>
  </si>
  <si>
    <t>#inovies #itexcellenceaward #indywood #indywood_it_excellence_award excellence marketing #digitalmarketing digital development ltd</t>
  </si>
  <si>
    <t>straightnorth gexton digivate dashtwo thank ethanewebtech perfect_search thriveagency topdevelopersco digitlresource</t>
  </si>
  <si>
    <t>straightnorth gexton woo digivate dashtwo ethanewebtech perfect_search hoo thriveagency topdevelopersco</t>
  </si>
  <si>
    <t>#standwithpvsunilkumarips</t>
  </si>
  <si>
    <t>war self israeli planes need defense uniform faisalafridi007 indians natsecjeff</t>
  </si>
  <si>
    <t>company hyderabad designing best ppc website creating business tagline meta</t>
  </si>
  <si>
    <t>road plan up dug going bad madhapur restore laid being</t>
  </si>
  <si>
    <t>design colleges application best web app designs learn hyderabad etc</t>
  </si>
  <si>
    <t>marketing digital company #discussion</t>
  </si>
  <si>
    <t>clients though guessing few</t>
  </si>
  <si>
    <t>watch savages interest hard wana fucking nothing gives having real</t>
  </si>
  <si>
    <t>read blake upset person back think makes delicious</t>
  </si>
  <si>
    <t>#corporate #hyderabad #tcpl grab #tv5 nandi_tyres free tcpl rsmgears #hoteljubilleridge</t>
  </si>
  <si>
    <t>thanks following more know bit hey</t>
  </si>
  <si>
    <t>tobimapsoffice top thanks followers new crimebooks01 week great #happymonday connect</t>
  </si>
  <si>
    <t>already without even knowing much loose money</t>
  </si>
  <si>
    <t>think leadership marketing building via seo effectively strategies 145 optimise</t>
  </si>
  <si>
    <t>documentation technical female writers walkin hyderabad sandi jobs</t>
  </si>
  <si>
    <t>here time hey thank make glad cheers worth hope follow</t>
  </si>
  <si>
    <t>u rodney_mcleod4 murry sandyisses eagles bill</t>
  </si>
  <si>
    <t>wendyvandepoll roja_inovies goasirvia interest happy #book new followers connect great</t>
  </si>
  <si>
    <t>want online success webinar following ads burning achieve without learn</t>
  </si>
  <si>
    <t>here following via pre pronounce register thanks hi</t>
  </si>
  <si>
    <t>people food r chinese eating always</t>
  </si>
  <si>
    <t>#web solutions soft quality #design fair hyderabad #development india agency</t>
  </si>
  <si>
    <t>act nothing mysteriously house up character happened go shows main</t>
  </si>
  <si>
    <t>up guns sp turn play w nra against funny many</t>
  </si>
  <si>
    <t>documentation technical female via writers walkin hyderabad sharethis sandi jobs</t>
  </si>
  <si>
    <t>graduates passout technical female earlier 2013 writer trainee looking</t>
  </si>
  <si>
    <t>#logo #vector logo png vector</t>
  </si>
  <si>
    <t>missaaubree nowadays shit lmao</t>
  </si>
  <si>
    <t>profile leads see amp here</t>
  </si>
  <si>
    <t>codeigniter php consulting walk</t>
  </si>
  <si>
    <t>want online success webinar ads burning achieve without learn money</t>
  </si>
  <si>
    <t>#india #mba technical hyderabad #indiajobsearch #jobs #indiaj documentation writer freshers</t>
  </si>
  <si>
    <t>mba b qualification educational mca freshers tech graduate 2014 experience</t>
  </si>
  <si>
    <t>straightnorth gexton digivate dashtwo thank ethanewebtech perfect_search topdevelopersco digitlresource leveronline</t>
  </si>
  <si>
    <t>thanks follow hey</t>
  </si>
  <si>
    <t>btech mca freshers writer documentation technical bca mtech hyderabad graduate</t>
  </si>
  <si>
    <t>up whats interest truthfully following element undoubtedly thank share y</t>
  </si>
  <si>
    <t>happen wish sweet real things life</t>
  </si>
  <si>
    <t>writing technical android developer urgent skills 2 good freshers immediate</t>
  </si>
  <si>
    <t>great taste friend mattcino1</t>
  </si>
  <si>
    <t>look longwan95103581 iddelf thing klar____ nothing acts hentai villains murderers</t>
  </si>
  <si>
    <t>topdevelopersco select sunarc_tech softwaredevin phoenix_bizz thank top #uiuxdesigningagencies ripenappstech much</t>
  </si>
  <si>
    <t>awarded excellence ltd congratulations #indywood_it_excellence_award being consulting pvt</t>
  </si>
  <si>
    <t>technical hyderabad jobs writing documentation writers fresher secunderabad</t>
  </si>
  <si>
    <t>top thanks av_tms followers new week being great #happymonday pennylanevideos</t>
  </si>
  <si>
    <t>june 15 19 technical freshers writers hyderabad trainee walk 2015</t>
  </si>
  <si>
    <t>#hyderabad digital company #consulting zooamsrapu gt #best more co #company</t>
  </si>
  <si>
    <t>web analyze data traffic out know check make</t>
  </si>
  <si>
    <t>#standbypvsunilkumarips #standbypvsunilkumarip rspraveenswaero</t>
  </si>
  <si>
    <t>#inovies #biggbosstelugu7 inspiring journey hero congrats winner #pallaviprashanth zero</t>
  </si>
  <si>
    <t>u gloss clothes time hate gotta b nite n 10pm</t>
  </si>
  <si>
    <t>#hyderabad digital company #consulting gt #best more co sbowsme9zn #company</t>
  </si>
  <si>
    <t>les et silence pouvoir son du des le changement voix</t>
  </si>
  <si>
    <t>awesome appreciate tftf</t>
  </si>
  <si>
    <t>gabrielattal sur agindre eaglaboratories lci point à ce raison il</t>
  </si>
  <si>
    <t>labobiopyrenees biogroup_labo</t>
  </si>
  <si>
    <t>d investissement de l entreprises étrangers fonds ces suscitent appétit</t>
  </si>
  <si>
    <t>la #inovies #celebraciodaniversari #laviaenfa80 #totsambnovios família tossa de</t>
  </si>
  <si>
    <t>social schedule using roja_inovies posts tool media roja</t>
  </si>
  <si>
    <t>#india #jobs development ltd consulting senior web designers manager pvt</t>
  </si>
  <si>
    <t>marketing top customerthink via missed trends #article 2k18</t>
  </si>
  <si>
    <t>business account go manage added twitter</t>
  </si>
  <si>
    <t>guys awwwards' feedback saw recent website amp hi love submission</t>
  </si>
  <si>
    <t>marketing engineer vacancies company hyderabad ltd india jobs pvt</t>
  </si>
  <si>
    <t>marketing hacker growth via one #forum become #nodebb customerthink</t>
  </si>
  <si>
    <t>developer hyderabad ltd job php onsulting pvt</t>
  </si>
  <si>
    <t>bye houthis indiscriminately launching international trade lmao missles attacking</t>
  </si>
  <si>
    <t>designers web technical multiple writers bangalore jwjobs locations hyderabad india</t>
  </si>
  <si>
    <t>images via #free website 10 ready #webdesign next websites #responsivedesign</t>
  </si>
  <si>
    <t>site mee developer gallanthu vamsikaka good ledu designer avvatam down</t>
  </si>
  <si>
    <t>5 com lz7qjoitzl years #careers php #employmen #jobs excoecaria #career</t>
  </si>
  <si>
    <t>hyderabad best seo services development company website visit service ppc</t>
  </si>
  <si>
    <t>#webdesign new inspiration web design best welkin uae company w3webdesign_in</t>
  </si>
  <si>
    <t>bienvenue coacheloquence besson1258 nsahuc at_graphisme shiatsudomontel vladobotsvadze nguyen56712041 superpromo2o18 roja_inovies</t>
  </si>
  <si>
    <t>freshers mca 2009 graduates technical passout recruits b 2010 mba</t>
  </si>
  <si>
    <t>via customerthink media think building need stop seo 7 effectively</t>
  </si>
  <si>
    <t>vuelta le via fb por fanpage sigo gracias de seguirme</t>
  </si>
  <si>
    <t>smooth taste someone shot alcohol lips take</t>
  </si>
  <si>
    <t>job openings hyderabad php developers experience ui years 4 designer</t>
  </si>
  <si>
    <t>documentation technical hyderabad consulting writer #jobs #job</t>
  </si>
  <si>
    <t>happy connect successlake great monday recent dinesh_vetal follow thanks</t>
  </si>
  <si>
    <t>per pay click service management #ppcagency best ppc help sales</t>
  </si>
  <si>
    <t>cool hear try _minaesthetic djjckckxk recreate accent stuff british always</t>
  </si>
  <si>
    <t>embrace development digital #manthan festival annual presence dec1 9th manthanaward</t>
  </si>
  <si>
    <t>thanks #followers follow favorite history #thankfulfor person</t>
  </si>
  <si>
    <t>follow actionable hacking tactics growth</t>
  </si>
  <si>
    <t>#love #mindfulness #selfhealing #life see tftf leaf #understanding tree</t>
  </si>
  <si>
    <t>followers ago days tweet last 90 return lunch 629 ok</t>
  </si>
  <si>
    <t>want happy connect great saturday recent follow thanks bskhod</t>
  </si>
  <si>
    <t>more hyderabad walk 'inovies' 2014 trainee technical freshers writers december</t>
  </si>
  <si>
    <t>better politician shaandelhite actor make</t>
  </si>
  <si>
    <t>billions rebuild watch adulting well cost destruction damn thinking</t>
  </si>
  <si>
    <t>testing dont #asksrk #companioninneed #boycottp #hbdysjagan #iplauction #dunkireview mind #salaarceasefire</t>
  </si>
  <si>
    <t>thanks following</t>
  </si>
  <si>
    <t>4th 2016 writers hyderabad content details november trainee walk</t>
  </si>
  <si>
    <t>creditcarddl pnburrows community happy</t>
  </si>
  <si>
    <t>technical requires new hyderabad india job jobs offer</t>
  </si>
  <si>
    <t>design web via development technology sharethis craft indusutrial</t>
  </si>
  <si>
    <t>fugly espn both dreams imagine kill silly</t>
  </si>
  <si>
    <t>Top Words in Tweet by Salience</t>
  </si>
  <si>
    <t>#hyderabad #digitalmarketingagency #sem #ppc #smm #branding #seo #onlinemarketing #digitalmarketing #contentmarketing</t>
  </si>
  <si>
    <t>amp award online #web space needs web design larger smaller</t>
  </si>
  <si>
    <t>graphic andhra madhapur cum designers pradesh developer ux ltd consulting</t>
  </si>
  <si>
    <t>#may #client #winners #customized #19may2018 #global amp #19may2019 #digital #india</t>
  </si>
  <si>
    <t>#webdesign minipea fmidesign via stories #inovies out latest business design</t>
  </si>
  <si>
    <t>co india t https services hyderabad more #inovies company design</t>
  </si>
  <si>
    <t>cloud microsoft storage indian india's smartphone ways lessons growth ubuntu</t>
  </si>
  <si>
    <t>seo promoting services hyderabad #hyderabad engine optimization local agency search</t>
  </si>
  <si>
    <t>#appdevelopment #appdevelopers top nichetechsol square63 companies #appdevelopmentcompanies digitbazar #appdevelopmentagencies #uiuxdesign</t>
  </si>
  <si>
    <t>25 5 4 6 22 december dec 2014 writers 'inovies'</t>
  </si>
  <si>
    <t>job document india documentation posting blog company new technical freshers</t>
  </si>
  <si>
    <t>marketing best services company hyderabad digital agency web design content</t>
  </si>
  <si>
    <t>documentation document technical freshers hyderabad writer jobs</t>
  </si>
  <si>
    <t>development design company marketing best ecommerce designing web designers 2020</t>
  </si>
  <si>
    <t>thanks now twitter following</t>
  </si>
  <si>
    <t>new generation documentation technical freshers recruits writer</t>
  </si>
  <si>
    <t>p freshers writers fresher 2010 writer posi writing documentation technical</t>
  </si>
  <si>
    <t>designers company development web hyderabad</t>
  </si>
  <si>
    <t>best company hyderabad designing ppc website creating business tagline meta</t>
  </si>
  <si>
    <t>great #happymonday connect being happy tobimapsoffice top thanks followers new</t>
  </si>
  <si>
    <t>interest happy #book new followers connect great #followfriday top thought</t>
  </si>
  <si>
    <t>freshers pradesh andhra writer hyderabad position recruits requires candidates writers</t>
  </si>
  <si>
    <t>2014 experience company job august name openings mba b qualification</t>
  </si>
  <si>
    <t>bca mtech hyderabad graduate bsc btech mca freshers writer documentation</t>
  </si>
  <si>
    <t>writing documentation writers fresher secunderabad technical hyderabad jobs</t>
  </si>
  <si>
    <t>great #happymonday pennylanevideos love share tonycompton top thanks av_tms followers</t>
  </si>
  <si>
    <t>rspraveenswaero #standbypvsunilkumarips #standbypvsunilkumarip</t>
  </si>
  <si>
    <t>development ltd consulting senior web designers manager pvt opening hyderabad</t>
  </si>
  <si>
    <t>images #free 10 ready #webdesign next websites #responsivedesign #website #responsivewebsite</t>
  </si>
  <si>
    <t>seo ppc marketing best services development company website visit service</t>
  </si>
  <si>
    <t>web design best welkin uae company w3webdesign_in #webdesign new inspiration</t>
  </si>
  <si>
    <t>media think building need stop seo 7 effectively habits strategies</t>
  </si>
  <si>
    <t>php ui designer developers experience years 4 objective sales technical</t>
  </si>
  <si>
    <t>ppc help sales company amp more experts #ppcagecnyhyderabad #ppccompany helps</t>
  </si>
  <si>
    <t>90 return lunch 629 ok never 747 92 guy go</t>
  </si>
  <si>
    <t>6 developers december java 2015 17 18 5 experienced april</t>
  </si>
  <si>
    <t>Top Word Pairs in Tweet by Count</t>
  </si>
  <si>
    <t>joined,g  g,community  inovies,thank  thank,following  following,joined</t>
  </si>
  <si>
    <t>#digitalmarketing,#onlinemarketing  #onlinemarketing,#seo  #seo,#ecommercemarketing  #searchrankings,#onlinepresence  #branding,#smm  #ecommercemarketing,#contentmarketing  #smm,#ppc  #brandbuilding,#seotips  #seotips,#onlineadvertising  #marketingtips,#brandbuilding</t>
  </si>
  <si>
    <t>amp,amp  conferred,udyog  award,amp  award,#inovies  inovies,wins  wins,ies  udyog,rattan  nagendra,bommasani  rattan,award  amp,nagendra</t>
  </si>
  <si>
    <t>area,stinking  max,cure  entire,area  repeated,complains  solution,undertaken  inovies,street  water,overflow  even,repeated  months,now  undertaken,even</t>
  </si>
  <si>
    <t>tech,mba  looking,fresher  fresher,b  graduate,stream  stream,2010  mba,mca  inovies,looking  mca,graduate  2010,batch  b,tech</t>
  </si>
  <si>
    <t>openings,research  excellent,writing  inovies,excellent  writers,hyderabad  ts,inovies  editing,skills  immediate,openings  hyderabad,ts  writing,editing  research,content</t>
  </si>
  <si>
    <t>happy,community  monroeconsult,successmethod_  inovies,hi  hi,happy  successmethod_,inovies</t>
  </si>
  <si>
    <t>girls,fresher  exp,inovies  inovies,#freshers  amp,exp  documentation,writer  inovies,girls  writer,inovies  fresher,amp  technical,documentation  hiring,technical</t>
  </si>
  <si>
    <t>inovies,#standbypvsunilkumarips</t>
  </si>
  <si>
    <t>thing,happen  crazy,thing  always,inovies  cheesy,still  diesel,always  happen,next  vin,diesel  still,want  see,crazy  watch,see</t>
  </si>
  <si>
    <t>qualify,acting  those,barely  thegregorye,robertdowneyjr  acting,inovies  rdj,himself  sure,acting  barely,qualify  hockeywoodkings,thegregorye  himself,those  muscles,flexed</t>
  </si>
  <si>
    <t>lighter,fluid  fluid,alone  around,house  laying,around  know,lighter  person,know  people,inovies  lighter,need  seems,unrealistic  single,person</t>
  </si>
  <si>
    <t>hain,sir  kya,logic  give,damn  department,ye  police,hero's  hero's,outside  inovies,show  nawabmalikncp,inovies  outside,give  ye,kya</t>
  </si>
  <si>
    <t>crystalprosky,#fridayfeeling  finreluk,inovies  inovies,crystalprosky  cameronfirefish,t0nyh0ran  pure_banners,finreluk  thank,follow  t0nyh0ran,pure_banners  follow,cameronfirefish</t>
  </si>
  <si>
    <t>#india,ui  #uxjobs,#india  ltd,hyderabad  ui,designer  inovies,consulting  hyderabad,telangana  consulting,pvt  pvt,ltd  designer,inovies  ux,developer</t>
  </si>
  <si>
    <t>#throwback,inovies  #development,#digital  month,19  inovies,india  #global,#statistics  #19may2017,#19may2018  web,design  #19may2018,#19may2019  agency,inovies  #digital,#marketing</t>
  </si>
  <si>
    <t>development,daily  daily,#inovies  webpage,development  latest,webpage</t>
  </si>
  <si>
    <t>design,business  web,design  business,daily  latest,web  daily,out  daily,#webdesign  out,stories  via,minipea  minipea,inovies  stories,via</t>
  </si>
  <si>
    <t>inovies,even  infuriating,tried  night,infuriating  gambler,night  spread,idiots  real,infuriates  ending,75  reverse,lost  yard,reverse  close,real</t>
  </si>
  <si>
    <t>ashleyambera,youtube  life,well  tweets,girls  anyone,tweets  well,lighter  wear,makeup  lighter,always  guys,inovies  girls,aren  youtube,anyone</t>
  </si>
  <si>
    <t>followupthen,unlimited  inovies,start  start,using  free,plan  unlimited,free  using,followupthen</t>
  </si>
  <si>
    <t>vlucianav,la  tuya,luciana  conxha,tuya  la,conxha  nunca,inovies  igual,siempre  luciana,igual  siempre,novies  inovies,dulzura  novies,nunca</t>
  </si>
  <si>
    <t>s,cute  cute,inovies  inovies,gahhssdddf  shes,cute  cute,shes</t>
  </si>
  <si>
    <t>#digitalmarketing,#consulting  see,more  #company,#hyderabad  #hyderabad,#inovies  best,digital  digital,marketing  marketing,consulting  inovies,see  rt,best  #consulting,#company</t>
  </si>
  <si>
    <t>hyderabad,india  https,t  t,co  more,#inovies  services,inovies  india,inovies  based,hyderabad  inovies,hyderabad  writing,services  company,based</t>
  </si>
  <si>
    <t>happy,connect  swiftymorgan,happy  inovies,inspiredlywrit  jeremyscrivens,johngow  smokingchili,jeremyscrivens  inspiredlywrit,smokingchili  ipfconline1,inovies  thanks,follow  follow,ipfconline1  johngow,swiftymorgan</t>
  </si>
  <si>
    <t>marketing,inovies  one,#growthhacker  become,one  via,customerthink  #growthhacker,marketing  inovies,via</t>
  </si>
  <si>
    <t>hey,inovies  following,make  inovies,thanks  make,great  day,inovies  thanks,following  great,day</t>
  </si>
  <si>
    <t>via,inovies  india's,cloud  ubuntu,smartphone  lessons,via  growth,lessons  smartphone,'open'  cloud,growth  'open',via  getting,know  systems,getting</t>
  </si>
  <si>
    <t>digital,marketing  services,hyderabad  engine,optimization  marketing,services  inovies,digital  search,engine  agency,hyderabad  optimization,services  inovies,providing  local,seo</t>
  </si>
  <si>
    <t>#goodfirms,#reviews  goodfirms,#goodfirms  reliability,factor  #reviews,#mobileappdevelopment  amp,reliability  inovies,ability  factor,goodfirms  ability,amp  client,inovies</t>
  </si>
  <si>
    <t>christinkardos,roja_inovies  #sharethelove,convince  great,day  roja_inovies,great  convince,christinkardos</t>
  </si>
  <si>
    <t>freshers,technical  recruits,freshers  documentation,writer  inovies,recruits  technical,documentation</t>
  </si>
  <si>
    <t>nice,via  via,inovies</t>
  </si>
  <si>
    <t>client,#website  inovies,added  added,pallibatani  inovies,gained  pallibatani,client  gained,bronze  recent,project  up,wwdc  bronze,member  view,inovies's</t>
  </si>
  <si>
    <t>vaadu,hero  hero,kaadu  inovies,vaadu  street,rowdy  kaadu,street</t>
  </si>
  <si>
    <t>contestants,antha  bane,untaru  mi,families  chese,badhulu  mi,idol  roads,meedha  set,avtharu  s,la  rowdy,s  idol,tho</t>
  </si>
  <si>
    <t>looks,good  shower,sex  sex,looks  inovies,whatever  good,inovies</t>
  </si>
  <si>
    <t>june,2013  amp,9th  writers,freshers  9th,june  freshers,2012  june,amp  8th,june  outs,8th  technical,documentation  passed,outs</t>
  </si>
  <si>
    <t>seo,audit  audit,service  tried,out  hey,inovies  inovies,thanks  out,free  thanks,follow  free,seo  follow,tried</t>
  </si>
  <si>
    <t>inovies,digitbazar  #appdevelopers,#appdevelopmentcompanies  digitbazar,square63  #seoagencies,#searchengineoptimizationservices  ma5mmpfxwm,#seocompanies  cost,effective  square63,#appdevelopers  #seocompanies,#seoagencies  sunarc_tech,#uiuxdesigners  gexton,ethanewebtech</t>
  </si>
  <si>
    <t>recruits,freshers  inovies,recruits</t>
  </si>
  <si>
    <t>flashbang,emp  use,inovies  love,being  make,high  always,use  lungs,make  emp,god  being,sick  pitched,whistle  breathe,lungs</t>
  </si>
  <si>
    <t>hope,find  inovies,welcome  tweets,share  find,tweets  share,useful  welcome,hope</t>
  </si>
  <si>
    <t>rt,inovies  now,#inovies  reverted,article  #wikipedia,reverted  #dawoodibrahim,now  article,#dawoodibrahim  inovies,#wikipedia</t>
  </si>
  <si>
    <t>final,battles  hagodhem2,barbatosrasiel  battles,vacant  vacant,grey  barbatosrasiel,yes  grey,wastelands  film,concerning  reserve,final  final,judgement  uptick,final</t>
  </si>
  <si>
    <t>occured,inovies  thought,shit  shit,occured</t>
  </si>
  <si>
    <t>2014,hyderabad  trainee,technical  technical,writers  dec,2014  freshers,walk  walk,'inovies'  'inovies',trainee  december,2014  22,25  6,dec</t>
  </si>
  <si>
    <t>development,daily  web,development  daily,#inovies  latest,web</t>
  </si>
  <si>
    <t>great,taste  inovies,watching  knows,great  everyone,knows  whatever's,scariest  usually,pick  scariest,#catchmoredata  pick,everyone  familymobile,a2  watching,whatever's</t>
  </si>
  <si>
    <t>freshers,jobs  jobs,inovies  inovies,technical  writer,hyderabad  blog,posting  technical,documentation  documentation,writer  posting,freshers  new,blog  document,writer</t>
  </si>
  <si>
    <t>swagg,inovies</t>
  </si>
  <si>
    <t>thank,follow  inovies,thank</t>
  </si>
  <si>
    <t>inovies,shows  spongebob,landline  seen,inovies  shes_the_mann1,spongebob  surely,seen  phone,surely  shows,such  landline,phone</t>
  </si>
  <si>
    <t>nowadays,computer  stuff,inovies  looks,godlike  lot,stuff  enjoy,thanks  animated,still  along,day  imma,move  fans,enjoy  inovies,nowadays</t>
  </si>
  <si>
    <t>computer,animated  along,day  animated,move  sherazfarooqi_,crystallniicole  move,along  crystallniicole,computer</t>
  </si>
  <si>
    <t>digital,marketing  inovies,best  company,hyderabad  marketing,agency  inovies,content  social,media  services,hyderabad  content,marketing  marketing,services  development,company</t>
  </si>
  <si>
    <t>digital,marketing  inovies,digital  marketing,companies  search,engine  experts,search  social,media  amp,provide  visit,#digitalmarketingservices  custom,solutions  marketing,amp</t>
  </si>
  <si>
    <t>freshers,jobs  jobs,inovies  inovies,technical  writer,hyderabad  technical,documentation  documentation,writer  document,writer  technical,document</t>
  </si>
  <si>
    <t>out,more  find,out  inovies,feels  great,followed  followed,find  feels,great  more,here  here,via</t>
  </si>
  <si>
    <t>jobs,inovies  freshers,jobs  inovies,technical  technical,document  document,wr  writer,hyderabad  hyderabad,freshers  document,writer</t>
  </si>
  <si>
    <t>040,40273049  more,visit  development,company  40273049,more  phn,040  company,best  ecommerce,website  inovies,one  web,designing  website,development</t>
  </si>
  <si>
    <t>hey,inovies  thank,follow  inovies,thank</t>
  </si>
  <si>
    <t>hi,inovies</t>
  </si>
  <si>
    <t>inovies,following  inovies,now  following,twitter  thanks,inovies  now,following</t>
  </si>
  <si>
    <t>inovies,thought  #contentpromotion,tactics  add,find  #linkedin,add  love,connect  thought,post  wrote,#contentpromotion  tactics,take  inovies,love  take,look</t>
  </si>
  <si>
    <t>makes,ideal  organizations,looking  looking,transformational  partner,organizations  inovies,inovies  transformational,sol  ideal,partner  inovies,makes</t>
  </si>
  <si>
    <t>manager,marketing  consulting,job  sales,5  5,10years  marketing,sales  industrial,products  10years,industrial  consumable,inovies  inovies,consulting  products,consumable</t>
  </si>
  <si>
    <t>media,picked  media,less  people,want  inovies,everything  moment,media  more,diverse  less,diverse  awkward,moment  everything,based  diverse,casts</t>
  </si>
  <si>
    <t>madhapur,please  water,major  nagar,madhapur  restaurant,royal  hitech,area  inovies,street  gur,nihal  hyderabad,ghmconline  malaria,called  ktrtrs,commissionrghmc</t>
  </si>
  <si>
    <t>normalize,guns  guns,being  being,inovies</t>
  </si>
  <si>
    <t>dívida,com  inovies,em  então,e  quitou,dívida  é,micheque  com,caixa  tmb,que  moeda,corrente  e,o  ainda,não</t>
  </si>
  <si>
    <t>gland,packing  such,c  wide,range  offer,wide  packing,inovies  range,products  inovies,offer  packing,rope  cotton,gland  products,such</t>
  </si>
  <si>
    <t>inovies,skotwaldron  skotwaldron,thanks  engaged,week  rankvisibility,inovies  being,new  thanks,being  new,top  top,engaged</t>
  </si>
  <si>
    <t>inovies,recruits  freshers,technical  technical,documentation  documentation,writer  recruits,freshers  inovies,new  new,generation  writer,inovies</t>
  </si>
  <si>
    <t>show,really  inovies,stage  cute,even  stage,india  even,now  really,adorable  india,wale  wale,show  now,inovies</t>
  </si>
  <si>
    <t>lead,generation  company,based  hyderabad,india  #salesefficiency,#salestips  based,hyderabad  #salestips,#crm  india,inovies  generation,#salesefficiency  inovies,lead  generation,company</t>
  </si>
  <si>
    <t>device,used  flashback,kind  lot,accidental  plot,device  two,heads  probably,lot  comflation,between  heads,unfamiliar  narrative,flashback  kind,plot</t>
  </si>
  <si>
    <t>writing,jobs  #freelance,#writing  inovies,writing  #writingjobs,#freelance  india,#writingjobs  #writing,#jobs  jobs,india  technical,documentation  posi,inovies  freshers,technical</t>
  </si>
  <si>
    <t>inovies,hello  kirubu,com  multiple,clients  com,send  apps,guys  more,detailed  blank,email  send,blank  clients,regards  inovies,send</t>
  </si>
  <si>
    <t>growth,think  published,post  framework,rapid  creating,framework  inovies,published  rapid,growth  post,creating</t>
  </si>
  <si>
    <t>hyderabad,india  marketing,company  madhapur,hyderabad  optimization,local  contact,visit  visit,website  local,marketing  best,digital  digital,marketing  marketing,madhapur</t>
  </si>
  <si>
    <t>nethues,navaratantech  development,#companies  inovies,nethues  here,#list  india,here  app,development  top,#mobileapp  development,companies  #hyderabad,india  looking,#top</t>
  </si>
  <si>
    <t>cotton,#classifieds  such,c  gland,packing  wide,range  offer,wide  packing,inovies  range,products  inovies,offer  #classifiedads,gland  products,such</t>
  </si>
  <si>
    <t>inovies,web  designers,hyderabad  web,designers  web,development  development,company  hyderabad,inovies  company,hyderabad</t>
  </si>
  <si>
    <t>interviews,inovies  hart,interviews  inovies,stand  stand,ups  kevin,hart  mrblackog,kevin</t>
  </si>
  <si>
    <t>ui,designer  andhra,pradesh  designer,inovies  inovies,hyderabad  india,ui  hyderabad,andhra  #uxjobs,india</t>
  </si>
  <si>
    <t>indian,u  ranaayyub,plays  interesting,indian  religion,inovies  plays,interesting  noticed,religion  inovies,disgusting  u,noticed</t>
  </si>
  <si>
    <t>pre,order  form,inovies  unlikely,allies  eta,10  glittery,starhorse  inovies,go  starhorse,stickers  11,eta  form,here  sept,11</t>
  </si>
  <si>
    <t>swiftymorgan,happy  inovies,inspiredlywrit  jeremyscrivens,johngow  smokingchili,jeremyscrivens  inspiredlywrit,smokingchili  ipfconline1,inovies  thanks,follow  barnabywass,thanks  happy,conne  follow,ipfconline1</t>
  </si>
  <si>
    <t>inovies,walk  #freshers,14th  career,tips  tips,inovies  2015,#walkins  walk,drive  16th,2015  drive,#freshers  14th,16th</t>
  </si>
  <si>
    <t>#itexcellenceaward,#inovies  marketing,#indywood  development,digital  awarded,#indywood_it_excellence_award  congratulations,inovies  pvt,ltd  digital,marketing  being,awarded  #webdevelopment,#digitalmarketing  #inovies,#webdevelopment</t>
  </si>
  <si>
    <t>digivate,digitlresource  dashtwo,inovies  perfect_search,gexton  digitlresource,straightnorth  ethanewebtech,thank  gexton,ethanewebtech  topdevelopersco,leveronline  leveronline,dashtwo  straightnorth,perfect_search  inovies,digivate</t>
  </si>
  <si>
    <t>woo,hoo  digivate,digitlresource  thriveagency,dashtwo  dashtwo,inovies  perfect_search,gexton  ethanewebtech,woo  digitlresource,straightnorth  gexton,ethanewebtech  straightnorth,perfect_search  topdevelopersco,thriveagency</t>
  </si>
  <si>
    <t>inovies,#standwithpvsunilkumarips</t>
  </si>
  <si>
    <t>papers,inovies  uniform,arab  2,indians  indians,war  shutdown,israeli  inovies,india  israeli,uniform  war,pakistani  self,papers  planes,need</t>
  </si>
  <si>
    <t>inovies,company  designing,company  creating,tagline  company,hyderabad  inovies,website  tagline,business  meta,description  landing,page  services,hyderabad  best,practices</t>
  </si>
  <si>
    <t>going,bad  laid,road  restore,neatly  road,going  reasons,amp  st,madhapur  ghmconline,road  pls,specify  inovies,st  dug,up</t>
  </si>
  <si>
    <t>designs,etc  best,colleges  design,app  design,responsive  app,designs  page,design  web,application  colleges,hyderabad  inovies,best  application,design</t>
  </si>
  <si>
    <t>inovies,digital  company,#discussion  marketing,company  digital,marketing</t>
  </si>
  <si>
    <t>clients,though  inovies,few  few,guessing  guessing,clients</t>
  </si>
  <si>
    <t>having,watch  chore,love  inovies,gives  interest,know  johnson,unnecessarily  unnecessarily,hot  nothing,watching  wana,watch  watch,aaron  watching,savages</t>
  </si>
  <si>
    <t>back,delicious  think,back  makes,think  delicious,read  upset,blake  blake,makes  person,upset</t>
  </si>
  <si>
    <t>#tv5,nandi_tyres  #telangana,grab  nandi_tyres,inovies  #eliteacademy,#hoteljubilleridge  rsmgears,thhyderabad  cricclubs,rsmgears  seasons,2  #cricket,#corporate  grab,free  #hyderabad,#telangana</t>
  </si>
  <si>
    <t>inovies,hey  following,know  hey,thanks  thanks,following  bit,more  know,bit</t>
  </si>
  <si>
    <t>new,followers  top,new  tobimapsoffice,inovies  crimebooks01,tobimapsoffice  thanks,top  being,top  followers,great  happy,connect  week,crimebooks01  inovies,happy</t>
  </si>
  <si>
    <t>even,knowing  already,without  much,money  loose,already  without,even  money,loose  inovies,much</t>
  </si>
  <si>
    <t>via,inovies  strategies,via  building,strategies  seo,brand  think,effectively  optimise,leadership  marketing,optimise  leadership,145  brand,building  145,think</t>
  </si>
  <si>
    <t>hyderabad,walkin  documentation,writers  inovies,hyderabad  female,sandi  writers,female  sandi,jobs  technical,documentation  walkin,technical</t>
  </si>
  <si>
    <t>hey,inovies  hope,make  glad,here  follow,glad  make,worth  inovies,thank  thank,follow  worth,time  here,hope  time,cheers</t>
  </si>
  <si>
    <t>bill,murry  sandyisses,u  rodney_mcleod4,bill  u,inovies  murry,sandyisses  eagles,rodney_mcleod4  u,u</t>
  </si>
  <si>
    <t>wendyvandepoll,roja_inovies  goasirvia,wendyvandepoll  new,followers  #book,interest  being,top  happy,connect  top,new  thought,#book  day,thought  thanks,being</t>
  </si>
  <si>
    <t>inovies,want  money,ads  online,success  want,learn  success,without  free,webinar  inovies,thanks  ads,free  burning,money  thanks,following</t>
  </si>
  <si>
    <t>register,pronounce  here,via  pronounce,here  following,pre  inovies,thanks  pre,register  thanks,following  hi,inovies</t>
  </si>
  <si>
    <t>always,eating  eating,chinese  inovies,always  people,inovies  r,people  chinese,food</t>
  </si>
  <si>
    <t>quality,#web  fair,soft  solutions,inovies  #web,#development  #development,agency  #design,#web  inovies,quality  hyderabad,india  agency,hyderabad  #web,#design</t>
  </si>
  <si>
    <t>someones,house  character,mysteriously  act,nothing  shows,up  house,act  happened,go  main,character  mysteriously,shows  up,someones  nothing,happened</t>
  </si>
  <si>
    <t>sp,many  nra,sp  funny,hollywood  against,nra  up,deadly  play,inovies  turn,up  prop,guns  guns,turn  many,play</t>
  </si>
  <si>
    <t>hyderabad,walkin  via,sharethis  jobs,via  documentation,writers  inovies,hyderabad  female,sandi  writers,female  sandi,jobs  technical,documentation  walkin,technical</t>
  </si>
  <si>
    <t>passout,earlier  trainee,technical  technical,writer  writer,female  inovies,looking  female,graduates  looking,trainee  2013,passout  graduates,2013</t>
  </si>
  <si>
    <t>vector,#logo  png,vector  #logo,#vector  logo,png  inovies,logo</t>
  </si>
  <si>
    <t>shit,inovies  inovies,nowadays  missaaubree,shit  nowadays,lmao</t>
  </si>
  <si>
    <t>here,amp  profile,inovies  amp,leads  see,profile  inovies,here</t>
  </si>
  <si>
    <t>php,codeigniter  consulting,walk  inovies,consulting  walk,php</t>
  </si>
  <si>
    <t>inovies,want  money,ads  online,success  want,learn  success,without  free,webinar  ads,free  burning,money  without,burning  learn,achieve</t>
  </si>
  <si>
    <t>#jobs,#indiaj  #india,#jobs  #mba,#indiajobsearch  technical,documentation  andhra,pradesh  #indiaj,technical  hyderabad,andhra  #indiaj,inovies  documentation,writer  writer,inovies</t>
  </si>
  <si>
    <t>qualification,b  educational,qualification  tech,mba  b,tech  mca,graduate  mba,mca  name,company  inovies,experience  openings,freshers  freshers,august</t>
  </si>
  <si>
    <t>ethanewebtech,thank  digitlresource,straightnorth  topdevelopersco,leveronline  digivate,digitlresource  gexton,ethanewebtech  perfect_search,gexton  dashtwo,inovies  inovies,digivate  straightnorth,perfect_search  leveronline,dashtwo</t>
  </si>
  <si>
    <t>hey,inovies  inovies,thanks  thanks,follow</t>
  </si>
  <si>
    <t>writer,btech  inovies,freshers  freshers,technical  documentation,writer  technical,documentation  mca,hyderabad  btech,mca  mtech,mca  bca,bsc  mca,bca</t>
  </si>
  <si>
    <t>following,truthfully  undoubtedly,interest  share,element  interest,y  element,undoubtedly  whats,up  allow,share  value,allow  thank,following  up,thank</t>
  </si>
  <si>
    <t>wish,things  happen,real  inovies,happen  happen,inovies  life,sweet  real,life  things,happen</t>
  </si>
  <si>
    <t>technical,writing  opening,android  inovies,android  android,developers  2,5  writing,freshers  inovies,trainee  good,writing  joiners,inovies  communication,skills</t>
  </si>
  <si>
    <t>inovies,friend  mattcino1,great  great,taste  taste,inovies</t>
  </si>
  <si>
    <t>hentai,nothing  discouraging,doing  discouraged,look  longwan95103581,klar____  look,hentai  acts,discouraged  murderers,villains  iddelf,thing  inovies,murderers  nothing,discouraging</t>
  </si>
  <si>
    <t>promatics,softwaredevin  phoenix_bizz,promatics  select,evontech  a1future,ripenappstech  sunarc_tech,thank  ripenappstech,phoenix_bizz  topdevelopersco,select  much,topdevelopersco  top,#uiuxdesigningagencies  evontech,top</t>
  </si>
  <si>
    <t>pvt,ltd  #indywood_it_excellence_award,excellence  ltd,being  congratulations,inovies  awarded,#indywood_it_excellence_award  inovies,consulting  consulting,pvt  being,awarded</t>
  </si>
  <si>
    <t>writing,jobs  writers,hyderabad  fresher,technical  inovies,hyderabad  documentation,writing  inovies,jobs  hyderabad,secunderabad  jobs,inovies  technical,documentation  jobs,technical</t>
  </si>
  <si>
    <t>new,followers  being,top  top,new  thanks,being  inovies,av_tms  followers,great  love,tonycompton  tonycompton,inovies  #happymonday,inovies  great,week</t>
  </si>
  <si>
    <t>trainee,technical  inovies,walk  writers,15  15,19  walk,freshers  19,june  2015,hyderabad  freshers,trainee  june,2015  technical,writers</t>
  </si>
  <si>
    <t>#consulting,#company  t,co  best,digital  more,gt  rt,best  see,more  digital,marketing  #digitalmarketing,#consulting  #inovies,#s  inovies,see</t>
  </si>
  <si>
    <t>web,traffic  know,analyze  analyze,web  check,out  out,make  make,data  traffic,check  inovies,know</t>
  </si>
  <si>
    <t>#standbypvsunilkumarips,#standbypvsunilkumarips  #standbypvsunilkumarips,#standbypvsunilkumarip  inovies,#standbypvsunilkumarips  #standbypvsunilkumarip,#standbypvsunilkumarips  rspraveenswaero,inovies</t>
  </si>
  <si>
    <t>congrats,#pallaviprashanth  winner,#inovies  journey,congrats  rt,inovies  hero,inspiring  inovies,zero  #pallaviprashanth,#biggbosstelugu7  inspiring,journey  zero,hero  #biggbosstelugu7,winner</t>
  </si>
  <si>
    <t>10pm,u  tt,inovies  u,lip  b,look  hate,tt  clothes,bt  bitch,10pm  female,gotta  gloss,wtf  nite,clothes</t>
  </si>
  <si>
    <t>#digitalmarketing,#consulting  see,more  #company,#hyderabad  #hyderabad,#inovies  best,digital  digital,marketing  marketing,consulting  co,sbowsme9zn  sbowsme9zn,#best  inovies,see</t>
  </si>
  <si>
    <t>un,pouvoir  son,envol  silence,nous  de,réflexion  au,pouvoir  le,silence  voix,s'élèvent  profond,en  flammes,du  réflexion,amplifions</t>
  </si>
  <si>
    <t>awesome,appreciate  inovies,tftf  tftf,awesome</t>
  </si>
  <si>
    <t>inovies,eaglaboratories  biogroup_labo,inovies  raison,gabrielattal  point,il  à,fait  cerballiance,biogroup_labo  sur,ce  tout,à  fait,raison  il,tout</t>
  </si>
  <si>
    <t>biogroup_labo,inovies  inovies,labobiopyrenees</t>
  </si>
  <si>
    <t>d,investissement  de,fonds  entreprises,suscitent  appétit,de  ces,entreprises  investissement,étrangers  l,appétit  fonds,d  suscitent,l</t>
  </si>
  <si>
    <t>la,família  #celebraciodaniversari,#laviaenfa80  #totsambnovios,#inovies  #laviaenfa80,#totsambnovios  de,tossa  família,de  tossa,#celebraciodaniversari</t>
  </si>
  <si>
    <t>posts,roja  schedule,social  media,posts  social,media  using,schedule  tool,using  roja_inovies,tool</t>
  </si>
  <si>
    <t>#jobs,#india  designers,inovies  pvt,ltd  ltd,#jobs  hyderabad,#jobs  opening,web  manager,inovies  development,manager  inovies,consulting  senior,business</t>
  </si>
  <si>
    <t>2k18,inovies  #article,top  marketing,trends  top,marketing  missed,2k18  trends,missed  via,customerthink  inovies,via</t>
  </si>
  <si>
    <t>added,twitter  manage,account  business,manage  inovies,added  twitter,business  account,go</t>
  </si>
  <si>
    <t>amp,love  love,feedback  feedback,recent  awwwards',website  hi,saw  website,amp  recent,submission  guys,awwwards'  saw,guys  inovies,hi</t>
  </si>
  <si>
    <t>jobs,inovies  company,vacancies  marketing,engineer  india,pvt  ltd,hyderabad  pvt,ltd  hyderabad,marketing  engineer,company  inovies,marketing  marketing,india</t>
  </si>
  <si>
    <t>hacker,marketing  growth,hacker  via,customerthink  one,growth  customerthink,#forum  become,one  #forum,#nodebb  marketing,inovies  inovies,via</t>
  </si>
  <si>
    <t>job,inovies  developer,job  pvt,ltd  php,developer  ltd,hyderabad  onsulting,pvt  inovies,onsulting</t>
  </si>
  <si>
    <t>international,trade  indiscriminately,attacking  lmao,houthis  launching,missles  bye,bye  attacking,international  missles,indiscriminately  bye,houthis  houthis,launching  inovies,lmao</t>
  </si>
  <si>
    <t>designers,icmg  bangalore,details  locations,web  inovies,birlasoft  details,jwjobs  technical,writers  india,multiple  writers,inovies  multiple,locations  inovies,hyderabad</t>
  </si>
  <si>
    <t>via,inovies  ready,face  #images,website  #website,images  #free,images  inovies,#webdesign  images,#website  images,via  #free,#images  10,websites</t>
  </si>
  <si>
    <t>vamsikaka,good  ledu,mastaru  aaasharyam,ledu  designer,developer  inovies,mee  developer,site  site,gallanthu  site,down  gallanthu,ayyindi  down,avvatam</t>
  </si>
  <si>
    <t>#careers,#employmen  #jobs,excoecaria  php,developers  com,#career  inovies,php  lz7qjoitzl,#excoecaria  years,lz7qjoitzl  excoecaria,com  5,years  5,5</t>
  </si>
  <si>
    <t>company,hyderabad  website,development  inovies,one  inovies,best  development,services  per,click  service,hyderabad  pay,per  offer,very  work,easily</t>
  </si>
  <si>
    <t>#webdesign,inspiration  new,#webdesign  web,design  inspiration,best  welkin,web  design,inovies  best,web  design,company  inspiration,welkin  uae,welkin</t>
  </si>
  <si>
    <t>superpromo2o18,nguyen56712041  roja_inovies,lamontilienne26  bienvenue,marie_veille  nsahuc,superpromo2o18  rhonevallee,besson1258  at_graphisme,coacheloquence  coacheloquence,roja_inovies  nguyen56712041,rhonevallee  shiatsudomontel,nsahuc  marie_veille,shiatsudomontel</t>
  </si>
  <si>
    <t>inovies,recruits  freshers,graduates  2009,passout  passout,technical  freshers,inovies  tech,mca  b,tech  mca,mba  2010,2009  mba,2010</t>
  </si>
  <si>
    <t>via,customerthink  inovies,via  need,stop  social,media  building,strategies  seo,brand  strategies,inovies  think,effectively  now,inovies  7,social</t>
  </si>
  <si>
    <t>rt,gracias  sigo,de  por,seguirme  seguirme,fb  de,vuelta  fanpage,via  le,sigo  vuelta,inovies  fb,fanpage  gracias,por</t>
  </si>
  <si>
    <t>someone,smooth  alcohol,taste  taste,lips  lips,inovies  shot,alcohol  inovies,someone  take,shot</t>
  </si>
  <si>
    <t>openings,inovies  job,openings  inovies,hyderabad  developers,job  hyderabad,4  4,years  years,php  ui,developers  hyderabad,experienced  seo,experts</t>
  </si>
  <si>
    <t>#jobs,#job  technical,documentation  hyderabad,#jobs  consulting,technical  documentation,writer  inovies,consulting  writer,hyderabad</t>
  </si>
  <si>
    <t>follow,dinesh_vetal  great,monday  inovies,happy  successlake,inovies  dinesh_vetal,successlake  recent,follow  happy,connect  thanks,recent  connect,great</t>
  </si>
  <si>
    <t>pay,per  per,click  click,management  management,service  service,inovies  offer,pay  helps,provide  advertising,company  inovies,ppc  business,growth</t>
  </si>
  <si>
    <t>try,recreate  british,accent  hear,inovies  always,try  inovies,stuff  stuff,djjckckxk  accent,cool  recreate,hear  cool,always  _minaesthetic,british</t>
  </si>
  <si>
    <t>digital,festival  9th,annual  presence,manthanaward  festival,development  annual,digital  manthanaward,dec1  embrace,presence  inovies,embrace  development,#manthan  dec1,9th</t>
  </si>
  <si>
    <t>follow,favorite  history,#thankfulfor  #thankfulfor,#followers  favorite,person  inovies,thanks  thanks,follow  person,history</t>
  </si>
  <si>
    <t>hacking,tactics  actionable,growth  follow,inovies  growth,hacking  tactics,follow</t>
  </si>
  <si>
    <t>leaf,#selfhealing  tftf,inovies  tree,leaf  #mindfulness,#understanding  #understanding,#life  #selfhealing,#love  see,tree  #love,#mindfulness  inovies,see</t>
  </si>
  <si>
    <t>days,ago  inovies,inovies  last,tweet  guy,go  92,days  90,days  return,last  629,followers  tweet,92  inovies,629</t>
  </si>
  <si>
    <t>saturday,want  great,saturday  inovies,happy  bskhod,inovies  recent,follow  happy,connect  thanks,recent  connect,great  follow,bskhod</t>
  </si>
  <si>
    <t>hyderabad,more  2014,hyderabad  trainee,technical  technical,writers  walk,'inovies'  december,2014  'inovies',walk  walk,trainee  freshers,'inovies'  freshers,walk</t>
  </si>
  <si>
    <t>better,make  shaandelhite,better  make,actor  politician,inovies  actor,politician</t>
  </si>
  <si>
    <t>destruction,inovies  well,rebuild  adulting,watch  watch,destruction  billions,well  inovies,thinking  thinking,damn  cost,billions  damn,cost</t>
  </si>
  <si>
    <t>twitter,#dunkireview  testing,twitter  #hbdysjagan,#asksrk  inovies,dont  #companioninneed,#hbdysjagan  mind,testing  #salaarceasefire,#companioninneed  dont,mind  #dunkireview,#salaarceasefire  rt,inovies</t>
  </si>
  <si>
    <t>inovies,thanks  thanks,following</t>
  </si>
  <si>
    <t>4th,november  hyderabad,details  trainee,content  2016,hyderabad  inovies,trainee  content,writers  writers,4th  walk,inovies  november,2016</t>
  </si>
  <si>
    <t>inovies,pnburrows  happy,community  creditcarddl,happy  pnburrows,creditcarddl</t>
  </si>
  <si>
    <t>job,offer  new,job  inovies,requires  technical,hyderabad  jobs,inovies  offer,india  requires,technical  india,jobs</t>
  </si>
  <si>
    <t>indusutrial,craft  via,sharethis  design,development  web,design  craft,via  technology,web  inovies,technology  development,indusutrial</t>
  </si>
  <si>
    <t>espn,imagine  inovies,both  kill,inovies  silly,fugly  both,silly  dreams,kill  imagine,dreams</t>
  </si>
  <si>
    <t>Top Word Pairs in Tweet by Salience</t>
  </si>
  <si>
    <t>amp,amp  smaller,business  business,needs  inovies,web  larger,online  space,even  design,larger  even,smaller  web,design  online,space</t>
  </si>
  <si>
    <t>ux,developer  cum,designer  madhapur,hyderabad  designers,inovies  hyderabad,andhra  inovies,madhapur  ui,ux  developer,cum  andhra,pradesh  graphic,designers</t>
  </si>
  <si>
    <t>latest,web  daily,out  daily,#webdesign  out,stories  via,minipea  minipea,inovies  stories,via  #webdesign,#inovies  inovies,fmidesign  design,business</t>
  </si>
  <si>
    <t>india's,cloud  ubuntu,smartphone  lessons,via  growth,lessons  smartphone,'open'  cloud,growth  'open',via  getting,know  systems,getting  know,via</t>
  </si>
  <si>
    <t>services,hyderabad  engine,optimization  marketing,services  inovies,digital  search,engine  agency,hyderabad  optimization,services  inovies,providing  local,seo  seo,ppc</t>
  </si>
  <si>
    <t>december,2014  22,25  6,dec  25,dec  'inovies',walk  freshers,'inovies'  walk,trainee  4,december  writers,5  writers,4</t>
  </si>
  <si>
    <t>document,writer  technical,document  job,india  india,freshers  new,job  blog,posting  technical,documentation  documentation,writer  posting,freshers  new,blog</t>
  </si>
  <si>
    <t>technical,documentation  documentation,writer  document,writer  technical,document  freshers,jobs  jobs,inovies  inovies,technical  writer,hyderabad</t>
  </si>
  <si>
    <t>development,company  company,best  ecommerce,website  web,design  website,designers  web,designing  designers,hyderabad  website,design  website,development  design,company</t>
  </si>
  <si>
    <t>inovies,new  new,generation  writer,inovies  inovies,recruits  freshers,technical  technical,documentation  documentation,writer  recruits,freshers</t>
  </si>
  <si>
    <t>posi,inovies  freshers,technical  fresher,technical  writers,2010  documentation,writers  documentation,writer  writer,posi  p,inovies  2010,p  writing,jobs</t>
  </si>
  <si>
    <t>thanks,top  being,top  followers,great  happy,connect  week,crimebooks01  inovies,happy  inovies,thanks  thanks,being  great,week  #happymonday,crimebooks01</t>
  </si>
  <si>
    <t>new,followers  #book,interest  being,top  happy,connect  top,new  thought,#book  day,thought  thanks,being  roja_inovies,thanks  great,day</t>
  </si>
  <si>
    <t>andhra,pradesh  #indiaj,technical  hyderabad,andhra  #indiaj,inovies  documentation,writer  writer,inovies  writers,hyderabad  requires,technical  inovies,#mba  hyderabad,andh</t>
  </si>
  <si>
    <t>name,company  inovies,experience  openings,freshers  freshers,august  inovies,openings  graduate,job  experience,freshers  company,inovies  august,2014  freshers,educational</t>
  </si>
  <si>
    <t>mca,hyderabad  btech,mca  mtech,mca  bca,bsc  mca,bca  bsc,graduate  btech,mtech  writer,btech  inovies,freshers  freshers,technical</t>
  </si>
  <si>
    <t>followers,great  love,tonycompton  tonycompton,inovies  #happymonday,inovies  great,week  av_tms,pennylanevideos  pennylanevideos,thanks  share,love  av_tms,thanks  followers,week</t>
  </si>
  <si>
    <t>rspraveenswaero,inovies  #standbypvsunilkumarips,#standbypvsunilkumarips  #standbypvsunilkumarips,#standbypvsunilkumarip  inovies,#standbypvsunilkumarips  #standbypvsunilkumarip,#standbypvsunilkumarips</t>
  </si>
  <si>
    <t>designers,inovies  pvt,ltd  ltd,#jobs  hyderabad,#jobs  opening,web  manager,inovies  development,manager  inovies,consulting  senior,business  inovies,hyderabad</t>
  </si>
  <si>
    <t>ready,face  #images,website  #website,images  #free,images  inovies,#webdesign  images,#website  images,via  #free,#images  10,websites  website,ready</t>
  </si>
  <si>
    <t>development,services  company,hyderabad  website,development  per,click  pay,per  inovies,one  inovies,best  best,ppc  service,hyderabad  offer,very</t>
  </si>
  <si>
    <t>web,design  inspiration,best  welkin,web  design,inovies  best,web  design,company  inspiration,welkin  uae,welkin  inovies,w3webdesign_in  company,uae</t>
  </si>
  <si>
    <t>need,stop  social,media  building,strategies  seo,brand  strategies,inovies  think,effectively  now,inovies  7,social  media,habits  right,now</t>
  </si>
  <si>
    <t>ui,developers  developers,job  hyderabad,4  4,years  years,php  hyderabad,experienced  seo,experts  hyderabad,proficient  experts,analyst  php,experience</t>
  </si>
  <si>
    <t>service,inovies  offer,pay  helps,provide  advertising,company  inovies,ppc  business,growth  #payperclickadvertising,#payperclickmarketing  grow,more  service,help  amp,sales</t>
  </si>
  <si>
    <t>guy,go  92,days  90,days  return,last  629,followers  tweet,92  inovies,629  followers,twitter  inovies,747  ago,ok</t>
  </si>
  <si>
    <t>walk,trainee  freshers,'inovies'  'inovies',walk  freshers,walk  'inovies',trainee  december,2014  'inovies',java  2015,hyderabad  java,developers  writers,17</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</si>
  <si>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</si>
  <si>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</si>
  <si>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</si>
  <si>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</si>
  <si>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</si>
  <si>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</si>
  <si>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</si>
  <si>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</si>
  <si>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</si>
  <si>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</si>
  <si>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</si>
  <si>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</si>
  <si>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</si>
  <si>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</si>
  <si>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</si>
  <si>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</si>
  <si>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</si>
  <si>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</si>
  <si>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</si>
  <si>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1.0.1.528</t>
  </si>
  <si>
    <t>TwitterSearch3</t>
  </si>
  <si>
    <t>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</si>
  <si>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Key</t>
  </si>
  <si>
    <t>Action Label</t>
  </si>
  <si>
    <t>Action URL</t>
  </si>
  <si>
    <t>Brand Logo</t>
  </si>
  <si>
    <t>Brand URL</t>
  </si>
  <si>
    <t>Hashtag</t>
  </si>
  <si>
    <t xml:space="preserve">&lt;?xml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&lt;ExportToNodeXLGraphGalleryUserSettings&gt;
      &lt;setting name="Author" serializeAs="String"&gt;
        &lt;value&gt;praveenMadhu&lt;/value&gt;
      &lt;/setting&gt;
      &lt;setting name="ExportGraphML" serializeAs="String"&gt;
        &lt;value&gt;True&lt;/value&gt;
      &lt;/setting&gt;
      &lt;setting name="SpaceDelimitedTags" serializeAs="String"&gt;
        &lt;value /&gt;
      &lt;/setting&gt;
      &lt;setting name="UseCredentials" serializeAs="String"&gt;
        &lt;value&gt;False&lt;/value&gt;
      &lt;/setting&gt;
      &lt;setting name="ExportWorkbookAndSettings" serializeAs="String"&gt;
        &lt;value&gt;True&lt;/value&gt;
      &lt;/setting&gt;
      &lt;setting name="UseFixedAspectRatio" serializeAs="String"&gt;
        &lt;value&gt;False&lt;/value&gt;
      &lt;/setting&gt;
    &lt;/ExportToNodeXLGraphGalleryUserSettings&gt;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name="OverallMetricsUserSettings" serializeAs="String"&gt;
        &lt;value&gt;ColumnNameForEdgeType░Domains in Tweet&lt;/value&gt;
      &lt;/setting&gt;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&lt;LayoutUserSettings&gt;
      &lt;setting name="Layout" serializeAs="String"&gt;
        &lt;value&gt;SinusoidHorizontal&lt;/value&gt;
      &lt;/setting&gt;
    &lt;/LayoutUserSettings&gt;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t>
  </si>
  <si>
    <t xml:space="preserve">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 /&gt;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</si>
  <si>
    <t>GraphSource░TwitterSearch3▓GraphTerm░inovies▓ImportDescription░The graph represents a network of 349 Twitter users whose recent tweets contained "inovies", or who were replied to, mentioned, retweeted or quoted in those tweets, taken from a data set limited to a maximum of 20,000 tweets, tweeted between 15-12-2010 00:00:00 and 22-12-2023 01:45:14.  The network was obtained from Twitter on Thursday, 21 December 2023 at 20:31 UTC.
The tweets in the network were tweeted over the 4702-day, 15-hour, 18-minute period from Saturday, 05 February 2011 at 10:42 UTC to Friday, 22 December 2023 at 02:01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above.▓ImportSuggestedTitle░inovies Twitter NodeXL SNA Map and Report for Thursday, 21 December 2023 at 20:15 UTC▓ImportSuggestedFileNameNoExtension░2023-12-21 20-15-41 NodeXL Twitter Search inovies▓LayoutAlgorithm░The graph was laid out using the Horizontal Sine Wave layout algorithm.▓GraphDirectedness░The graph is directed.</t>
  </si>
  <si>
    <t>The graph was laid out using the Horizontal Sine Wave layout algorithm.</t>
  </si>
  <si>
    <t>https://nodexlgraphgallery.org/Pages/Graph.aspx?graphID=294115</t>
  </si>
  <si>
    <t>https://nodexlgraphgallery.org/Images/Image.ashx?graphID=294115&amp;type=f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</si>
</sst>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8">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9" formatCode="General"/>
    </dxf>
    <dxf>
      <numFmt numFmtId="178" formatCode="@"/>
    </dxf>
    <dxf>
      <numFmt numFmtId="178" formatCode="@"/>
    </dxf>
    <dxf>
      <numFmt numFmtId="178" formatCode="@"/>
    </dxf>
    <dxf>
      <numFmt numFmtId="178"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9" formatCode="General"/>
    </dxf>
    <dxf>
      <font>
        <b val="0"/>
        <i val="0"/>
        <u val="none"/>
        <strike val="0"/>
        <sz val="11"/>
        <name val="Calibri"/>
        <color theme="1"/>
        <condense val="0"/>
        <extend val="0"/>
      </font>
      <numFmt numFmtId="179" formatCode="General"/>
    </dxf>
    <dxf>
      <numFmt numFmtId="178" formatCode="@"/>
    </dxf>
    <dxf>
      <font>
        <b val="0"/>
        <i val="0"/>
        <u val="none"/>
        <strike val="0"/>
        <sz val="11"/>
        <name val="Calibri"/>
        <color theme="1"/>
        <condense val="0"/>
        <extend val="0"/>
      </font>
      <numFmt numFmtId="179" formatCode="General"/>
    </dxf>
    <dxf>
      <numFmt numFmtId="179" formatCode="General"/>
    </dxf>
    <dxf>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7"/>
      <tableStyleElement type="headerRow" dxfId="236"/>
    </tableStyle>
    <tableStyle name="NodeXL Table" pivot="0" count="1">
      <tableStyleElement type="headerRow" dxfId="23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3879409"/>
        <c:axId val="36479226"/>
      </c:barChart>
      <c:catAx>
        <c:axId val="33879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79226"/>
        <c:crosses val="autoZero"/>
        <c:auto val="1"/>
        <c:lblOffset val="100"/>
        <c:noMultiLvlLbl val="0"/>
      </c:catAx>
      <c:valAx>
        <c:axId val="36479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877579"/>
        <c:axId val="2027300"/>
      </c:barChart>
      <c:catAx>
        <c:axId val="598775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27300"/>
        <c:crosses val="autoZero"/>
        <c:auto val="1"/>
        <c:lblOffset val="100"/>
        <c:noMultiLvlLbl val="0"/>
      </c:catAx>
      <c:valAx>
        <c:axId val="2027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7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245701"/>
        <c:axId val="29993582"/>
      </c:barChart>
      <c:catAx>
        <c:axId val="1824570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993582"/>
        <c:crosses val="autoZero"/>
        <c:auto val="1"/>
        <c:lblOffset val="100"/>
        <c:noMultiLvlLbl val="0"/>
      </c:catAx>
      <c:valAx>
        <c:axId val="299935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45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06783"/>
        <c:axId val="13561048"/>
      </c:barChart>
      <c:catAx>
        <c:axId val="15067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61048"/>
        <c:crosses val="autoZero"/>
        <c:auto val="1"/>
        <c:lblOffset val="100"/>
        <c:noMultiLvlLbl val="0"/>
      </c:catAx>
      <c:valAx>
        <c:axId val="135610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0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940569"/>
        <c:axId val="24703074"/>
      </c:barChart>
      <c:catAx>
        <c:axId val="549405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703074"/>
        <c:crosses val="autoZero"/>
        <c:auto val="1"/>
        <c:lblOffset val="100"/>
        <c:noMultiLvlLbl val="0"/>
      </c:catAx>
      <c:valAx>
        <c:axId val="2470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001075"/>
        <c:axId val="54791948"/>
      </c:barChart>
      <c:catAx>
        <c:axId val="210010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91948"/>
        <c:crosses val="autoZero"/>
        <c:auto val="1"/>
        <c:lblOffset val="100"/>
        <c:noMultiLvlLbl val="0"/>
      </c:catAx>
      <c:valAx>
        <c:axId val="547919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01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365485"/>
        <c:axId val="8962774"/>
      </c:barChart>
      <c:catAx>
        <c:axId val="233654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962774"/>
        <c:crosses val="autoZero"/>
        <c:auto val="1"/>
        <c:lblOffset val="100"/>
        <c:noMultiLvlLbl val="0"/>
      </c:catAx>
      <c:valAx>
        <c:axId val="896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65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556103"/>
        <c:axId val="54896064"/>
      </c:barChart>
      <c:catAx>
        <c:axId val="135561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96064"/>
        <c:crosses val="autoZero"/>
        <c:auto val="1"/>
        <c:lblOffset val="100"/>
        <c:noMultiLvlLbl val="0"/>
      </c:catAx>
      <c:valAx>
        <c:axId val="54896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56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302529"/>
        <c:axId val="17396170"/>
      </c:barChart>
      <c:catAx>
        <c:axId val="24302529"/>
        <c:scaling>
          <c:orientation val="minMax"/>
        </c:scaling>
        <c:axPos val="b"/>
        <c:delete val="1"/>
        <c:majorTickMark val="out"/>
        <c:minorTickMark val="none"/>
        <c:tickLblPos val="none"/>
        <c:crossAx val="17396170"/>
        <c:crosses val="autoZero"/>
        <c:auto val="1"/>
        <c:lblOffset val="100"/>
        <c:noMultiLvlLbl val="0"/>
      </c:catAx>
      <c:valAx>
        <c:axId val="17396170"/>
        <c:scaling>
          <c:orientation val="minMax"/>
        </c:scaling>
        <c:axPos val="l"/>
        <c:delete val="1"/>
        <c:majorTickMark val="out"/>
        <c:minorTickMark val="none"/>
        <c:tickLblPos val="none"/>
        <c:crossAx val="243025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I1339" totalsRowShown="0" headerRowDxfId="234" dataDxfId="177">
  <autoFilter ref="A2:BI1339"/>
  <tableColumns count="61">
    <tableColumn id="1" name="Vertex 1" dataDxfId="162"/>
    <tableColumn id="2" name="Vertex 2" dataDxfId="160"/>
    <tableColumn id="3" name="Color" dataDxfId="161"/>
    <tableColumn id="4" name="Width" dataDxfId="186"/>
    <tableColumn id="11" name="Style" dataDxfId="185"/>
    <tableColumn id="5" name="Opacity" dataDxfId="184"/>
    <tableColumn id="6" name="Visibility" dataDxfId="183"/>
    <tableColumn id="10" name="Label" dataDxfId="182"/>
    <tableColumn id="12" name="Label Text Color" dataDxfId="181"/>
    <tableColumn id="13" name="Label Font Size" dataDxfId="180"/>
    <tableColumn id="14" name="Reciprocated?" dataDxfId="67"/>
    <tableColumn id="7" name="ID" dataDxfId="179"/>
    <tableColumn id="9" name="Dynamic Filter" dataDxfId="178"/>
    <tableColumn id="8" name="Add Your Own Columns Here" dataDxfId="159"/>
    <tableColumn id="15" name="Relationship" dataDxfId="158"/>
    <tableColumn id="16" name="Relationship Date (UTC)" dataDxfId="157"/>
    <tableColumn id="17" name="Tweet" dataDxfId="156"/>
    <tableColumn id="18" name="Retweet Count" dataDxfId="155"/>
    <tableColumn id="19" name="Favorite Count" dataDxfId="154"/>
    <tableColumn id="20" name="Reply Count" dataDxfId="153"/>
    <tableColumn id="21" name="Quote Count" dataDxfId="152"/>
    <tableColumn id="22" name="Impression Count" dataDxfId="151"/>
    <tableColumn id="23" name="Hashtags in Tweet" dataDxfId="150"/>
    <tableColumn id="24" name="URLs in Tweet" dataDxfId="149"/>
    <tableColumn id="25" name="Domains in Tweet" dataDxfId="148"/>
    <tableColumn id="26" name="Mentions in Tweet" dataDxfId="147"/>
    <tableColumn id="27" name="Media in Tweet" dataDxfId="146"/>
    <tableColumn id="28" name="Media Type" dataDxfId="145"/>
    <tableColumn id="29" name="Source" dataDxfId="144"/>
    <tableColumn id="30" name="Language" dataDxfId="143"/>
    <tableColumn id="31" name="Twitter Page for Tweet" dataDxfId="142"/>
    <tableColumn id="32" name="Tweet Date (UTC)" dataDxfId="141"/>
    <tableColumn id="33" name="Date" dataDxfId="140"/>
    <tableColumn id="34" name="Time" dataDxfId="139"/>
    <tableColumn id="35" name="Possibly Sensitive" dataDxfId="138"/>
    <tableColumn id="36" name="Place Bounding Box" dataDxfId="137"/>
    <tableColumn id="37" name="Place Country" dataDxfId="136"/>
    <tableColumn id="38" name="Place Country Code" dataDxfId="135"/>
    <tableColumn id="39" name="Place Full Name" dataDxfId="134"/>
    <tableColumn id="40" name="Place ID" dataDxfId="133"/>
    <tableColumn id="41" name="Place Name" dataDxfId="132"/>
    <tableColumn id="42" name="Place Type" dataDxfId="131"/>
    <tableColumn id="43" name="Media Key" dataDxfId="130"/>
    <tableColumn id="44" name="Media Duration (ms)" dataDxfId="129"/>
    <tableColumn id="45" name="Media Height" dataDxfId="128"/>
    <tableColumn id="46" name="Media Width" dataDxfId="127"/>
    <tableColumn id="47" name="Media View Count" dataDxfId="126"/>
    <tableColumn id="48" name="Tweet Image File" dataDxfId="125"/>
    <tableColumn id="49" name="Imported ID" dataDxfId="124"/>
    <tableColumn id="50" name="Conversation ID" dataDxfId="123"/>
    <tableColumn id="51" name="In-Reply-To User ID" dataDxfId="122"/>
    <tableColumn id="52" name="In-Reply-To Tweet ID" dataDxfId="121"/>
    <tableColumn id="53" name="Quoted Status ID" dataDxfId="120"/>
    <tableColumn id="54" name="Retweet ID" dataDxfId="119"/>
    <tableColumn id="55" name="Unified Twitter ID" dataDxfId="118"/>
    <tableColumn id="56" name="Author ID" dataDxfId="117"/>
    <tableColumn id="57" name="Poll ID" dataDxfId="116"/>
    <tableColumn id="58" name="Poll Options" dataDxfId="115"/>
    <tableColumn id="59" name="Poll Duration" dataDxfId="114"/>
    <tableColumn id="60" name="Poll End Date" dataDxfId="113"/>
    <tableColumn id="61" name="Poll Voting Status" dataDxfId="11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11" totalsRowShown="0" headerRowDxfId="66" dataDxfId="65">
  <autoFilter ref="A1:B11"/>
  <tableColumns count="2">
    <tableColumn id="1" name="Top URLs in Tweet in Entire Graph" dataDxfId="64"/>
    <tableColumn id="2" name="Entire Graph Count" dataDxfId="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B24" totalsRowShown="0" headerRowDxfId="61" dataDxfId="60">
  <autoFilter ref="A14:B24"/>
  <tableColumns count="2">
    <tableColumn id="1" name="Top Domains in Tweet in Entire Graph" dataDxfId="59"/>
    <tableColumn id="2" name="Entire Graph Count" dataDxfId="5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B37" totalsRowShown="0" headerRowDxfId="56" dataDxfId="55">
  <autoFilter ref="A27:B37"/>
  <tableColumns count="2">
    <tableColumn id="1" name="Top Hashtags in Tweet in Entire Graph" dataDxfId="54"/>
    <tableColumn id="2" name="Entire Graph Count" dataDxfId="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B50" totalsRowShown="0" headerRowDxfId="51" dataDxfId="50">
  <autoFilter ref="A40:B50"/>
  <tableColumns count="2">
    <tableColumn id="1" name="Top Words in Tweet in Entire Graph" dataDxfId="49"/>
    <tableColumn id="2" name="Entire Graph Count" dataDxfId="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B63" totalsRowShown="0" headerRowDxfId="46" dataDxfId="45">
  <autoFilter ref="A53:B63"/>
  <tableColumns count="2">
    <tableColumn id="1" name="Top Word Pairs in Tweet in Entire Graph" dataDxfId="44"/>
    <tableColumn id="2" name="Entire Graph Count" dataDxfId="4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B76" totalsRowShown="0" headerRowDxfId="41" dataDxfId="40">
  <autoFilter ref="A66:B76"/>
  <tableColumns count="2">
    <tableColumn id="1" name="Top Replied-To in Entire Graph" dataDxfId="39"/>
    <tableColumn id="2" name="Entire Graph Count" dataDxfId="3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B89" totalsRowShown="0" headerRowDxfId="37" dataDxfId="36">
  <autoFilter ref="A79:B89"/>
  <tableColumns count="2">
    <tableColumn id="1" name="Top Mentioned in Entire Graph" dataDxfId="35"/>
    <tableColumn id="2" name="Entire Graph Count" dataDxfId="3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B102" totalsRowShown="0" headerRowDxfId="31" dataDxfId="30">
  <autoFilter ref="A92:B102"/>
  <tableColumns count="2">
    <tableColumn id="1" name="Top Tweeters in Entire Graph" dataDxfId="29"/>
    <tableColumn id="2" name="Entire Graph Count" dataDxfId="28"/>
  </tableColumns>
  <tableStyleInfo name="NodeXL Table" showFirstColumn="0" showLastColumn="0" showRowStripes="1" showColumnStripes="0"/>
</table>
</file>

<file path=xl/tables/table19.xml><?xml version="1.0" encoding="utf-8"?>
<table xmlns="http://schemas.openxmlformats.org/spreadsheetml/2006/main" id="19" name="ExportOptions" displayName="ExportOptions" ref="A1:B7" totalsRowShown="0" headerRowDxfId="12" dataDxfId="11">
  <autoFilter ref="A1:B7"/>
  <tableColumns count="2">
    <tableColumn id="1" name="Key" dataDxfId="10"/>
    <tableColumn id="2" name="Value" dataDxfId="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Y351" totalsRowShown="0" headerRowDxfId="233" dataDxfId="163">
  <autoFilter ref="A2:BY351"/>
  <tableColumns count="77">
    <tableColumn id="1" name="Vertex" dataDxfId="176"/>
    <tableColumn id="2" name="Color" dataDxfId="175"/>
    <tableColumn id="5" name="Shape" dataDxfId="174"/>
    <tableColumn id="6" name="Size" dataDxfId="173"/>
    <tableColumn id="4" name="Opacity" dataDxfId="75"/>
    <tableColumn id="7" name="Image File" dataDxfId="73"/>
    <tableColumn id="3" name="Visibility" dataDxfId="74"/>
    <tableColumn id="10" name="Label" dataDxfId="172"/>
    <tableColumn id="16" name="Label Fill Color" dataDxfId="171"/>
    <tableColumn id="9" name="Label Position" dataDxfId="70"/>
    <tableColumn id="8" name="Tooltip" dataDxfId="68"/>
    <tableColumn id="18" name="Layout Order" dataDxfId="69"/>
    <tableColumn id="13" name="X" dataDxfId="170"/>
    <tableColumn id="14" name="Y" dataDxfId="169"/>
    <tableColumn id="12" name="Locked?" dataDxfId="168"/>
    <tableColumn id="19" name="Polar R" dataDxfId="167"/>
    <tableColumn id="20" name="Polar Angle" dataDxfId="166"/>
    <tableColumn id="21" name="Degree" dataDxfId="6"/>
    <tableColumn id="22" name="In-Degree" dataDxfId="5"/>
    <tableColumn id="23" name="Out-Degree" dataDxfId="3"/>
    <tableColumn id="24" name="Betweenness Centrality" dataDxfId="4"/>
    <tableColumn id="25" name="Closeness Centrality" dataDxfId="8"/>
    <tableColumn id="26" name="Eigenvector Centrality" dataDxfId="7"/>
    <tableColumn id="15" name="PageRank" dataDxfId="2"/>
    <tableColumn id="27" name="Clustering Coefficient" dataDxfId="0"/>
    <tableColumn id="29" name="Reciprocated Vertex Pair Ratio" dataDxfId="1"/>
    <tableColumn id="11" name="ID" dataDxfId="165"/>
    <tableColumn id="28" name="Dynamic Filter" dataDxfId="164"/>
    <tableColumn id="17" name="Add Your Own Columns Here" dataDxfId="111"/>
    <tableColumn id="30" name="Name" dataDxfId="110"/>
    <tableColumn id="31" name="User ID" dataDxfId="109"/>
    <tableColumn id="32" name="Followers" dataDxfId="108"/>
    <tableColumn id="33" name="Followed" dataDxfId="107"/>
    <tableColumn id="34" name="Tweets" dataDxfId="106"/>
    <tableColumn id="35" name="Listed Count" dataDxfId="105"/>
    <tableColumn id="36" name="Favourites Count" dataDxfId="104"/>
    <tableColumn id="37" name="Media Count" dataDxfId="103"/>
    <tableColumn id="38" name="Verified" dataDxfId="102"/>
    <tableColumn id="39" name="Joined Twitter Date (UTC)" dataDxfId="101"/>
    <tableColumn id="40" name="Location" dataDxfId="100"/>
    <tableColumn id="41" name="Description" dataDxfId="99"/>
    <tableColumn id="42" name="URLs (Details)" dataDxfId="98"/>
    <tableColumn id="43" name="Expanded URLs (Details)" dataDxfId="97"/>
    <tableColumn id="44" name="Display URLs (Details)" dataDxfId="96"/>
    <tableColumn id="45" name="Description URLs (Details)" dataDxfId="95"/>
    <tableColumn id="46" name="Description Expanded URLs (Details)" dataDxfId="94"/>
    <tableColumn id="47" name="Description Display URLS (Details)" dataDxfId="93"/>
    <tableColumn id="48" name="Pinned Tweet ID" dataDxfId="92"/>
    <tableColumn id="49" name="URL" dataDxfId="91"/>
    <tableColumn id="50" name="Is Blue Verified" dataDxfId="90"/>
    <tableColumn id="51" name="You Are Followed By" dataDxfId="89"/>
    <tableColumn id="52" name="You Are Following" dataDxfId="88"/>
    <tableColumn id="53" name="Can DM" dataDxfId="87"/>
    <tableColumn id="54" name="Can Media Tag" dataDxfId="86"/>
    <tableColumn id="55" name="Default Profile" dataDxfId="85"/>
    <tableColumn id="56" name="Default Profile Image" dataDxfId="84"/>
    <tableColumn id="57" name="Has Custom Timelines" dataDxfId="83"/>
    <tableColumn id="58" name="Is Translator" dataDxfId="82"/>
    <tableColumn id="59" name="Possibly Sensitive" dataDxfId="81"/>
    <tableColumn id="60" name="Profile Banner URL" dataDxfId="80"/>
    <tableColumn id="61" name="Profile Interstitial Type" dataDxfId="79"/>
    <tableColumn id="62" name="Translator Type" dataDxfId="78"/>
    <tableColumn id="63" name="Want Retweets" dataDxfId="77"/>
    <tableColumn id="64" name="Withheld" dataDxfId="76"/>
    <tableColumn id="65" name="Tweeted Search Term?" dataDxfId="72"/>
    <tableColumn id="66" name="Custom Menu Item Text" dataDxfId="71"/>
    <tableColumn id="67" name="Custom Menu Item Action" dataDxfId="25"/>
    <tableColumn id="68" name="Top URLs in Tweet by Count" dataDxfId="24"/>
    <tableColumn id="69" name="Top URLs in Tweet by Salience" dataDxfId="23"/>
    <tableColumn id="70" name="Top Domains in Tweet by Count" dataDxfId="22"/>
    <tableColumn id="71" name="Top Domains in Tweet by Salience" dataDxfId="21"/>
    <tableColumn id="72" name="Top Hashtags in Tweet by Count" dataDxfId="20"/>
    <tableColumn id="73" name="Top Hashtags in Tweet by Salience" dataDxfId="19"/>
    <tableColumn id="74" name="Top Words in Tweet by Count" dataDxfId="18"/>
    <tableColumn id="75" name="Top Words in Tweet by Salience" dataDxfId="17"/>
    <tableColumn id="76" name="Top Word Pairs in Tweet by Count" dataDxfId="16"/>
    <tableColumn id="77" name="Top Word Pairs in Tweet by Salience" dataDxfId="15"/>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232">
  <autoFilter ref="A2:AF3"/>
  <tableColumns count="32">
    <tableColumn id="1" name="Group" dataDxfId="231"/>
    <tableColumn id="2" name="Vertex Color" dataDxfId="230"/>
    <tableColumn id="3" name="Vertex Shape" dataDxfId="229"/>
    <tableColumn id="22" name="Visibility" dataDxfId="228"/>
    <tableColumn id="4" name="Collapsed?"/>
    <tableColumn id="18" name="Label" dataDxfId="227"/>
    <tableColumn id="20" name="Collapsed X"/>
    <tableColumn id="21" name="Collapsed Y"/>
    <tableColumn id="6" name="ID" dataDxfId="226"/>
    <tableColumn id="19" name="Collapsed Properties" dataDxfId="225"/>
    <tableColumn id="5" name="Vertices" dataDxfId="224"/>
    <tableColumn id="7" name="Unique Edges" dataDxfId="223"/>
    <tableColumn id="8" name="Edges With Duplicates" dataDxfId="222"/>
    <tableColumn id="9" name="Total Edges" dataDxfId="221"/>
    <tableColumn id="10" name="Self-Loops" dataDxfId="220"/>
    <tableColumn id="24" name="Reciprocated Vertex Pair Ratio" dataDxfId="219"/>
    <tableColumn id="25" name="Reciprocated Edge Ratio" dataDxfId="218"/>
    <tableColumn id="11" name="Connected Components" dataDxfId="217"/>
    <tableColumn id="12" name="Single-Vertex Connected Components" dataDxfId="216"/>
    <tableColumn id="13" name="Maximum Vertices in a Connected Component" dataDxfId="215"/>
    <tableColumn id="14" name="Maximum Edges in a Connected Component" dataDxfId="214"/>
    <tableColumn id="15" name="Maximum Geodesic Distance (Diameter)" dataDxfId="213"/>
    <tableColumn id="16" name="Average Geodesic Distance" dataDxfId="212"/>
    <tableColumn id="17" name="Graph Density" dataDxfId="62"/>
    <tableColumn id="23" name="Top URLs in Tweet" dataDxfId="57"/>
    <tableColumn id="26" name="Top Domains in Tweet" dataDxfId="52"/>
    <tableColumn id="27" name="Top Hashtags in Tweet" dataDxfId="47"/>
    <tableColumn id="28" name="Top Words in Tweet" dataDxfId="42"/>
    <tableColumn id="29" name="Top Word Pairs in Tweet" dataDxfId="33"/>
    <tableColumn id="30" name="Top Replied-To in Tweet" dataDxfId="32"/>
    <tableColumn id="31" name="Top Mentioned in Tweet" dataDxfId="27"/>
    <tableColumn id="32" name="Top Tweeters" dataDxfId="2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1" dataDxfId="210">
  <autoFilter ref="A1:C2"/>
  <tableColumns count="3">
    <tableColumn id="1" name="Group" dataDxfId="209"/>
    <tableColumn id="2" name="Vertex" dataDxfId="208"/>
    <tableColumn id="3" name="Vertex ID" dataDxfId="20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6" totalsRowShown="0">
  <autoFilter ref="A1:B56"/>
  <tableColumns count="2">
    <tableColumn id="1" name="Graph Metric" dataDxfId="14"/>
    <tableColumn id="2" name="Value" dataDxfId="1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06"/>
    <tableColumn id="2" name="Degree Frequency" dataDxfId="205">
      <calculatedColumnFormula>COUNTIF(Vertices[Degree], "&gt;= " &amp; D2) - COUNTIF(Vertices[Degree], "&gt;=" &amp; D3)</calculatedColumnFormula>
    </tableColumn>
    <tableColumn id="3" name="In-Degree Bin" dataDxfId="204"/>
    <tableColumn id="4" name="In-Degree Frequency" dataDxfId="203">
      <calculatedColumnFormula>COUNTIF(Vertices[In-Degree], "&gt;= " &amp; F2) - COUNTIF(Vertices[In-Degree], "&gt;=" &amp; F3)</calculatedColumnFormula>
    </tableColumn>
    <tableColumn id="5" name="Out-Degree Bin" dataDxfId="202"/>
    <tableColumn id="6" name="Out-Degree Frequency" dataDxfId="201">
      <calculatedColumnFormula>COUNTIF(Vertices[Out-Degree], "&gt;= " &amp; H2) - COUNTIF(Vertices[Out-Degree], "&gt;=" &amp; H3)</calculatedColumnFormula>
    </tableColumn>
    <tableColumn id="7" name="Betweenness Centrality Bin" dataDxfId="200"/>
    <tableColumn id="8" name="Betweenness Centrality Frequency" dataDxfId="199">
      <calculatedColumnFormula>COUNTIF(Vertices[Betweenness Centrality], "&gt;= " &amp; J2) - COUNTIF(Vertices[Betweenness Centrality], "&gt;=" &amp; J3)</calculatedColumnFormula>
    </tableColumn>
    <tableColumn id="9" name="Closeness Centrality Bin" dataDxfId="198"/>
    <tableColumn id="10" name="Closeness Centrality Frequency" dataDxfId="197">
      <calculatedColumnFormula>COUNTIF(Vertices[Closeness Centrality], "&gt;= " &amp; L2) - COUNTIF(Vertices[Closeness Centrality], "&gt;=" &amp; L3)</calculatedColumnFormula>
    </tableColumn>
    <tableColumn id="11" name="Eigenvector Centrality Bin" dataDxfId="196"/>
    <tableColumn id="12" name="Eigenvector Centrality Frequency" dataDxfId="195">
      <calculatedColumnFormula>COUNTIF(Vertices[Eigenvector Centrality], "&gt;= " &amp; N2) - COUNTIF(Vertices[Eigenvector Centrality], "&gt;=" &amp; N3)</calculatedColumnFormula>
    </tableColumn>
    <tableColumn id="18" name="PageRank Bin" dataDxfId="194"/>
    <tableColumn id="17" name="PageRank Frequency" dataDxfId="193">
      <calculatedColumnFormula>COUNTIF(Vertices[Eigenvector Centrality], "&gt;= " &amp; P2) - COUNTIF(Vertices[Eigenvector Centrality], "&gt;=" &amp; P3)</calculatedColumnFormula>
    </tableColumn>
    <tableColumn id="13" name="Clustering Coefficient Bin" dataDxfId="192"/>
    <tableColumn id="14" name="Clustering Coefficient Frequency" dataDxfId="191">
      <calculatedColumnFormula>COUNTIF(Vertices[Clustering Coefficient], "&gt;= " &amp; R2) - COUNTIF(Vertices[Clustering Coefficient], "&gt;=" &amp; R3)</calculatedColumnFormula>
    </tableColumn>
    <tableColumn id="15" name="Dynamic Filter Bin" dataDxfId="190"/>
    <tableColumn id="16" name="Dynamic Filter Frequency" dataDxfId="1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9" totalsRowShown="0" headerRowDxfId="188">
  <autoFilter ref="J1:K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inovies.com/" TargetMode="External" /><Relationship Id="rId2" Type="http://schemas.openxmlformats.org/officeDocument/2006/relationships/hyperlink" Target="https://www.inovies.com/digital-marketing/" TargetMode="External" /><Relationship Id="rId3" Type="http://schemas.openxmlformats.org/officeDocument/2006/relationships/hyperlink" Target="https://www.inovies.com/" TargetMode="External" /><Relationship Id="rId4" Type="http://schemas.openxmlformats.org/officeDocument/2006/relationships/hyperlink" Target="https://www.inovies.com/web-design/" TargetMode="External" /><Relationship Id="rId5" Type="http://schemas.openxmlformats.org/officeDocument/2006/relationships/hyperlink" Target="https://inovies.com/digital-marketing/" TargetMode="External" /><Relationship Id="rId6" Type="http://schemas.openxmlformats.org/officeDocument/2006/relationships/hyperlink" Target="https://www.inovies.com/web-design/web-designing-company-in-hyderabad" TargetMode="External" /><Relationship Id="rId7" Type="http://schemas.openxmlformats.org/officeDocument/2006/relationships/hyperlink" Target="https://twitter.com/Inovies/status/1402693044516757504" TargetMode="External" /><Relationship Id="rId8" Type="http://schemas.openxmlformats.org/officeDocument/2006/relationships/hyperlink" Target="https://www.inovies.com/digital-marketing-company/" TargetMode="External" /><Relationship Id="rId9" Type="http://schemas.openxmlformats.org/officeDocument/2006/relationships/hyperlink" Target="https://twitter.com/Inovies" TargetMode="External" /><Relationship Id="rId10" Type="http://schemas.openxmlformats.org/officeDocument/2006/relationships/hyperlink" Target="https://www.inovies.com/digital-marketing-company/seo-company" TargetMode="Externa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3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10.140625" style="0" bestFit="1" customWidth="1"/>
    <col min="19" max="19" width="9.8515625" style="0" bestFit="1" customWidth="1"/>
    <col min="20" max="20" width="8.140625" style="0" bestFit="1" customWidth="1"/>
    <col min="21" max="21" width="8.28125" style="0" bestFit="1" customWidth="1"/>
    <col min="22" max="22" width="12.140625" style="0" bestFit="1" customWidth="1"/>
    <col min="23" max="23" width="12.421875" style="0" bestFit="1" customWidth="1"/>
    <col min="24" max="24" width="9.28125" style="0" bestFit="1" customWidth="1"/>
    <col min="25" max="25" width="12.28125" style="0" bestFit="1" customWidth="1"/>
    <col min="26" max="26" width="12.7109375" style="0" bestFit="1" customWidth="1"/>
    <col min="27" max="27" width="10.28125" style="0" bestFit="1" customWidth="1"/>
    <col min="28" max="28" width="8.28125" style="0" bestFit="1" customWidth="1"/>
    <col min="29" max="29" width="8.7109375" style="0" bestFit="1" customWidth="1"/>
    <col min="30" max="30" width="10.8515625" style="0" bestFit="1" customWidth="1"/>
    <col min="31" max="31" width="13.421875" style="0" bestFit="1" customWidth="1"/>
    <col min="32" max="32" width="12.7109375" style="0" bestFit="1" customWidth="1"/>
    <col min="33" max="33" width="7.140625" style="0" bestFit="1" customWidth="1"/>
    <col min="34" max="34" width="7.28125" style="0" bestFit="1" customWidth="1"/>
    <col min="35" max="35" width="10.2812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7109375" style="0" bestFit="1" customWidth="1"/>
    <col min="41" max="41" width="8.140625" style="0" bestFit="1" customWidth="1"/>
    <col min="42" max="42" width="7.57421875" style="0" bestFit="1" customWidth="1"/>
    <col min="43" max="43" width="8.28125" style="0" bestFit="1" customWidth="1"/>
    <col min="44" max="44" width="16.00390625" style="0" bestFit="1" customWidth="1"/>
    <col min="45" max="45" width="8.421875" style="0" bestFit="1" customWidth="1"/>
    <col min="46" max="46" width="8.28125" style="0" bestFit="1" customWidth="1"/>
    <col min="47" max="47" width="12.7109375" style="0" bestFit="1" customWidth="1"/>
    <col min="48" max="48" width="11.421875" style="0" bestFit="1" customWidth="1"/>
    <col min="49" max="50" width="13.00390625" style="0" bestFit="1" customWidth="1"/>
    <col min="51" max="52" width="12.7109375" style="0" bestFit="1" customWidth="1"/>
    <col min="53" max="53" width="10.421875" style="0" bestFit="1" customWidth="1"/>
    <col min="54" max="54" width="12.28125" style="0" bestFit="1" customWidth="1"/>
    <col min="55" max="55" width="11.28125" style="0" bestFit="1" customWidth="1"/>
    <col min="56" max="56" width="11.00390625" style="0" bestFit="1" customWidth="1"/>
    <col min="57" max="57" width="8.421875" style="0" bestFit="1" customWidth="1"/>
    <col min="58" max="58" width="9.57421875" style="0" bestFit="1" customWidth="1"/>
    <col min="59" max="59" width="10.28125" style="0" bestFit="1" customWidth="1"/>
    <col min="60" max="60" width="9.7109375" style="0" bestFit="1" customWidth="1"/>
    <col min="61" max="61" width="11.8515625" style="0" bestFit="1" customWidth="1"/>
  </cols>
  <sheetData>
    <row r="1" spans="3:14" ht="15">
      <c r="C1" s="15" t="s">
        <v>39</v>
      </c>
      <c r="D1" s="16"/>
      <c r="E1" s="16"/>
      <c r="F1" s="16"/>
      <c r="G1" s="15"/>
      <c r="H1" s="13" t="s">
        <v>43</v>
      </c>
      <c r="I1" s="49"/>
      <c r="J1" s="49"/>
      <c r="K1" s="31" t="s">
        <v>42</v>
      </c>
      <c r="L1" s="17" t="s">
        <v>40</v>
      </c>
      <c r="M1" s="17"/>
      <c r="N1" s="14" t="s">
        <v>41</v>
      </c>
    </row>
    <row r="2" spans="1:6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177</v>
      </c>
      <c r="P2" s="7" t="s">
        <v>178</v>
      </c>
      <c r="Q2" s="7" t="s">
        <v>179</v>
      </c>
      <c r="R2" s="7" t="s">
        <v>180</v>
      </c>
      <c r="S2" s="7" t="s">
        <v>181</v>
      </c>
      <c r="T2" s="7" t="s">
        <v>182</v>
      </c>
      <c r="U2" s="7" t="s">
        <v>183</v>
      </c>
      <c r="V2" s="7" t="s">
        <v>184</v>
      </c>
      <c r="W2" s="7" t="s">
        <v>185</v>
      </c>
      <c r="X2" s="7" t="s">
        <v>186</v>
      </c>
      <c r="Y2" s="7" t="s">
        <v>187</v>
      </c>
      <c r="Z2" s="7" t="s">
        <v>188</v>
      </c>
      <c r="AA2" s="7" t="s">
        <v>189</v>
      </c>
      <c r="AB2" s="7" t="s">
        <v>190</v>
      </c>
      <c r="AC2" s="7" t="s">
        <v>191</v>
      </c>
      <c r="AD2" s="7" t="s">
        <v>192</v>
      </c>
      <c r="AE2" s="7" t="s">
        <v>193</v>
      </c>
      <c r="AF2" s="7" t="s">
        <v>194</v>
      </c>
      <c r="AG2" s="7" t="s">
        <v>195</v>
      </c>
      <c r="AH2" s="7" t="s">
        <v>196</v>
      </c>
      <c r="AI2" s="7" t="s">
        <v>197</v>
      </c>
      <c r="AJ2" s="7" t="s">
        <v>198</v>
      </c>
      <c r="AK2" s="7" t="s">
        <v>199</v>
      </c>
      <c r="AL2" s="7" t="s">
        <v>200</v>
      </c>
      <c r="AM2" s="7" t="s">
        <v>201</v>
      </c>
      <c r="AN2" s="7" t="s">
        <v>202</v>
      </c>
      <c r="AO2" s="7" t="s">
        <v>203</v>
      </c>
      <c r="AP2" s="7" t="s">
        <v>204</v>
      </c>
      <c r="AQ2" s="7" t="s">
        <v>205</v>
      </c>
      <c r="AR2" s="7" t="s">
        <v>206</v>
      </c>
      <c r="AS2" s="7" t="s">
        <v>207</v>
      </c>
      <c r="AT2" s="7" t="s">
        <v>208</v>
      </c>
      <c r="AU2" s="7" t="s">
        <v>209</v>
      </c>
      <c r="AV2" s="7" t="s">
        <v>210</v>
      </c>
      <c r="AW2" s="7" t="s">
        <v>211</v>
      </c>
      <c r="AX2" s="7" t="s">
        <v>212</v>
      </c>
      <c r="AY2" s="7" t="s">
        <v>213</v>
      </c>
      <c r="AZ2" s="7" t="s">
        <v>214</v>
      </c>
      <c r="BA2" s="7" t="s">
        <v>215</v>
      </c>
      <c r="BB2" s="7" t="s">
        <v>216</v>
      </c>
      <c r="BC2" s="7" t="s">
        <v>217</v>
      </c>
      <c r="BD2" s="7" t="s">
        <v>218</v>
      </c>
      <c r="BE2" s="7" t="s">
        <v>219</v>
      </c>
      <c r="BF2" s="7" t="s">
        <v>220</v>
      </c>
      <c r="BG2" s="7" t="s">
        <v>221</v>
      </c>
      <c r="BH2" s="7" t="s">
        <v>222</v>
      </c>
      <c r="BI2" s="7" t="s">
        <v>223</v>
      </c>
    </row>
    <row r="3" spans="1:61" ht="15" customHeight="1">
      <c r="A3" s="62" t="s">
        <v>420</v>
      </c>
      <c r="B3" s="62" t="s">
        <v>299</v>
      </c>
      <c r="C3" s="63"/>
      <c r="D3" s="64"/>
      <c r="E3" s="65"/>
      <c r="F3" s="66"/>
      <c r="G3" s="63"/>
      <c r="H3" s="67"/>
      <c r="I3" s="68"/>
      <c r="J3" s="68"/>
      <c r="K3" s="32" t="s">
        <v>65</v>
      </c>
      <c r="L3" s="69">
        <v>3</v>
      </c>
      <c r="M3" s="69"/>
      <c r="N3" s="70"/>
      <c r="O3" s="76" t="s">
        <v>571</v>
      </c>
      <c r="P3" s="78">
        <v>42953.45511574074</v>
      </c>
      <c r="Q3" s="76" t="s">
        <v>1707</v>
      </c>
      <c r="R3" s="76">
        <v>0</v>
      </c>
      <c r="S3" s="76">
        <v>0</v>
      </c>
      <c r="T3" s="76">
        <v>0</v>
      </c>
      <c r="U3" s="76">
        <v>0</v>
      </c>
      <c r="V3" s="76"/>
      <c r="W3" s="76"/>
      <c r="X3" s="82" t="str">
        <f>HYPERLINK("http://goo.gl/nV4liR")</f>
        <v>http://goo.gl/nV4liR</v>
      </c>
      <c r="Y3" s="76" t="s">
        <v>1975</v>
      </c>
      <c r="Z3" s="76" t="s">
        <v>299</v>
      </c>
      <c r="AA3" s="76"/>
      <c r="AB3" s="76"/>
      <c r="AC3" s="83" t="s">
        <v>2723</v>
      </c>
      <c r="AD3" s="76" t="s">
        <v>2751</v>
      </c>
      <c r="AE3" s="82" t="str">
        <f>HYPERLINK("https://twitter.com/peopleperhour/status/894149896693002242")</f>
        <v>https://twitter.com/peopleperhour/status/894149896693002242</v>
      </c>
      <c r="AF3" s="78">
        <v>42953.45511574074</v>
      </c>
      <c r="AG3" s="84">
        <v>42953</v>
      </c>
      <c r="AH3" s="83" t="s">
        <v>3880</v>
      </c>
      <c r="AI3" s="76" t="b">
        <v>0</v>
      </c>
      <c r="AJ3" s="76"/>
      <c r="AK3" s="76"/>
      <c r="AL3" s="76"/>
      <c r="AM3" s="76"/>
      <c r="AN3" s="76"/>
      <c r="AO3" s="76"/>
      <c r="AP3" s="76"/>
      <c r="AQ3" s="76"/>
      <c r="AR3" s="76"/>
      <c r="AS3" s="76"/>
      <c r="AT3" s="76"/>
      <c r="AU3" s="76"/>
      <c r="AV3" s="82" t="str">
        <f>HYPERLINK("https://pbs.twimg.com/profile_images/1039867729090633728/_kLkBl4l_normal.jpg")</f>
        <v>https://pbs.twimg.com/profile_images/1039867729090633728/_kLkBl4l_normal.jpg</v>
      </c>
      <c r="AW3" s="83" t="s">
        <v>5675</v>
      </c>
      <c r="AX3" s="83" t="s">
        <v>5675</v>
      </c>
      <c r="AY3" s="83" t="s">
        <v>5721</v>
      </c>
      <c r="AZ3" s="83" t="s">
        <v>5773</v>
      </c>
      <c r="BA3" s="83" t="s">
        <v>5773</v>
      </c>
      <c r="BB3" s="83" t="s">
        <v>5773</v>
      </c>
      <c r="BC3" s="83" t="s">
        <v>5675</v>
      </c>
      <c r="BD3" s="76">
        <v>44859671</v>
      </c>
      <c r="BE3" s="76"/>
      <c r="BF3" s="76"/>
      <c r="BG3" s="76"/>
      <c r="BH3" s="76"/>
      <c r="BI3" s="76"/>
    </row>
    <row r="4" spans="1:61" ht="15" customHeight="1">
      <c r="A4" s="62" t="s">
        <v>224</v>
      </c>
      <c r="B4" s="62" t="s">
        <v>224</v>
      </c>
      <c r="C4" s="63"/>
      <c r="D4" s="64"/>
      <c r="E4" s="65"/>
      <c r="F4" s="66"/>
      <c r="G4" s="63"/>
      <c r="H4" s="67"/>
      <c r="I4" s="68"/>
      <c r="J4" s="68"/>
      <c r="K4" s="32" t="s">
        <v>65</v>
      </c>
      <c r="L4" s="75">
        <v>4</v>
      </c>
      <c r="M4" s="75"/>
      <c r="N4" s="70"/>
      <c r="O4" s="77" t="s">
        <v>179</v>
      </c>
      <c r="P4" s="79">
        <v>42637.50351851852</v>
      </c>
      <c r="Q4" s="77" t="s">
        <v>578</v>
      </c>
      <c r="R4" s="77">
        <v>0</v>
      </c>
      <c r="S4" s="77">
        <v>0</v>
      </c>
      <c r="T4" s="77">
        <v>0</v>
      </c>
      <c r="U4" s="77">
        <v>0</v>
      </c>
      <c r="V4" s="77"/>
      <c r="W4" s="81" t="s">
        <v>299</v>
      </c>
      <c r="X4" s="80" t="str">
        <f>HYPERLINK("https://dragplus.com/post/id/37880696")</f>
        <v>https://dragplus.com/post/id/37880696</v>
      </c>
      <c r="Y4" s="77" t="s">
        <v>1973</v>
      </c>
      <c r="Z4" s="77"/>
      <c r="AA4" s="77"/>
      <c r="AB4" s="77"/>
      <c r="AC4" s="81" t="s">
        <v>2700</v>
      </c>
      <c r="AD4" s="77" t="s">
        <v>2751</v>
      </c>
      <c r="AE4" s="80" t="str">
        <f>HYPERLINK("https://twitter.com/webanalytics_ag/status/779652873151975425")</f>
        <v>https://twitter.com/webanalytics_ag/status/779652873151975425</v>
      </c>
      <c r="AF4" s="79">
        <v>42637.50351851852</v>
      </c>
      <c r="AG4" s="85">
        <v>42637</v>
      </c>
      <c r="AH4" s="81" t="s">
        <v>2766</v>
      </c>
      <c r="AI4" s="77" t="b">
        <v>0</v>
      </c>
      <c r="AJ4" s="77"/>
      <c r="AK4" s="77"/>
      <c r="AL4" s="77"/>
      <c r="AM4" s="77"/>
      <c r="AN4" s="77"/>
      <c r="AO4" s="77"/>
      <c r="AP4" s="77"/>
      <c r="AQ4" s="77"/>
      <c r="AR4" s="77"/>
      <c r="AS4" s="77"/>
      <c r="AT4" s="77"/>
      <c r="AU4" s="77"/>
      <c r="AV4" s="80" t="str">
        <f>HYPERLINK("https://pbs.twimg.com/profile_images/464813741465292800/V6rCc9Pi_normal.jpeg")</f>
        <v>https://pbs.twimg.com/profile_images/464813741465292800/V6rCc9Pi_normal.jpeg</v>
      </c>
      <c r="AW4" s="81" t="s">
        <v>4509</v>
      </c>
      <c r="AX4" s="81" t="s">
        <v>4509</v>
      </c>
      <c r="AY4" s="77"/>
      <c r="AZ4" s="81" t="s">
        <v>5773</v>
      </c>
      <c r="BA4" s="81" t="s">
        <v>5773</v>
      </c>
      <c r="BB4" s="81" t="s">
        <v>5773</v>
      </c>
      <c r="BC4" s="81" t="s">
        <v>4509</v>
      </c>
      <c r="BD4" s="77">
        <v>2364029335</v>
      </c>
      <c r="BE4" s="77"/>
      <c r="BF4" s="77"/>
      <c r="BG4" s="77"/>
      <c r="BH4" s="77"/>
      <c r="BI4" s="77"/>
    </row>
    <row r="5" spans="1:61" ht="15">
      <c r="A5" s="62" t="s">
        <v>224</v>
      </c>
      <c r="B5" s="62" t="s">
        <v>224</v>
      </c>
      <c r="C5" s="63"/>
      <c r="D5" s="64"/>
      <c r="E5" s="65"/>
      <c r="F5" s="66"/>
      <c r="G5" s="63"/>
      <c r="H5" s="67"/>
      <c r="I5" s="68"/>
      <c r="J5" s="68"/>
      <c r="K5" s="32" t="s">
        <v>65</v>
      </c>
      <c r="L5" s="75">
        <v>5</v>
      </c>
      <c r="M5" s="75"/>
      <c r="N5" s="70"/>
      <c r="O5" s="77" t="s">
        <v>179</v>
      </c>
      <c r="P5" s="79">
        <v>42637.50351851852</v>
      </c>
      <c r="Q5" s="77" t="s">
        <v>579</v>
      </c>
      <c r="R5" s="77">
        <v>0</v>
      </c>
      <c r="S5" s="77">
        <v>0</v>
      </c>
      <c r="T5" s="77">
        <v>0</v>
      </c>
      <c r="U5" s="77">
        <v>0</v>
      </c>
      <c r="V5" s="77"/>
      <c r="W5" s="81" t="s">
        <v>299</v>
      </c>
      <c r="X5" s="80" t="str">
        <f>HYPERLINK("https://dragplus.com/post/id/37880697")</f>
        <v>https://dragplus.com/post/id/37880697</v>
      </c>
      <c r="Y5" s="77" t="s">
        <v>1973</v>
      </c>
      <c r="Z5" s="77"/>
      <c r="AA5" s="77"/>
      <c r="AB5" s="77"/>
      <c r="AC5" s="81" t="s">
        <v>2700</v>
      </c>
      <c r="AD5" s="77" t="s">
        <v>2751</v>
      </c>
      <c r="AE5" s="80" t="str">
        <f>HYPERLINK("https://twitter.com/webanalytics_ag/status/779652871272951808")</f>
        <v>https://twitter.com/webanalytics_ag/status/779652871272951808</v>
      </c>
      <c r="AF5" s="79">
        <v>42637.50351851852</v>
      </c>
      <c r="AG5" s="85">
        <v>42637</v>
      </c>
      <c r="AH5" s="81" t="s">
        <v>2766</v>
      </c>
      <c r="AI5" s="77" t="b">
        <v>0</v>
      </c>
      <c r="AJ5" s="77"/>
      <c r="AK5" s="77"/>
      <c r="AL5" s="77"/>
      <c r="AM5" s="77"/>
      <c r="AN5" s="77"/>
      <c r="AO5" s="77"/>
      <c r="AP5" s="77"/>
      <c r="AQ5" s="77"/>
      <c r="AR5" s="77"/>
      <c r="AS5" s="77"/>
      <c r="AT5" s="77"/>
      <c r="AU5" s="77"/>
      <c r="AV5" s="80" t="str">
        <f>HYPERLINK("https://pbs.twimg.com/profile_images/464813741465292800/V6rCc9Pi_normal.jpeg")</f>
        <v>https://pbs.twimg.com/profile_images/464813741465292800/V6rCc9Pi_normal.jpeg</v>
      </c>
      <c r="AW5" s="81" t="s">
        <v>4510</v>
      </c>
      <c r="AX5" s="81" t="s">
        <v>4510</v>
      </c>
      <c r="AY5" s="77"/>
      <c r="AZ5" s="81" t="s">
        <v>5773</v>
      </c>
      <c r="BA5" s="81" t="s">
        <v>5773</v>
      </c>
      <c r="BB5" s="81" t="s">
        <v>5773</v>
      </c>
      <c r="BC5" s="81" t="s">
        <v>4510</v>
      </c>
      <c r="BD5" s="77">
        <v>2364029335</v>
      </c>
      <c r="BE5" s="77"/>
      <c r="BF5" s="77"/>
      <c r="BG5" s="77"/>
      <c r="BH5" s="77"/>
      <c r="BI5" s="77"/>
    </row>
    <row r="6" spans="1:61" ht="15">
      <c r="A6" s="62" t="s">
        <v>224</v>
      </c>
      <c r="B6" s="62" t="s">
        <v>224</v>
      </c>
      <c r="C6" s="63"/>
      <c r="D6" s="64"/>
      <c r="E6" s="65"/>
      <c r="F6" s="66"/>
      <c r="G6" s="63"/>
      <c r="H6" s="67"/>
      <c r="I6" s="68"/>
      <c r="J6" s="68"/>
      <c r="K6" s="32" t="s">
        <v>65</v>
      </c>
      <c r="L6" s="75">
        <v>6</v>
      </c>
      <c r="M6" s="75"/>
      <c r="N6" s="70"/>
      <c r="O6" s="77" t="s">
        <v>179</v>
      </c>
      <c r="P6" s="79">
        <v>42637.50350694444</v>
      </c>
      <c r="Q6" s="77" t="s">
        <v>580</v>
      </c>
      <c r="R6" s="77">
        <v>0</v>
      </c>
      <c r="S6" s="77">
        <v>0</v>
      </c>
      <c r="T6" s="77">
        <v>0</v>
      </c>
      <c r="U6" s="77">
        <v>0</v>
      </c>
      <c r="V6" s="77"/>
      <c r="W6" s="81" t="s">
        <v>299</v>
      </c>
      <c r="X6" s="80" t="str">
        <f>HYPERLINK("https://dragplus.com/post/id/37880695")</f>
        <v>https://dragplus.com/post/id/37880695</v>
      </c>
      <c r="Y6" s="77" t="s">
        <v>1973</v>
      </c>
      <c r="Z6" s="77"/>
      <c r="AA6" s="77"/>
      <c r="AB6" s="77"/>
      <c r="AC6" s="81" t="s">
        <v>2700</v>
      </c>
      <c r="AD6" s="77" t="s">
        <v>2751</v>
      </c>
      <c r="AE6" s="80" t="str">
        <f>HYPERLINK("https://twitter.com/webanalytics_ag/status/779652868844519424")</f>
        <v>https://twitter.com/webanalytics_ag/status/779652868844519424</v>
      </c>
      <c r="AF6" s="79">
        <v>42637.50350694444</v>
      </c>
      <c r="AG6" s="85">
        <v>42637</v>
      </c>
      <c r="AH6" s="81" t="s">
        <v>2767</v>
      </c>
      <c r="AI6" s="77" t="b">
        <v>0</v>
      </c>
      <c r="AJ6" s="77"/>
      <c r="AK6" s="77"/>
      <c r="AL6" s="77"/>
      <c r="AM6" s="77"/>
      <c r="AN6" s="77"/>
      <c r="AO6" s="77"/>
      <c r="AP6" s="77"/>
      <c r="AQ6" s="77"/>
      <c r="AR6" s="77"/>
      <c r="AS6" s="77"/>
      <c r="AT6" s="77"/>
      <c r="AU6" s="77"/>
      <c r="AV6" s="80" t="str">
        <f>HYPERLINK("https://pbs.twimg.com/profile_images/464813741465292800/V6rCc9Pi_normal.jpeg")</f>
        <v>https://pbs.twimg.com/profile_images/464813741465292800/V6rCc9Pi_normal.jpeg</v>
      </c>
      <c r="AW6" s="81" t="s">
        <v>4511</v>
      </c>
      <c r="AX6" s="81" t="s">
        <v>4511</v>
      </c>
      <c r="AY6" s="77"/>
      <c r="AZ6" s="81" t="s">
        <v>5773</v>
      </c>
      <c r="BA6" s="81" t="s">
        <v>5773</v>
      </c>
      <c r="BB6" s="81" t="s">
        <v>5773</v>
      </c>
      <c r="BC6" s="81" t="s">
        <v>4511</v>
      </c>
      <c r="BD6" s="77">
        <v>2364029335</v>
      </c>
      <c r="BE6" s="77"/>
      <c r="BF6" s="77"/>
      <c r="BG6" s="77"/>
      <c r="BH6" s="77"/>
      <c r="BI6" s="77"/>
    </row>
    <row r="7" spans="1:61" ht="15">
      <c r="A7" s="62" t="s">
        <v>224</v>
      </c>
      <c r="B7" s="62" t="s">
        <v>224</v>
      </c>
      <c r="C7" s="63"/>
      <c r="D7" s="64"/>
      <c r="E7" s="65"/>
      <c r="F7" s="66"/>
      <c r="G7" s="63"/>
      <c r="H7" s="67"/>
      <c r="I7" s="68"/>
      <c r="J7" s="68"/>
      <c r="K7" s="32" t="s">
        <v>65</v>
      </c>
      <c r="L7" s="75">
        <v>7</v>
      </c>
      <c r="M7" s="75"/>
      <c r="N7" s="70"/>
      <c r="O7" s="77" t="s">
        <v>179</v>
      </c>
      <c r="P7" s="79">
        <v>42596.530625</v>
      </c>
      <c r="Q7" s="77" t="s">
        <v>581</v>
      </c>
      <c r="R7" s="77">
        <v>0</v>
      </c>
      <c r="S7" s="77">
        <v>0</v>
      </c>
      <c r="T7" s="77">
        <v>0</v>
      </c>
      <c r="U7" s="77">
        <v>0</v>
      </c>
      <c r="V7" s="77"/>
      <c r="W7" s="81" t="s">
        <v>299</v>
      </c>
      <c r="X7" s="80" t="str">
        <f>HYPERLINK("https://dragplus.com/post/id/37318508")</f>
        <v>https://dragplus.com/post/id/37318508</v>
      </c>
      <c r="Y7" s="77" t="s">
        <v>1973</v>
      </c>
      <c r="Z7" s="77"/>
      <c r="AA7" s="77"/>
      <c r="AB7" s="77"/>
      <c r="AC7" s="81" t="s">
        <v>2700</v>
      </c>
      <c r="AD7" s="77" t="s">
        <v>2751</v>
      </c>
      <c r="AE7" s="80" t="str">
        <f>HYPERLINK("https://twitter.com/webanalytics_ag/status/764804793747566592")</f>
        <v>https://twitter.com/webanalytics_ag/status/764804793747566592</v>
      </c>
      <c r="AF7" s="79">
        <v>42596.530625</v>
      </c>
      <c r="AG7" s="85">
        <v>42596</v>
      </c>
      <c r="AH7" s="81" t="s">
        <v>2768</v>
      </c>
      <c r="AI7" s="77" t="b">
        <v>0</v>
      </c>
      <c r="AJ7" s="77"/>
      <c r="AK7" s="77"/>
      <c r="AL7" s="77"/>
      <c r="AM7" s="77"/>
      <c r="AN7" s="77"/>
      <c r="AO7" s="77"/>
      <c r="AP7" s="77"/>
      <c r="AQ7" s="77"/>
      <c r="AR7" s="77"/>
      <c r="AS7" s="77"/>
      <c r="AT7" s="77"/>
      <c r="AU7" s="77"/>
      <c r="AV7" s="80" t="str">
        <f>HYPERLINK("https://pbs.twimg.com/profile_images/464813741465292800/V6rCc9Pi_normal.jpeg")</f>
        <v>https://pbs.twimg.com/profile_images/464813741465292800/V6rCc9Pi_normal.jpeg</v>
      </c>
      <c r="AW7" s="81" t="s">
        <v>4512</v>
      </c>
      <c r="AX7" s="81" t="s">
        <v>4512</v>
      </c>
      <c r="AY7" s="77"/>
      <c r="AZ7" s="81" t="s">
        <v>5773</v>
      </c>
      <c r="BA7" s="81" t="s">
        <v>5773</v>
      </c>
      <c r="BB7" s="81" t="s">
        <v>5773</v>
      </c>
      <c r="BC7" s="81" t="s">
        <v>4512</v>
      </c>
      <c r="BD7" s="77">
        <v>2364029335</v>
      </c>
      <c r="BE7" s="77"/>
      <c r="BF7" s="77"/>
      <c r="BG7" s="77"/>
      <c r="BH7" s="77"/>
      <c r="BI7" s="77"/>
    </row>
    <row r="8" spans="1:61" ht="15">
      <c r="A8" s="62" t="s">
        <v>224</v>
      </c>
      <c r="B8" s="62" t="s">
        <v>224</v>
      </c>
      <c r="C8" s="63"/>
      <c r="D8" s="64"/>
      <c r="E8" s="65"/>
      <c r="F8" s="66"/>
      <c r="G8" s="63"/>
      <c r="H8" s="67"/>
      <c r="I8" s="68"/>
      <c r="J8" s="68"/>
      <c r="K8" s="32" t="s">
        <v>65</v>
      </c>
      <c r="L8" s="75">
        <v>8</v>
      </c>
      <c r="M8" s="75"/>
      <c r="N8" s="70"/>
      <c r="O8" s="77" t="s">
        <v>179</v>
      </c>
      <c r="P8" s="79">
        <v>42456.112592592595</v>
      </c>
      <c r="Q8" s="77" t="s">
        <v>582</v>
      </c>
      <c r="R8" s="77">
        <v>0</v>
      </c>
      <c r="S8" s="77">
        <v>3</v>
      </c>
      <c r="T8" s="77">
        <v>0</v>
      </c>
      <c r="U8" s="77">
        <v>0</v>
      </c>
      <c r="V8" s="77"/>
      <c r="W8" s="81" t="s">
        <v>1708</v>
      </c>
      <c r="X8" s="80" t="str">
        <f>HYPERLINK("http://dragplus.com/post/id/34255305")</f>
        <v>http://dragplus.com/post/id/34255305</v>
      </c>
      <c r="Y8" s="77" t="s">
        <v>1973</v>
      </c>
      <c r="Z8" s="77"/>
      <c r="AA8" s="77"/>
      <c r="AB8" s="77"/>
      <c r="AC8" s="81" t="s">
        <v>2700</v>
      </c>
      <c r="AD8" s="77" t="s">
        <v>2751</v>
      </c>
      <c r="AE8" s="80" t="str">
        <f>HYPERLINK("https://twitter.com/webanalytics_ag/status/713918999420133377")</f>
        <v>https://twitter.com/webanalytics_ag/status/713918999420133377</v>
      </c>
      <c r="AF8" s="79">
        <v>42456.112592592595</v>
      </c>
      <c r="AG8" s="85">
        <v>42456</v>
      </c>
      <c r="AH8" s="81" t="s">
        <v>2769</v>
      </c>
      <c r="AI8" s="77" t="b">
        <v>0</v>
      </c>
      <c r="AJ8" s="77"/>
      <c r="AK8" s="77"/>
      <c r="AL8" s="77"/>
      <c r="AM8" s="77"/>
      <c r="AN8" s="77"/>
      <c r="AO8" s="77"/>
      <c r="AP8" s="77"/>
      <c r="AQ8" s="77"/>
      <c r="AR8" s="77"/>
      <c r="AS8" s="77"/>
      <c r="AT8" s="77"/>
      <c r="AU8" s="77"/>
      <c r="AV8" s="80" t="str">
        <f>HYPERLINK("https://pbs.twimg.com/profile_images/464813741465292800/V6rCc9Pi_normal.jpeg")</f>
        <v>https://pbs.twimg.com/profile_images/464813741465292800/V6rCc9Pi_normal.jpeg</v>
      </c>
      <c r="AW8" s="81" t="s">
        <v>4513</v>
      </c>
      <c r="AX8" s="81" t="s">
        <v>4513</v>
      </c>
      <c r="AY8" s="77"/>
      <c r="AZ8" s="81" t="s">
        <v>5773</v>
      </c>
      <c r="BA8" s="81" t="s">
        <v>5773</v>
      </c>
      <c r="BB8" s="81" t="s">
        <v>5773</v>
      </c>
      <c r="BC8" s="81" t="s">
        <v>4513</v>
      </c>
      <c r="BD8" s="77">
        <v>2364029335</v>
      </c>
      <c r="BE8" s="77"/>
      <c r="BF8" s="77"/>
      <c r="BG8" s="77"/>
      <c r="BH8" s="77"/>
      <c r="BI8" s="77"/>
    </row>
    <row r="9" spans="1:61" ht="15">
      <c r="A9" s="62" t="s">
        <v>225</v>
      </c>
      <c r="B9" s="62" t="s">
        <v>421</v>
      </c>
      <c r="C9" s="63"/>
      <c r="D9" s="64"/>
      <c r="E9" s="65"/>
      <c r="F9" s="66"/>
      <c r="G9" s="63"/>
      <c r="H9" s="67"/>
      <c r="I9" s="68"/>
      <c r="J9" s="68"/>
      <c r="K9" s="32" t="s">
        <v>65</v>
      </c>
      <c r="L9" s="75">
        <v>9</v>
      </c>
      <c r="M9" s="75"/>
      <c r="N9" s="70"/>
      <c r="O9" s="77" t="s">
        <v>571</v>
      </c>
      <c r="P9" s="79">
        <v>43711.517696759256</v>
      </c>
      <c r="Q9" s="77" t="s">
        <v>583</v>
      </c>
      <c r="R9" s="77">
        <v>0</v>
      </c>
      <c r="S9" s="77">
        <v>0</v>
      </c>
      <c r="T9" s="77">
        <v>0</v>
      </c>
      <c r="U9" s="77">
        <v>1</v>
      </c>
      <c r="V9" s="77"/>
      <c r="W9" s="77"/>
      <c r="X9" s="77"/>
      <c r="Y9" s="77"/>
      <c r="Z9" s="77" t="s">
        <v>421</v>
      </c>
      <c r="AA9" s="77" t="s">
        <v>2103</v>
      </c>
      <c r="AB9" s="77" t="s">
        <v>2694</v>
      </c>
      <c r="AC9" s="81" t="s">
        <v>2701</v>
      </c>
      <c r="AD9" s="77" t="s">
        <v>2751</v>
      </c>
      <c r="AE9" s="80" t="str">
        <f>HYPERLINK("https://twitter.com/chavan_pranoti/status/1168862578279190528")</f>
        <v>https://twitter.com/chavan_pranoti/status/1168862578279190528</v>
      </c>
      <c r="AF9" s="79">
        <v>43711.517696759256</v>
      </c>
      <c r="AG9" s="85">
        <v>43711</v>
      </c>
      <c r="AH9" s="81" t="s">
        <v>2770</v>
      </c>
      <c r="AI9" s="77" t="b">
        <v>0</v>
      </c>
      <c r="AJ9" s="77"/>
      <c r="AK9" s="77"/>
      <c r="AL9" s="77"/>
      <c r="AM9" s="77"/>
      <c r="AN9" s="77"/>
      <c r="AO9" s="77"/>
      <c r="AP9" s="77"/>
      <c r="AQ9" s="77" t="s">
        <v>3921</v>
      </c>
      <c r="AR9" s="77"/>
      <c r="AS9" s="77"/>
      <c r="AT9" s="77"/>
      <c r="AU9" s="77"/>
      <c r="AV9" s="80" t="str">
        <f>HYPERLINK("https://pbs.twimg.com/media/EDiiSASU4AU8txn.jpg")</f>
        <v>https://pbs.twimg.com/media/EDiiSASU4AU8txn.jpg</v>
      </c>
      <c r="AW9" s="81" t="s">
        <v>4514</v>
      </c>
      <c r="AX9" s="81" t="s">
        <v>4514</v>
      </c>
      <c r="AY9" s="81" t="s">
        <v>5719</v>
      </c>
      <c r="AZ9" s="81" t="s">
        <v>5773</v>
      </c>
      <c r="BA9" s="81" t="s">
        <v>5773</v>
      </c>
      <c r="BB9" s="81" t="s">
        <v>5773</v>
      </c>
      <c r="BC9" s="81" t="s">
        <v>4514</v>
      </c>
      <c r="BD9" s="77">
        <v>3286550383</v>
      </c>
      <c r="BE9" s="77"/>
      <c r="BF9" s="77"/>
      <c r="BG9" s="77"/>
      <c r="BH9" s="77"/>
      <c r="BI9" s="77"/>
    </row>
    <row r="10" spans="1:61" ht="15">
      <c r="A10" s="62" t="s">
        <v>226</v>
      </c>
      <c r="B10" s="62" t="s">
        <v>226</v>
      </c>
      <c r="C10" s="63"/>
      <c r="D10" s="64"/>
      <c r="E10" s="65"/>
      <c r="F10" s="66"/>
      <c r="G10" s="63"/>
      <c r="H10" s="67"/>
      <c r="I10" s="68"/>
      <c r="J10" s="68"/>
      <c r="K10" s="32" t="s">
        <v>65</v>
      </c>
      <c r="L10" s="75">
        <v>10</v>
      </c>
      <c r="M10" s="75"/>
      <c r="N10" s="70"/>
      <c r="O10" s="77" t="s">
        <v>179</v>
      </c>
      <c r="P10" s="79">
        <v>40667.56759259259</v>
      </c>
      <c r="Q10" s="77" t="s">
        <v>584</v>
      </c>
      <c r="R10" s="77">
        <v>0</v>
      </c>
      <c r="S10" s="77">
        <v>0</v>
      </c>
      <c r="T10" s="77">
        <v>0</v>
      </c>
      <c r="U10" s="77">
        <v>0</v>
      </c>
      <c r="V10" s="77"/>
      <c r="W10" s="77"/>
      <c r="X10" s="77"/>
      <c r="Y10" s="77"/>
      <c r="Z10" s="77"/>
      <c r="AA10" s="77"/>
      <c r="AB10" s="77"/>
      <c r="AC10" s="81" t="s">
        <v>2702</v>
      </c>
      <c r="AD10" s="77" t="s">
        <v>2751</v>
      </c>
      <c r="AE10" s="80" t="str">
        <f>HYPERLINK("https://twitter.com/sivaramaiah2008/status/65771994519584768")</f>
        <v>https://twitter.com/sivaramaiah2008/status/65771994519584768</v>
      </c>
      <c r="AF10" s="79">
        <v>40667.56759259259</v>
      </c>
      <c r="AG10" s="85">
        <v>40667</v>
      </c>
      <c r="AH10" s="81" t="s">
        <v>2771</v>
      </c>
      <c r="AI10" s="77"/>
      <c r="AJ10" s="77"/>
      <c r="AK10" s="77"/>
      <c r="AL10" s="77"/>
      <c r="AM10" s="77"/>
      <c r="AN10" s="77"/>
      <c r="AO10" s="77"/>
      <c r="AP10" s="77"/>
      <c r="AQ10" s="77"/>
      <c r="AR10" s="77"/>
      <c r="AS10" s="77"/>
      <c r="AT10" s="77"/>
      <c r="AU10" s="77"/>
      <c r="AV10" s="80" t="str">
        <f>HYPERLINK("https://pbs.twimg.com/profile_images/1403578187401994243/QBqJEJUH_normal.jpg")</f>
        <v>https://pbs.twimg.com/profile_images/1403578187401994243/QBqJEJUH_normal.jpg</v>
      </c>
      <c r="AW10" s="81" t="s">
        <v>4515</v>
      </c>
      <c r="AX10" s="81" t="s">
        <v>4515</v>
      </c>
      <c r="AY10" s="77"/>
      <c r="AZ10" s="81" t="s">
        <v>5773</v>
      </c>
      <c r="BA10" s="81" t="s">
        <v>5773</v>
      </c>
      <c r="BB10" s="81" t="s">
        <v>5773</v>
      </c>
      <c r="BC10" s="81" t="s">
        <v>4515</v>
      </c>
      <c r="BD10" s="77">
        <v>119657886</v>
      </c>
      <c r="BE10" s="77"/>
      <c r="BF10" s="77"/>
      <c r="BG10" s="77"/>
      <c r="BH10" s="77"/>
      <c r="BI10" s="77"/>
    </row>
    <row r="11" spans="1:61" ht="15">
      <c r="A11" s="62" t="s">
        <v>227</v>
      </c>
      <c r="B11" s="62" t="s">
        <v>227</v>
      </c>
      <c r="C11" s="63"/>
      <c r="D11" s="64"/>
      <c r="E11" s="65"/>
      <c r="F11" s="66"/>
      <c r="G11" s="63"/>
      <c r="H11" s="67"/>
      <c r="I11" s="68"/>
      <c r="J11" s="68"/>
      <c r="K11" s="32" t="s">
        <v>65</v>
      </c>
      <c r="L11" s="75">
        <v>11</v>
      </c>
      <c r="M11" s="75"/>
      <c r="N11" s="70"/>
      <c r="O11" s="77" t="s">
        <v>179</v>
      </c>
      <c r="P11" s="79">
        <v>42672.236875</v>
      </c>
      <c r="Q11" s="77" t="s">
        <v>585</v>
      </c>
      <c r="R11" s="77">
        <v>0</v>
      </c>
      <c r="S11" s="77">
        <v>0</v>
      </c>
      <c r="T11" s="77">
        <v>0</v>
      </c>
      <c r="U11" s="77">
        <v>0</v>
      </c>
      <c r="V11" s="77"/>
      <c r="W11" s="77"/>
      <c r="X11" s="80" t="str">
        <f>HYPERLINK("http://dlvr.it/MY983r")</f>
        <v>http://dlvr.it/MY983r</v>
      </c>
      <c r="Y11" s="77" t="s">
        <v>1974</v>
      </c>
      <c r="Z11" s="77"/>
      <c r="AA11" s="77"/>
      <c r="AB11" s="77"/>
      <c r="AC11" s="81" t="s">
        <v>1974</v>
      </c>
      <c r="AD11" s="77" t="s">
        <v>2751</v>
      </c>
      <c r="AE11" s="80" t="str">
        <f>HYPERLINK("https://twitter.com/emranhrbr/status/792239818734342144")</f>
        <v>https://twitter.com/emranhrbr/status/792239818734342144</v>
      </c>
      <c r="AF11" s="79">
        <v>42672.236875</v>
      </c>
      <c r="AG11" s="85">
        <v>42672</v>
      </c>
      <c r="AH11" s="81" t="s">
        <v>2772</v>
      </c>
      <c r="AI11" s="77" t="b">
        <v>0</v>
      </c>
      <c r="AJ11" s="77"/>
      <c r="AK11" s="77"/>
      <c r="AL11" s="77"/>
      <c r="AM11" s="77"/>
      <c r="AN11" s="77"/>
      <c r="AO11" s="77"/>
      <c r="AP11" s="77"/>
      <c r="AQ11" s="77"/>
      <c r="AR11" s="77"/>
      <c r="AS11" s="77"/>
      <c r="AT11" s="77"/>
      <c r="AU11" s="77"/>
      <c r="AV11" s="80" t="str">
        <f>HYPERLINK("https://pbs.twimg.com/profile_images/1637757127333912576/rwCjSrdn_normal.jpg")</f>
        <v>https://pbs.twimg.com/profile_images/1637757127333912576/rwCjSrdn_normal.jpg</v>
      </c>
      <c r="AW11" s="81" t="s">
        <v>4516</v>
      </c>
      <c r="AX11" s="81" t="s">
        <v>4516</v>
      </c>
      <c r="AY11" s="77"/>
      <c r="AZ11" s="81" t="s">
        <v>5773</v>
      </c>
      <c r="BA11" s="81" t="s">
        <v>5773</v>
      </c>
      <c r="BB11" s="81" t="s">
        <v>5773</v>
      </c>
      <c r="BC11" s="81" t="s">
        <v>4516</v>
      </c>
      <c r="BD11" s="77">
        <v>86012608</v>
      </c>
      <c r="BE11" s="77"/>
      <c r="BF11" s="77"/>
      <c r="BG11" s="77"/>
      <c r="BH11" s="77"/>
      <c r="BI11" s="77"/>
    </row>
    <row r="12" spans="1:61" ht="15">
      <c r="A12" s="62" t="s">
        <v>228</v>
      </c>
      <c r="B12" s="62" t="s">
        <v>422</v>
      </c>
      <c r="C12" s="63"/>
      <c r="D12" s="64"/>
      <c r="E12" s="65"/>
      <c r="F12" s="66"/>
      <c r="G12" s="63"/>
      <c r="H12" s="67"/>
      <c r="I12" s="68"/>
      <c r="J12" s="68"/>
      <c r="K12" s="32" t="s">
        <v>65</v>
      </c>
      <c r="L12" s="75">
        <v>12</v>
      </c>
      <c r="M12" s="75"/>
      <c r="N12" s="70"/>
      <c r="O12" s="77" t="s">
        <v>571</v>
      </c>
      <c r="P12" s="79">
        <v>42956.388865740744</v>
      </c>
      <c r="Q12" s="77" t="s">
        <v>586</v>
      </c>
      <c r="R12" s="77">
        <v>0</v>
      </c>
      <c r="S12" s="77">
        <v>0</v>
      </c>
      <c r="T12" s="77">
        <v>0</v>
      </c>
      <c r="U12" s="77">
        <v>0</v>
      </c>
      <c r="V12" s="77"/>
      <c r="W12" s="77"/>
      <c r="X12" s="77"/>
      <c r="Y12" s="77"/>
      <c r="Z12" s="77" t="s">
        <v>2056</v>
      </c>
      <c r="AA12" s="77"/>
      <c r="AB12" s="77"/>
      <c r="AC12" s="81" t="s">
        <v>2703</v>
      </c>
      <c r="AD12" s="77" t="s">
        <v>2751</v>
      </c>
      <c r="AE12" s="80" t="str">
        <f>HYPERLINK("https://twitter.com/carolinebombart/status/895213051988893697")</f>
        <v>https://twitter.com/carolinebombart/status/895213051988893697</v>
      </c>
      <c r="AF12" s="79">
        <v>42956.388865740744</v>
      </c>
      <c r="AG12" s="85">
        <v>42956</v>
      </c>
      <c r="AH12" s="81" t="s">
        <v>2773</v>
      </c>
      <c r="AI12" s="77"/>
      <c r="AJ12" s="77"/>
      <c r="AK12" s="77"/>
      <c r="AL12" s="77"/>
      <c r="AM12" s="77"/>
      <c r="AN12" s="77"/>
      <c r="AO12" s="77"/>
      <c r="AP12" s="77"/>
      <c r="AQ12" s="77"/>
      <c r="AR12" s="77"/>
      <c r="AS12" s="77"/>
      <c r="AT12" s="77"/>
      <c r="AU12" s="77"/>
      <c r="AV12" s="80" t="str">
        <f>HYPERLINK("https://pbs.twimg.com/profile_images/1403968836030898176/7he6PSky_normal.jpg")</f>
        <v>https://pbs.twimg.com/profile_images/1403968836030898176/7he6PSky_normal.jpg</v>
      </c>
      <c r="AW12" s="81" t="s">
        <v>4517</v>
      </c>
      <c r="AX12" s="81" t="s">
        <v>4517</v>
      </c>
      <c r="AY12" s="81" t="s">
        <v>5720</v>
      </c>
      <c r="AZ12" s="81" t="s">
        <v>5773</v>
      </c>
      <c r="BA12" s="81" t="s">
        <v>5773</v>
      </c>
      <c r="BB12" s="81" t="s">
        <v>5773</v>
      </c>
      <c r="BC12" s="81" t="s">
        <v>4517</v>
      </c>
      <c r="BD12" s="77">
        <v>245542127</v>
      </c>
      <c r="BE12" s="77"/>
      <c r="BF12" s="77"/>
      <c r="BG12" s="77"/>
      <c r="BH12" s="77"/>
      <c r="BI12" s="77"/>
    </row>
    <row r="13" spans="1:61" ht="15">
      <c r="A13" s="62" t="s">
        <v>228</v>
      </c>
      <c r="B13" s="62" t="s">
        <v>299</v>
      </c>
      <c r="C13" s="63"/>
      <c r="D13" s="64"/>
      <c r="E13" s="65"/>
      <c r="F13" s="66"/>
      <c r="G13" s="63"/>
      <c r="H13" s="67"/>
      <c r="I13" s="68"/>
      <c r="J13" s="68"/>
      <c r="K13" s="32" t="s">
        <v>65</v>
      </c>
      <c r="L13" s="75">
        <v>13</v>
      </c>
      <c r="M13" s="75"/>
      <c r="N13" s="70"/>
      <c r="O13" s="77" t="s">
        <v>571</v>
      </c>
      <c r="P13" s="79">
        <v>42956.388865740744</v>
      </c>
      <c r="Q13" s="77" t="s">
        <v>586</v>
      </c>
      <c r="R13" s="77">
        <v>0</v>
      </c>
      <c r="S13" s="77">
        <v>0</v>
      </c>
      <c r="T13" s="77">
        <v>0</v>
      </c>
      <c r="U13" s="77">
        <v>0</v>
      </c>
      <c r="V13" s="77"/>
      <c r="W13" s="77"/>
      <c r="X13" s="77"/>
      <c r="Y13" s="77"/>
      <c r="Z13" s="77" t="s">
        <v>2056</v>
      </c>
      <c r="AA13" s="77"/>
      <c r="AB13" s="77"/>
      <c r="AC13" s="81" t="s">
        <v>2703</v>
      </c>
      <c r="AD13" s="77" t="s">
        <v>2751</v>
      </c>
      <c r="AE13" s="80" t="str">
        <f>HYPERLINK("https://twitter.com/carolinebombart/status/895213051988893697")</f>
        <v>https://twitter.com/carolinebombart/status/895213051988893697</v>
      </c>
      <c r="AF13" s="79">
        <v>42956.388865740744</v>
      </c>
      <c r="AG13" s="85">
        <v>42956</v>
      </c>
      <c r="AH13" s="81" t="s">
        <v>2773</v>
      </c>
      <c r="AI13" s="77"/>
      <c r="AJ13" s="77"/>
      <c r="AK13" s="77"/>
      <c r="AL13" s="77"/>
      <c r="AM13" s="77"/>
      <c r="AN13" s="77"/>
      <c r="AO13" s="77"/>
      <c r="AP13" s="77"/>
      <c r="AQ13" s="77"/>
      <c r="AR13" s="77"/>
      <c r="AS13" s="77"/>
      <c r="AT13" s="77"/>
      <c r="AU13" s="77"/>
      <c r="AV13" s="80" t="str">
        <f>HYPERLINK("https://pbs.twimg.com/profile_images/1403968836030898176/7he6PSky_normal.jpg")</f>
        <v>https://pbs.twimg.com/profile_images/1403968836030898176/7he6PSky_normal.jpg</v>
      </c>
      <c r="AW13" s="81" t="s">
        <v>4517</v>
      </c>
      <c r="AX13" s="81" t="s">
        <v>4517</v>
      </c>
      <c r="AY13" s="81" t="s">
        <v>5720</v>
      </c>
      <c r="AZ13" s="81" t="s">
        <v>5773</v>
      </c>
      <c r="BA13" s="81" t="s">
        <v>5773</v>
      </c>
      <c r="BB13" s="81" t="s">
        <v>5773</v>
      </c>
      <c r="BC13" s="81" t="s">
        <v>4517</v>
      </c>
      <c r="BD13" s="77">
        <v>245542127</v>
      </c>
      <c r="BE13" s="77"/>
      <c r="BF13" s="77"/>
      <c r="BG13" s="77"/>
      <c r="BH13" s="77"/>
      <c r="BI13" s="77"/>
    </row>
    <row r="14" spans="1:61" ht="15">
      <c r="A14" s="62" t="s">
        <v>229</v>
      </c>
      <c r="B14" s="62" t="s">
        <v>229</v>
      </c>
      <c r="C14" s="63"/>
      <c r="D14" s="64"/>
      <c r="E14" s="65"/>
      <c r="F14" s="66"/>
      <c r="G14" s="63"/>
      <c r="H14" s="67"/>
      <c r="I14" s="68"/>
      <c r="J14" s="68"/>
      <c r="K14" s="32" t="s">
        <v>65</v>
      </c>
      <c r="L14" s="75">
        <v>14</v>
      </c>
      <c r="M14" s="75"/>
      <c r="N14" s="70"/>
      <c r="O14" s="77" t="s">
        <v>179</v>
      </c>
      <c r="P14" s="79">
        <v>41254.668969907405</v>
      </c>
      <c r="Q14" s="77" t="s">
        <v>587</v>
      </c>
      <c r="R14" s="77">
        <v>0</v>
      </c>
      <c r="S14" s="77">
        <v>0</v>
      </c>
      <c r="T14" s="77">
        <v>0</v>
      </c>
      <c r="U14" s="77">
        <v>0</v>
      </c>
      <c r="V14" s="77"/>
      <c r="W14" s="81" t="s">
        <v>1709</v>
      </c>
      <c r="X14" s="80" t="str">
        <f>HYPERLINK("http://goo.gl/fb/g6OUB")</f>
        <v>http://goo.gl/fb/g6OUB</v>
      </c>
      <c r="Y14" s="77" t="s">
        <v>1975</v>
      </c>
      <c r="Z14" s="77"/>
      <c r="AA14" s="77"/>
      <c r="AB14" s="77"/>
      <c r="AC14" s="81" t="s">
        <v>2702</v>
      </c>
      <c r="AD14" s="77" t="s">
        <v>2751</v>
      </c>
      <c r="AE14" s="80" t="str">
        <f>HYPERLINK("https://twitter.com/jobsplane/status/278530409514553344")</f>
        <v>https://twitter.com/jobsplane/status/278530409514553344</v>
      </c>
      <c r="AF14" s="79">
        <v>41254.668969907405</v>
      </c>
      <c r="AG14" s="85">
        <v>41254</v>
      </c>
      <c r="AH14" s="81" t="s">
        <v>2774</v>
      </c>
      <c r="AI14" s="77" t="b">
        <v>0</v>
      </c>
      <c r="AJ14" s="77"/>
      <c r="AK14" s="77"/>
      <c r="AL14" s="77"/>
      <c r="AM14" s="77"/>
      <c r="AN14" s="77"/>
      <c r="AO14" s="77"/>
      <c r="AP14" s="77"/>
      <c r="AQ14" s="77"/>
      <c r="AR14" s="77"/>
      <c r="AS14" s="77"/>
      <c r="AT14" s="77"/>
      <c r="AU14" s="77"/>
      <c r="AV14" s="80" t="str">
        <f>HYPERLINK("https://pbs.twimg.com/profile_images/862152327821742084/EQhM8r9o_normal.jpg")</f>
        <v>https://pbs.twimg.com/profile_images/862152327821742084/EQhM8r9o_normal.jpg</v>
      </c>
      <c r="AW14" s="81" t="s">
        <v>4518</v>
      </c>
      <c r="AX14" s="81" t="s">
        <v>4518</v>
      </c>
      <c r="AY14" s="77"/>
      <c r="AZ14" s="81" t="s">
        <v>5773</v>
      </c>
      <c r="BA14" s="81" t="s">
        <v>5773</v>
      </c>
      <c r="BB14" s="81" t="s">
        <v>5773</v>
      </c>
      <c r="BC14" s="81" t="s">
        <v>4518</v>
      </c>
      <c r="BD14" s="77">
        <v>193235468</v>
      </c>
      <c r="BE14" s="77"/>
      <c r="BF14" s="77"/>
      <c r="BG14" s="77"/>
      <c r="BH14" s="77"/>
      <c r="BI14" s="77"/>
    </row>
    <row r="15" spans="1:61" ht="15">
      <c r="A15" s="62" t="s">
        <v>230</v>
      </c>
      <c r="B15" s="62" t="s">
        <v>299</v>
      </c>
      <c r="C15" s="63"/>
      <c r="D15" s="64"/>
      <c r="E15" s="65"/>
      <c r="F15" s="66"/>
      <c r="G15" s="63"/>
      <c r="H15" s="67"/>
      <c r="I15" s="68"/>
      <c r="J15" s="68"/>
      <c r="K15" s="32" t="s">
        <v>65</v>
      </c>
      <c r="L15" s="75">
        <v>15</v>
      </c>
      <c r="M15" s="75"/>
      <c r="N15" s="70"/>
      <c r="O15" s="77" t="s">
        <v>572</v>
      </c>
      <c r="P15" s="79">
        <v>44356.76767361111</v>
      </c>
      <c r="Q15" s="77" t="s">
        <v>588</v>
      </c>
      <c r="R15" s="77">
        <v>2</v>
      </c>
      <c r="S15" s="77">
        <v>2</v>
      </c>
      <c r="T15" s="77">
        <v>0</v>
      </c>
      <c r="U15" s="77">
        <v>0</v>
      </c>
      <c r="V15" s="77"/>
      <c r="W15" s="81" t="s">
        <v>1710</v>
      </c>
      <c r="X15" s="77"/>
      <c r="Y15" s="77"/>
      <c r="Z15" s="77" t="s">
        <v>299</v>
      </c>
      <c r="AA15" s="77"/>
      <c r="AB15" s="77"/>
      <c r="AC15" s="81" t="s">
        <v>2704</v>
      </c>
      <c r="AD15" s="77" t="s">
        <v>2752</v>
      </c>
      <c r="AE15" s="80" t="str">
        <f>HYPERLINK("https://twitter.com/chandra_sekhare/status/1402693340710117377")</f>
        <v>https://twitter.com/chandra_sekhare/status/1402693340710117377</v>
      </c>
      <c r="AF15" s="79">
        <v>44356.76767361111</v>
      </c>
      <c r="AG15" s="85">
        <v>44356</v>
      </c>
      <c r="AH15" s="81" t="s">
        <v>2775</v>
      </c>
      <c r="AI15" s="77"/>
      <c r="AJ15" s="77"/>
      <c r="AK15" s="77"/>
      <c r="AL15" s="77"/>
      <c r="AM15" s="77"/>
      <c r="AN15" s="77"/>
      <c r="AO15" s="77"/>
      <c r="AP15" s="77"/>
      <c r="AQ15" s="77"/>
      <c r="AR15" s="77"/>
      <c r="AS15" s="77"/>
      <c r="AT15" s="77"/>
      <c r="AU15" s="77"/>
      <c r="AV15" s="80" t="str">
        <f>HYPERLINK("https://pbs.twimg.com/profile_images/1581987060390367232/4N2HfJLX_normal.jpg")</f>
        <v>https://pbs.twimg.com/profile_images/1581987060390367232/4N2HfJLX_normal.jpg</v>
      </c>
      <c r="AW15" s="81" t="s">
        <v>4519</v>
      </c>
      <c r="AX15" s="81" t="s">
        <v>5168</v>
      </c>
      <c r="AY15" s="81" t="s">
        <v>5721</v>
      </c>
      <c r="AZ15" s="81" t="s">
        <v>5168</v>
      </c>
      <c r="BA15" s="81" t="s">
        <v>5773</v>
      </c>
      <c r="BB15" s="81" t="s">
        <v>5773</v>
      </c>
      <c r="BC15" s="81" t="s">
        <v>5168</v>
      </c>
      <c r="BD15" s="77">
        <v>162659925</v>
      </c>
      <c r="BE15" s="77"/>
      <c r="BF15" s="77"/>
      <c r="BG15" s="77"/>
      <c r="BH15" s="77"/>
      <c r="BI15" s="77"/>
    </row>
    <row r="16" spans="1:61" ht="15">
      <c r="A16" s="62" t="s">
        <v>231</v>
      </c>
      <c r="B16" s="62" t="s">
        <v>231</v>
      </c>
      <c r="C16" s="63"/>
      <c r="D16" s="64"/>
      <c r="E16" s="65"/>
      <c r="F16" s="66"/>
      <c r="G16" s="63"/>
      <c r="H16" s="67"/>
      <c r="I16" s="68"/>
      <c r="J16" s="68"/>
      <c r="K16" s="32" t="s">
        <v>65</v>
      </c>
      <c r="L16" s="75">
        <v>16</v>
      </c>
      <c r="M16" s="75"/>
      <c r="N16" s="70"/>
      <c r="O16" s="77" t="s">
        <v>179</v>
      </c>
      <c r="P16" s="79">
        <v>43971.63673611111</v>
      </c>
      <c r="Q16" s="77" t="s">
        <v>589</v>
      </c>
      <c r="R16" s="77">
        <v>0</v>
      </c>
      <c r="S16" s="77">
        <v>0</v>
      </c>
      <c r="T16" s="77">
        <v>0</v>
      </c>
      <c r="U16" s="77">
        <v>0</v>
      </c>
      <c r="V16" s="77"/>
      <c r="W16" s="77"/>
      <c r="X16" s="77"/>
      <c r="Y16" s="77"/>
      <c r="Z16" s="77"/>
      <c r="AA16" s="77"/>
      <c r="AB16" s="77"/>
      <c r="AC16" s="81" t="s">
        <v>2701</v>
      </c>
      <c r="AD16" s="77" t="s">
        <v>2751</v>
      </c>
      <c r="AE16" s="80" t="str">
        <f>HYPERLINK("https://twitter.com/nnaya_a/status/1263126559315177478")</f>
        <v>https://twitter.com/nnaya_a/status/1263126559315177478</v>
      </c>
      <c r="AF16" s="79">
        <v>43971.63673611111</v>
      </c>
      <c r="AG16" s="85">
        <v>43971</v>
      </c>
      <c r="AH16" s="81" t="s">
        <v>2776</v>
      </c>
      <c r="AI16" s="77"/>
      <c r="AJ16" s="77"/>
      <c r="AK16" s="77"/>
      <c r="AL16" s="77"/>
      <c r="AM16" s="77"/>
      <c r="AN16" s="77"/>
      <c r="AO16" s="77"/>
      <c r="AP16" s="77"/>
      <c r="AQ16" s="77"/>
      <c r="AR16" s="77"/>
      <c r="AS16" s="77"/>
      <c r="AT16" s="77"/>
      <c r="AU16" s="77"/>
      <c r="AV16" s="80" t="str">
        <f>HYPERLINK("https://pbs.twimg.com/profile_images/1736757914126131200/ad1sraSi_normal.jpg")</f>
        <v>https://pbs.twimg.com/profile_images/1736757914126131200/ad1sraSi_normal.jpg</v>
      </c>
      <c r="AW16" s="81" t="s">
        <v>4520</v>
      </c>
      <c r="AX16" s="81" t="s">
        <v>4520</v>
      </c>
      <c r="AY16" s="77"/>
      <c r="AZ16" s="81" t="s">
        <v>5773</v>
      </c>
      <c r="BA16" s="81" t="s">
        <v>5773</v>
      </c>
      <c r="BB16" s="81" t="s">
        <v>5773</v>
      </c>
      <c r="BC16" s="81" t="s">
        <v>4520</v>
      </c>
      <c r="BD16" s="77">
        <v>166967184</v>
      </c>
      <c r="BE16" s="77"/>
      <c r="BF16" s="77"/>
      <c r="BG16" s="77"/>
      <c r="BH16" s="77"/>
      <c r="BI16" s="77"/>
    </row>
    <row r="17" spans="1:61" ht="15">
      <c r="A17" s="62" t="s">
        <v>232</v>
      </c>
      <c r="B17" s="62" t="s">
        <v>423</v>
      </c>
      <c r="C17" s="63"/>
      <c r="D17" s="64"/>
      <c r="E17" s="65"/>
      <c r="F17" s="66"/>
      <c r="G17" s="63"/>
      <c r="H17" s="67"/>
      <c r="I17" s="68"/>
      <c r="J17" s="68"/>
      <c r="K17" s="32" t="s">
        <v>65</v>
      </c>
      <c r="L17" s="75">
        <v>17</v>
      </c>
      <c r="M17" s="75"/>
      <c r="N17" s="70"/>
      <c r="O17" s="77" t="s">
        <v>573</v>
      </c>
      <c r="P17" s="79">
        <v>45119.638020833336</v>
      </c>
      <c r="Q17" s="77" t="s">
        <v>590</v>
      </c>
      <c r="R17" s="77">
        <v>0</v>
      </c>
      <c r="S17" s="77">
        <v>0</v>
      </c>
      <c r="T17" s="77">
        <v>1</v>
      </c>
      <c r="U17" s="77">
        <v>0</v>
      </c>
      <c r="V17" s="77">
        <v>210</v>
      </c>
      <c r="W17" s="77"/>
      <c r="X17" s="77"/>
      <c r="Y17" s="77"/>
      <c r="Z17" s="77" t="s">
        <v>2057</v>
      </c>
      <c r="AA17" s="77"/>
      <c r="AB17" s="77"/>
      <c r="AC17" s="81" t="s">
        <v>2701</v>
      </c>
      <c r="AD17" s="77" t="s">
        <v>2751</v>
      </c>
      <c r="AE17" s="80" t="str">
        <f>HYPERLINK("https://twitter.com/bbozuteru/status/1679148296697417728")</f>
        <v>https://twitter.com/bbozuteru/status/1679148296697417728</v>
      </c>
      <c r="AF17" s="79">
        <v>45119.638020833336</v>
      </c>
      <c r="AG17" s="85">
        <v>45119</v>
      </c>
      <c r="AH17" s="81" t="s">
        <v>2777</v>
      </c>
      <c r="AI17" s="77"/>
      <c r="AJ17" s="77"/>
      <c r="AK17" s="77"/>
      <c r="AL17" s="77"/>
      <c r="AM17" s="77"/>
      <c r="AN17" s="77"/>
      <c r="AO17" s="77"/>
      <c r="AP17" s="77"/>
      <c r="AQ17" s="77"/>
      <c r="AR17" s="77"/>
      <c r="AS17" s="77"/>
      <c r="AT17" s="77"/>
      <c r="AU17" s="77"/>
      <c r="AV17" s="80" t="str">
        <f>HYPERLINK("https://pbs.twimg.com/profile_images/1395476442805194752/E9O8kFjj_normal.png")</f>
        <v>https://pbs.twimg.com/profile_images/1395476442805194752/E9O8kFjj_normal.png</v>
      </c>
      <c r="AW17" s="81" t="s">
        <v>4521</v>
      </c>
      <c r="AX17" s="81" t="s">
        <v>5676</v>
      </c>
      <c r="AY17" s="81" t="s">
        <v>5722</v>
      </c>
      <c r="AZ17" s="81" t="s">
        <v>5774</v>
      </c>
      <c r="BA17" s="81" t="s">
        <v>5773</v>
      </c>
      <c r="BB17" s="81" t="s">
        <v>5773</v>
      </c>
      <c r="BC17" s="81" t="s">
        <v>5774</v>
      </c>
      <c r="BD17" s="81" t="s">
        <v>5785</v>
      </c>
      <c r="BE17" s="77"/>
      <c r="BF17" s="77"/>
      <c r="BG17" s="77"/>
      <c r="BH17" s="77"/>
      <c r="BI17" s="77"/>
    </row>
    <row r="18" spans="1:61" ht="15">
      <c r="A18" s="62" t="s">
        <v>232</v>
      </c>
      <c r="B18" s="62" t="s">
        <v>424</v>
      </c>
      <c r="C18" s="63"/>
      <c r="D18" s="64"/>
      <c r="E18" s="65"/>
      <c r="F18" s="66"/>
      <c r="G18" s="63"/>
      <c r="H18" s="67"/>
      <c r="I18" s="68"/>
      <c r="J18" s="68"/>
      <c r="K18" s="32" t="s">
        <v>65</v>
      </c>
      <c r="L18" s="75">
        <v>18</v>
      </c>
      <c r="M18" s="75"/>
      <c r="N18" s="70"/>
      <c r="O18" s="77" t="s">
        <v>573</v>
      </c>
      <c r="P18" s="79">
        <v>45119.638020833336</v>
      </c>
      <c r="Q18" s="77" t="s">
        <v>590</v>
      </c>
      <c r="R18" s="77">
        <v>0</v>
      </c>
      <c r="S18" s="77">
        <v>0</v>
      </c>
      <c r="T18" s="77">
        <v>1</v>
      </c>
      <c r="U18" s="77">
        <v>0</v>
      </c>
      <c r="V18" s="77">
        <v>210</v>
      </c>
      <c r="W18" s="77"/>
      <c r="X18" s="77"/>
      <c r="Y18" s="77"/>
      <c r="Z18" s="77" t="s">
        <v>2057</v>
      </c>
      <c r="AA18" s="77"/>
      <c r="AB18" s="77"/>
      <c r="AC18" s="81" t="s">
        <v>2701</v>
      </c>
      <c r="AD18" s="77" t="s">
        <v>2751</v>
      </c>
      <c r="AE18" s="80" t="str">
        <f>HYPERLINK("https://twitter.com/bbozuteru/status/1679148296697417728")</f>
        <v>https://twitter.com/bbozuteru/status/1679148296697417728</v>
      </c>
      <c r="AF18" s="79">
        <v>45119.638020833336</v>
      </c>
      <c r="AG18" s="85">
        <v>45119</v>
      </c>
      <c r="AH18" s="81" t="s">
        <v>2777</v>
      </c>
      <c r="AI18" s="77"/>
      <c r="AJ18" s="77"/>
      <c r="AK18" s="77"/>
      <c r="AL18" s="77"/>
      <c r="AM18" s="77"/>
      <c r="AN18" s="77"/>
      <c r="AO18" s="77"/>
      <c r="AP18" s="77"/>
      <c r="AQ18" s="77"/>
      <c r="AR18" s="77"/>
      <c r="AS18" s="77"/>
      <c r="AT18" s="77"/>
      <c r="AU18" s="77"/>
      <c r="AV18" s="80" t="str">
        <f>HYPERLINK("https://pbs.twimg.com/profile_images/1395476442805194752/E9O8kFjj_normal.png")</f>
        <v>https://pbs.twimg.com/profile_images/1395476442805194752/E9O8kFjj_normal.png</v>
      </c>
      <c r="AW18" s="81" t="s">
        <v>4521</v>
      </c>
      <c r="AX18" s="81" t="s">
        <v>5676</v>
      </c>
      <c r="AY18" s="81" t="s">
        <v>5722</v>
      </c>
      <c r="AZ18" s="81" t="s">
        <v>5774</v>
      </c>
      <c r="BA18" s="81" t="s">
        <v>5773</v>
      </c>
      <c r="BB18" s="81" t="s">
        <v>5773</v>
      </c>
      <c r="BC18" s="81" t="s">
        <v>5774</v>
      </c>
      <c r="BD18" s="81" t="s">
        <v>5785</v>
      </c>
      <c r="BE18" s="77"/>
      <c r="BF18" s="77"/>
      <c r="BG18" s="77"/>
      <c r="BH18" s="77"/>
      <c r="BI18" s="77"/>
    </row>
    <row r="19" spans="1:61" ht="15">
      <c r="A19" s="62" t="s">
        <v>232</v>
      </c>
      <c r="B19" s="62" t="s">
        <v>425</v>
      </c>
      <c r="C19" s="63"/>
      <c r="D19" s="64"/>
      <c r="E19" s="65"/>
      <c r="F19" s="66"/>
      <c r="G19" s="63"/>
      <c r="H19" s="67"/>
      <c r="I19" s="68"/>
      <c r="J19" s="68"/>
      <c r="K19" s="32" t="s">
        <v>65</v>
      </c>
      <c r="L19" s="75">
        <v>19</v>
      </c>
      <c r="M19" s="75"/>
      <c r="N19" s="70"/>
      <c r="O19" s="77" t="s">
        <v>572</v>
      </c>
      <c r="P19" s="79">
        <v>45119.638020833336</v>
      </c>
      <c r="Q19" s="77" t="s">
        <v>590</v>
      </c>
      <c r="R19" s="77">
        <v>0</v>
      </c>
      <c r="S19" s="77">
        <v>0</v>
      </c>
      <c r="T19" s="77">
        <v>1</v>
      </c>
      <c r="U19" s="77">
        <v>0</v>
      </c>
      <c r="V19" s="77">
        <v>210</v>
      </c>
      <c r="W19" s="77"/>
      <c r="X19" s="77"/>
      <c r="Y19" s="77"/>
      <c r="Z19" s="77" t="s">
        <v>2057</v>
      </c>
      <c r="AA19" s="77"/>
      <c r="AB19" s="77"/>
      <c r="AC19" s="81" t="s">
        <v>2701</v>
      </c>
      <c r="AD19" s="77" t="s">
        <v>2751</v>
      </c>
      <c r="AE19" s="80" t="str">
        <f>HYPERLINK("https://twitter.com/bbozuteru/status/1679148296697417728")</f>
        <v>https://twitter.com/bbozuteru/status/1679148296697417728</v>
      </c>
      <c r="AF19" s="79">
        <v>45119.638020833336</v>
      </c>
      <c r="AG19" s="85">
        <v>45119</v>
      </c>
      <c r="AH19" s="81" t="s">
        <v>2777</v>
      </c>
      <c r="AI19" s="77"/>
      <c r="AJ19" s="77"/>
      <c r="AK19" s="77"/>
      <c r="AL19" s="77"/>
      <c r="AM19" s="77"/>
      <c r="AN19" s="77"/>
      <c r="AO19" s="77"/>
      <c r="AP19" s="77"/>
      <c r="AQ19" s="77"/>
      <c r="AR19" s="77"/>
      <c r="AS19" s="77"/>
      <c r="AT19" s="77"/>
      <c r="AU19" s="77"/>
      <c r="AV19" s="80" t="str">
        <f>HYPERLINK("https://pbs.twimg.com/profile_images/1395476442805194752/E9O8kFjj_normal.png")</f>
        <v>https://pbs.twimg.com/profile_images/1395476442805194752/E9O8kFjj_normal.png</v>
      </c>
      <c r="AW19" s="81" t="s">
        <v>4521</v>
      </c>
      <c r="AX19" s="81" t="s">
        <v>5676</v>
      </c>
      <c r="AY19" s="81" t="s">
        <v>5722</v>
      </c>
      <c r="AZ19" s="81" t="s">
        <v>5774</v>
      </c>
      <c r="BA19" s="81" t="s">
        <v>5773</v>
      </c>
      <c r="BB19" s="81" t="s">
        <v>5773</v>
      </c>
      <c r="BC19" s="81" t="s">
        <v>5774</v>
      </c>
      <c r="BD19" s="81" t="s">
        <v>5785</v>
      </c>
      <c r="BE19" s="77"/>
      <c r="BF19" s="77"/>
      <c r="BG19" s="77"/>
      <c r="BH19" s="77"/>
      <c r="BI19" s="77"/>
    </row>
    <row r="20" spans="1:61" ht="15">
      <c r="A20" s="62" t="s">
        <v>233</v>
      </c>
      <c r="B20" s="62" t="s">
        <v>233</v>
      </c>
      <c r="C20" s="63"/>
      <c r="D20" s="64"/>
      <c r="E20" s="65"/>
      <c r="F20" s="66"/>
      <c r="G20" s="63"/>
      <c r="H20" s="67"/>
      <c r="I20" s="68"/>
      <c r="J20" s="68"/>
      <c r="K20" s="32" t="s">
        <v>65</v>
      </c>
      <c r="L20" s="75">
        <v>20</v>
      </c>
      <c r="M20" s="75"/>
      <c r="N20" s="70"/>
      <c r="O20" s="77" t="s">
        <v>179</v>
      </c>
      <c r="P20" s="79">
        <v>43960.75491898148</v>
      </c>
      <c r="Q20" s="77" t="s">
        <v>591</v>
      </c>
      <c r="R20" s="77">
        <v>0</v>
      </c>
      <c r="S20" s="77">
        <v>0</v>
      </c>
      <c r="T20" s="77">
        <v>1</v>
      </c>
      <c r="U20" s="77">
        <v>0</v>
      </c>
      <c r="V20" s="77"/>
      <c r="W20" s="77"/>
      <c r="X20" s="77"/>
      <c r="Y20" s="77"/>
      <c r="Z20" s="77"/>
      <c r="AA20" s="77"/>
      <c r="AB20" s="77"/>
      <c r="AC20" s="81" t="s">
        <v>2701</v>
      </c>
      <c r="AD20" s="77" t="s">
        <v>2751</v>
      </c>
      <c r="AE20" s="80" t="str">
        <f>HYPERLINK("https://twitter.com/the_rad_zone/status/1259183121439678464")</f>
        <v>https://twitter.com/the_rad_zone/status/1259183121439678464</v>
      </c>
      <c r="AF20" s="79">
        <v>43960.75491898148</v>
      </c>
      <c r="AG20" s="85">
        <v>43960</v>
      </c>
      <c r="AH20" s="81" t="s">
        <v>2778</v>
      </c>
      <c r="AI20" s="77"/>
      <c r="AJ20" s="77"/>
      <c r="AK20" s="77"/>
      <c r="AL20" s="77"/>
      <c r="AM20" s="77"/>
      <c r="AN20" s="77"/>
      <c r="AO20" s="77"/>
      <c r="AP20" s="77"/>
      <c r="AQ20" s="77"/>
      <c r="AR20" s="77"/>
      <c r="AS20" s="77"/>
      <c r="AT20" s="77"/>
      <c r="AU20" s="77"/>
      <c r="AV20" s="80" t="str">
        <f>HYPERLINK("https://pbs.twimg.com/profile_images/1735032746530234370/qU1oOKJL_normal.jpg")</f>
        <v>https://pbs.twimg.com/profile_images/1735032746530234370/qU1oOKJL_normal.jpg</v>
      </c>
      <c r="AW20" s="81" t="s">
        <v>4522</v>
      </c>
      <c r="AX20" s="81" t="s">
        <v>4522</v>
      </c>
      <c r="AY20" s="77"/>
      <c r="AZ20" s="81" t="s">
        <v>5773</v>
      </c>
      <c r="BA20" s="81" t="s">
        <v>5773</v>
      </c>
      <c r="BB20" s="81" t="s">
        <v>5773</v>
      </c>
      <c r="BC20" s="81" t="s">
        <v>4522</v>
      </c>
      <c r="BD20" s="81" t="s">
        <v>5786</v>
      </c>
      <c r="BE20" s="77"/>
      <c r="BF20" s="77"/>
      <c r="BG20" s="77"/>
      <c r="BH20" s="77"/>
      <c r="BI20" s="77"/>
    </row>
    <row r="21" spans="1:61" ht="15">
      <c r="A21" s="62" t="s">
        <v>234</v>
      </c>
      <c r="B21" s="62" t="s">
        <v>426</v>
      </c>
      <c r="C21" s="63"/>
      <c r="D21" s="64"/>
      <c r="E21" s="65"/>
      <c r="F21" s="66"/>
      <c r="G21" s="63"/>
      <c r="H21" s="67"/>
      <c r="I21" s="68"/>
      <c r="J21" s="68"/>
      <c r="K21" s="32" t="s">
        <v>65</v>
      </c>
      <c r="L21" s="75">
        <v>21</v>
      </c>
      <c r="M21" s="75"/>
      <c r="N21" s="70"/>
      <c r="O21" s="77" t="s">
        <v>572</v>
      </c>
      <c r="P21" s="79">
        <v>44474.73732638889</v>
      </c>
      <c r="Q21" s="77" t="s">
        <v>592</v>
      </c>
      <c r="R21" s="77">
        <v>0</v>
      </c>
      <c r="S21" s="77">
        <v>0</v>
      </c>
      <c r="T21" s="77">
        <v>0</v>
      </c>
      <c r="U21" s="77">
        <v>0</v>
      </c>
      <c r="V21" s="77"/>
      <c r="W21" s="77"/>
      <c r="X21" s="77"/>
      <c r="Y21" s="77"/>
      <c r="Z21" s="77" t="s">
        <v>426</v>
      </c>
      <c r="AA21" s="77"/>
      <c r="AB21" s="77"/>
      <c r="AC21" s="81" t="s">
        <v>2701</v>
      </c>
      <c r="AD21" s="77" t="s">
        <v>2751</v>
      </c>
      <c r="AE21" s="80" t="str">
        <f>HYPERLINK("https://twitter.com/sivashanker_26/status/1445444108319739913")</f>
        <v>https://twitter.com/sivashanker_26/status/1445444108319739913</v>
      </c>
      <c r="AF21" s="79">
        <v>44474.73732638889</v>
      </c>
      <c r="AG21" s="85">
        <v>44474</v>
      </c>
      <c r="AH21" s="81" t="s">
        <v>2779</v>
      </c>
      <c r="AI21" s="77"/>
      <c r="AJ21" s="77"/>
      <c r="AK21" s="77"/>
      <c r="AL21" s="77"/>
      <c r="AM21" s="77"/>
      <c r="AN21" s="77"/>
      <c r="AO21" s="77"/>
      <c r="AP21" s="77"/>
      <c r="AQ21" s="77"/>
      <c r="AR21" s="77"/>
      <c r="AS21" s="77"/>
      <c r="AT21" s="77"/>
      <c r="AU21" s="77"/>
      <c r="AV21" s="80" t="str">
        <f>HYPERLINK("https://pbs.twimg.com/profile_images/1690580475327471616/G1bD9-E0_normal.jpg")</f>
        <v>https://pbs.twimg.com/profile_images/1690580475327471616/G1bD9-E0_normal.jpg</v>
      </c>
      <c r="AW21" s="81" t="s">
        <v>4523</v>
      </c>
      <c r="AX21" s="81" t="s">
        <v>5677</v>
      </c>
      <c r="AY21" s="81" t="s">
        <v>5723</v>
      </c>
      <c r="AZ21" s="81" t="s">
        <v>5677</v>
      </c>
      <c r="BA21" s="81" t="s">
        <v>5773</v>
      </c>
      <c r="BB21" s="81" t="s">
        <v>5773</v>
      </c>
      <c r="BC21" s="81" t="s">
        <v>5677</v>
      </c>
      <c r="BD21" s="77">
        <v>325079689</v>
      </c>
      <c r="BE21" s="77"/>
      <c r="BF21" s="77"/>
      <c r="BG21" s="77"/>
      <c r="BH21" s="77"/>
      <c r="BI21" s="77"/>
    </row>
    <row r="22" spans="1:61" ht="15">
      <c r="A22" s="62" t="s">
        <v>235</v>
      </c>
      <c r="B22" s="62" t="s">
        <v>427</v>
      </c>
      <c r="C22" s="63"/>
      <c r="D22" s="64"/>
      <c r="E22" s="65"/>
      <c r="F22" s="66"/>
      <c r="G22" s="63"/>
      <c r="H22" s="67"/>
      <c r="I22" s="68"/>
      <c r="J22" s="68"/>
      <c r="K22" s="32" t="s">
        <v>65</v>
      </c>
      <c r="L22" s="75">
        <v>22</v>
      </c>
      <c r="M22" s="75"/>
      <c r="N22" s="70"/>
      <c r="O22" s="77" t="s">
        <v>571</v>
      </c>
      <c r="P22" s="79">
        <v>42958.3590625</v>
      </c>
      <c r="Q22" s="77" t="s">
        <v>593</v>
      </c>
      <c r="R22" s="77">
        <v>1</v>
      </c>
      <c r="S22" s="77">
        <v>1</v>
      </c>
      <c r="T22" s="77">
        <v>0</v>
      </c>
      <c r="U22" s="77">
        <v>0</v>
      </c>
      <c r="V22" s="77"/>
      <c r="W22" s="81" t="s">
        <v>1711</v>
      </c>
      <c r="X22" s="77"/>
      <c r="Y22" s="77"/>
      <c r="Z22" s="77" t="s">
        <v>2058</v>
      </c>
      <c r="AA22" s="77"/>
      <c r="AB22" s="77"/>
      <c r="AC22" s="81" t="s">
        <v>2705</v>
      </c>
      <c r="AD22" s="77" t="s">
        <v>2751</v>
      </c>
      <c r="AE22" s="80" t="str">
        <f>HYPERLINK("https://twitter.com/1stchoicerec/status/895927026963623937")</f>
        <v>https://twitter.com/1stchoicerec/status/895927026963623937</v>
      </c>
      <c r="AF22" s="79">
        <v>42958.3590625</v>
      </c>
      <c r="AG22" s="85">
        <v>42958</v>
      </c>
      <c r="AH22" s="81" t="s">
        <v>2780</v>
      </c>
      <c r="AI22" s="77"/>
      <c r="AJ22" s="77"/>
      <c r="AK22" s="77"/>
      <c r="AL22" s="77"/>
      <c r="AM22" s="77"/>
      <c r="AN22" s="77"/>
      <c r="AO22" s="77"/>
      <c r="AP22" s="77"/>
      <c r="AQ22" s="77"/>
      <c r="AR22" s="77"/>
      <c r="AS22" s="77"/>
      <c r="AT22" s="77"/>
      <c r="AU22" s="77"/>
      <c r="AV22" s="80" t="str">
        <f>HYPERLINK("https://pbs.twimg.com/profile_images/1583030578785488897/2jdHclLv_normal.jpg")</f>
        <v>https://pbs.twimg.com/profile_images/1583030578785488897/2jdHclLv_normal.jpg</v>
      </c>
      <c r="AW22" s="81" t="s">
        <v>4524</v>
      </c>
      <c r="AX22" s="81" t="s">
        <v>4524</v>
      </c>
      <c r="AY22" s="77"/>
      <c r="AZ22" s="81" t="s">
        <v>5773</v>
      </c>
      <c r="BA22" s="81" t="s">
        <v>5773</v>
      </c>
      <c r="BB22" s="81" t="s">
        <v>5773</v>
      </c>
      <c r="BC22" s="81" t="s">
        <v>4524</v>
      </c>
      <c r="BD22" s="77">
        <v>614218528</v>
      </c>
      <c r="BE22" s="77"/>
      <c r="BF22" s="77"/>
      <c r="BG22" s="77"/>
      <c r="BH22" s="77"/>
      <c r="BI22" s="77"/>
    </row>
    <row r="23" spans="1:61" ht="15">
      <c r="A23" s="62" t="s">
        <v>235</v>
      </c>
      <c r="B23" s="62" t="s">
        <v>428</v>
      </c>
      <c r="C23" s="63"/>
      <c r="D23" s="64"/>
      <c r="E23" s="65"/>
      <c r="F23" s="66"/>
      <c r="G23" s="63"/>
      <c r="H23" s="67"/>
      <c r="I23" s="68"/>
      <c r="J23" s="68"/>
      <c r="K23" s="32" t="s">
        <v>65</v>
      </c>
      <c r="L23" s="75">
        <v>23</v>
      </c>
      <c r="M23" s="75"/>
      <c r="N23" s="70"/>
      <c r="O23" s="77" t="s">
        <v>571</v>
      </c>
      <c r="P23" s="79">
        <v>42958.3590625</v>
      </c>
      <c r="Q23" s="77" t="s">
        <v>593</v>
      </c>
      <c r="R23" s="77">
        <v>1</v>
      </c>
      <c r="S23" s="77">
        <v>1</v>
      </c>
      <c r="T23" s="77">
        <v>0</v>
      </c>
      <c r="U23" s="77">
        <v>0</v>
      </c>
      <c r="V23" s="77"/>
      <c r="W23" s="81" t="s">
        <v>1711</v>
      </c>
      <c r="X23" s="77"/>
      <c r="Y23" s="77"/>
      <c r="Z23" s="77" t="s">
        <v>2058</v>
      </c>
      <c r="AA23" s="77"/>
      <c r="AB23" s="77"/>
      <c r="AC23" s="81" t="s">
        <v>2705</v>
      </c>
      <c r="AD23" s="77" t="s">
        <v>2751</v>
      </c>
      <c r="AE23" s="80" t="str">
        <f>HYPERLINK("https://twitter.com/1stchoicerec/status/895927026963623937")</f>
        <v>https://twitter.com/1stchoicerec/status/895927026963623937</v>
      </c>
      <c r="AF23" s="79">
        <v>42958.3590625</v>
      </c>
      <c r="AG23" s="85">
        <v>42958</v>
      </c>
      <c r="AH23" s="81" t="s">
        <v>2780</v>
      </c>
      <c r="AI23" s="77"/>
      <c r="AJ23" s="77"/>
      <c r="AK23" s="77"/>
      <c r="AL23" s="77"/>
      <c r="AM23" s="77"/>
      <c r="AN23" s="77"/>
      <c r="AO23" s="77"/>
      <c r="AP23" s="77"/>
      <c r="AQ23" s="77"/>
      <c r="AR23" s="77"/>
      <c r="AS23" s="77"/>
      <c r="AT23" s="77"/>
      <c r="AU23" s="77"/>
      <c r="AV23" s="80" t="str">
        <f>HYPERLINK("https://pbs.twimg.com/profile_images/1583030578785488897/2jdHclLv_normal.jpg")</f>
        <v>https://pbs.twimg.com/profile_images/1583030578785488897/2jdHclLv_normal.jpg</v>
      </c>
      <c r="AW23" s="81" t="s">
        <v>4524</v>
      </c>
      <c r="AX23" s="81" t="s">
        <v>4524</v>
      </c>
      <c r="AY23" s="77"/>
      <c r="AZ23" s="81" t="s">
        <v>5773</v>
      </c>
      <c r="BA23" s="81" t="s">
        <v>5773</v>
      </c>
      <c r="BB23" s="81" t="s">
        <v>5773</v>
      </c>
      <c r="BC23" s="81" t="s">
        <v>4524</v>
      </c>
      <c r="BD23" s="77">
        <v>614218528</v>
      </c>
      <c r="BE23" s="77"/>
      <c r="BF23" s="77"/>
      <c r="BG23" s="77"/>
      <c r="BH23" s="77"/>
      <c r="BI23" s="77"/>
    </row>
    <row r="24" spans="1:61" ht="15">
      <c r="A24" s="62" t="s">
        <v>235</v>
      </c>
      <c r="B24" s="62" t="s">
        <v>299</v>
      </c>
      <c r="C24" s="63"/>
      <c r="D24" s="64"/>
      <c r="E24" s="65"/>
      <c r="F24" s="66"/>
      <c r="G24" s="63"/>
      <c r="H24" s="67"/>
      <c r="I24" s="68"/>
      <c r="J24" s="68"/>
      <c r="K24" s="32" t="s">
        <v>65</v>
      </c>
      <c r="L24" s="75">
        <v>24</v>
      </c>
      <c r="M24" s="75"/>
      <c r="N24" s="70"/>
      <c r="O24" s="77" t="s">
        <v>571</v>
      </c>
      <c r="P24" s="79">
        <v>42958.3590625</v>
      </c>
      <c r="Q24" s="77" t="s">
        <v>593</v>
      </c>
      <c r="R24" s="77">
        <v>1</v>
      </c>
      <c r="S24" s="77">
        <v>1</v>
      </c>
      <c r="T24" s="77">
        <v>0</v>
      </c>
      <c r="U24" s="77">
        <v>0</v>
      </c>
      <c r="V24" s="77"/>
      <c r="W24" s="81" t="s">
        <v>1711</v>
      </c>
      <c r="X24" s="77"/>
      <c r="Y24" s="77"/>
      <c r="Z24" s="77" t="s">
        <v>2058</v>
      </c>
      <c r="AA24" s="77"/>
      <c r="AB24" s="77"/>
      <c r="AC24" s="81" t="s">
        <v>2705</v>
      </c>
      <c r="AD24" s="77" t="s">
        <v>2751</v>
      </c>
      <c r="AE24" s="80" t="str">
        <f>HYPERLINK("https://twitter.com/1stchoicerec/status/895927026963623937")</f>
        <v>https://twitter.com/1stchoicerec/status/895927026963623937</v>
      </c>
      <c r="AF24" s="79">
        <v>42958.3590625</v>
      </c>
      <c r="AG24" s="85">
        <v>42958</v>
      </c>
      <c r="AH24" s="81" t="s">
        <v>2780</v>
      </c>
      <c r="AI24" s="77"/>
      <c r="AJ24" s="77"/>
      <c r="AK24" s="77"/>
      <c r="AL24" s="77"/>
      <c r="AM24" s="77"/>
      <c r="AN24" s="77"/>
      <c r="AO24" s="77"/>
      <c r="AP24" s="77"/>
      <c r="AQ24" s="77"/>
      <c r="AR24" s="77"/>
      <c r="AS24" s="77"/>
      <c r="AT24" s="77"/>
      <c r="AU24" s="77"/>
      <c r="AV24" s="80" t="str">
        <f>HYPERLINK("https://pbs.twimg.com/profile_images/1583030578785488897/2jdHclLv_normal.jpg")</f>
        <v>https://pbs.twimg.com/profile_images/1583030578785488897/2jdHclLv_normal.jpg</v>
      </c>
      <c r="AW24" s="81" t="s">
        <v>4524</v>
      </c>
      <c r="AX24" s="81" t="s">
        <v>4524</v>
      </c>
      <c r="AY24" s="77"/>
      <c r="AZ24" s="81" t="s">
        <v>5773</v>
      </c>
      <c r="BA24" s="81" t="s">
        <v>5773</v>
      </c>
      <c r="BB24" s="81" t="s">
        <v>5773</v>
      </c>
      <c r="BC24" s="81" t="s">
        <v>4524</v>
      </c>
      <c r="BD24" s="77">
        <v>614218528</v>
      </c>
      <c r="BE24" s="77"/>
      <c r="BF24" s="77"/>
      <c r="BG24" s="77"/>
      <c r="BH24" s="77"/>
      <c r="BI24" s="77"/>
    </row>
    <row r="25" spans="1:61" ht="15">
      <c r="A25" s="62" t="s">
        <v>236</v>
      </c>
      <c r="B25" s="62" t="s">
        <v>236</v>
      </c>
      <c r="C25" s="63"/>
      <c r="D25" s="64"/>
      <c r="E25" s="65"/>
      <c r="F25" s="66"/>
      <c r="G25" s="63"/>
      <c r="H25" s="67"/>
      <c r="I25" s="68"/>
      <c r="J25" s="68"/>
      <c r="K25" s="32" t="s">
        <v>65</v>
      </c>
      <c r="L25" s="75">
        <v>25</v>
      </c>
      <c r="M25" s="75"/>
      <c r="N25" s="70"/>
      <c r="O25" s="77" t="s">
        <v>179</v>
      </c>
      <c r="P25" s="79">
        <v>43065.144479166665</v>
      </c>
      <c r="Q25" s="77" t="s">
        <v>594</v>
      </c>
      <c r="R25" s="77">
        <v>0</v>
      </c>
      <c r="S25" s="77">
        <v>0</v>
      </c>
      <c r="T25" s="77">
        <v>0</v>
      </c>
      <c r="U25" s="77">
        <v>0</v>
      </c>
      <c r="V25" s="77"/>
      <c r="W25" s="81" t="s">
        <v>1712</v>
      </c>
      <c r="X25" s="80" t="str">
        <f>HYPERLINK("http://dld.bz/guNNa")</f>
        <v>http://dld.bz/guNNa</v>
      </c>
      <c r="Y25" s="77" t="s">
        <v>1976</v>
      </c>
      <c r="Z25" s="77"/>
      <c r="AA25" s="77"/>
      <c r="AB25" s="77"/>
      <c r="AC25" s="81" t="s">
        <v>2706</v>
      </c>
      <c r="AD25" s="77" t="s">
        <v>2751</v>
      </c>
      <c r="AE25" s="80" t="str">
        <f>HYPERLINK("https://twitter.com/uxjobs_imea/status/934624766270558209")</f>
        <v>https://twitter.com/uxjobs_imea/status/934624766270558209</v>
      </c>
      <c r="AF25" s="79">
        <v>43065.144479166665</v>
      </c>
      <c r="AG25" s="85">
        <v>43065</v>
      </c>
      <c r="AH25" s="81" t="s">
        <v>2781</v>
      </c>
      <c r="AI25" s="77" t="b">
        <v>0</v>
      </c>
      <c r="AJ25" s="77"/>
      <c r="AK25" s="77"/>
      <c r="AL25" s="77"/>
      <c r="AM25" s="77"/>
      <c r="AN25" s="77"/>
      <c r="AO25" s="77"/>
      <c r="AP25" s="77"/>
      <c r="AQ25" s="77"/>
      <c r="AR25" s="77"/>
      <c r="AS25" s="77"/>
      <c r="AT25" s="77"/>
      <c r="AU25" s="77"/>
      <c r="AV25" s="80" t="str">
        <f>HYPERLINK("https://pbs.twimg.com/profile_images/716477715243642881/IrrTIgea_normal.jpg")</f>
        <v>https://pbs.twimg.com/profile_images/716477715243642881/IrrTIgea_normal.jpg</v>
      </c>
      <c r="AW25" s="81" t="s">
        <v>4525</v>
      </c>
      <c r="AX25" s="81" t="s">
        <v>4525</v>
      </c>
      <c r="AY25" s="77"/>
      <c r="AZ25" s="81" t="s">
        <v>5773</v>
      </c>
      <c r="BA25" s="81" t="s">
        <v>5773</v>
      </c>
      <c r="BB25" s="81" t="s">
        <v>5773</v>
      </c>
      <c r="BC25" s="81" t="s">
        <v>4525</v>
      </c>
      <c r="BD25" s="81" t="s">
        <v>5787</v>
      </c>
      <c r="BE25" s="77"/>
      <c r="BF25" s="77"/>
      <c r="BG25" s="77"/>
      <c r="BH25" s="77"/>
      <c r="BI25" s="77"/>
    </row>
    <row r="26" spans="1:61" ht="15">
      <c r="A26" s="62" t="s">
        <v>236</v>
      </c>
      <c r="B26" s="62" t="s">
        <v>236</v>
      </c>
      <c r="C26" s="63"/>
      <c r="D26" s="64"/>
      <c r="E26" s="65"/>
      <c r="F26" s="66"/>
      <c r="G26" s="63"/>
      <c r="H26" s="67"/>
      <c r="I26" s="68"/>
      <c r="J26" s="68"/>
      <c r="K26" s="32" t="s">
        <v>65</v>
      </c>
      <c r="L26" s="75">
        <v>26</v>
      </c>
      <c r="M26" s="75"/>
      <c r="N26" s="70"/>
      <c r="O26" s="77" t="s">
        <v>179</v>
      </c>
      <c r="P26" s="79">
        <v>42509.79712962963</v>
      </c>
      <c r="Q26" s="77" t="s">
        <v>595</v>
      </c>
      <c r="R26" s="77">
        <v>0</v>
      </c>
      <c r="S26" s="77">
        <v>0</v>
      </c>
      <c r="T26" s="77">
        <v>0</v>
      </c>
      <c r="U26" s="77">
        <v>0</v>
      </c>
      <c r="V26" s="77"/>
      <c r="W26" s="81" t="s">
        <v>1712</v>
      </c>
      <c r="X26" s="80" t="str">
        <f>HYPERLINK("http://dld.bz/e7hFg")</f>
        <v>http://dld.bz/e7hFg</v>
      </c>
      <c r="Y26" s="77" t="s">
        <v>1976</v>
      </c>
      <c r="Z26" s="77"/>
      <c r="AA26" s="77"/>
      <c r="AB26" s="77"/>
      <c r="AC26" s="81" t="s">
        <v>2706</v>
      </c>
      <c r="AD26" s="77" t="s">
        <v>2753</v>
      </c>
      <c r="AE26" s="80" t="str">
        <f>HYPERLINK("https://twitter.com/uxjobs_imea/status/733373626804736001")</f>
        <v>https://twitter.com/uxjobs_imea/status/733373626804736001</v>
      </c>
      <c r="AF26" s="79">
        <v>42509.79712962963</v>
      </c>
      <c r="AG26" s="85">
        <v>42509</v>
      </c>
      <c r="AH26" s="81" t="s">
        <v>2782</v>
      </c>
      <c r="AI26" s="77" t="b">
        <v>0</v>
      </c>
      <c r="AJ26" s="77"/>
      <c r="AK26" s="77"/>
      <c r="AL26" s="77"/>
      <c r="AM26" s="77"/>
      <c r="AN26" s="77"/>
      <c r="AO26" s="77"/>
      <c r="AP26" s="77"/>
      <c r="AQ26" s="77"/>
      <c r="AR26" s="77"/>
      <c r="AS26" s="77"/>
      <c r="AT26" s="77"/>
      <c r="AU26" s="77"/>
      <c r="AV26" s="80" t="str">
        <f>HYPERLINK("https://pbs.twimg.com/profile_images/716477715243642881/IrrTIgea_normal.jpg")</f>
        <v>https://pbs.twimg.com/profile_images/716477715243642881/IrrTIgea_normal.jpg</v>
      </c>
      <c r="AW26" s="81" t="s">
        <v>4526</v>
      </c>
      <c r="AX26" s="81" t="s">
        <v>4526</v>
      </c>
      <c r="AY26" s="77"/>
      <c r="AZ26" s="81" t="s">
        <v>5773</v>
      </c>
      <c r="BA26" s="81" t="s">
        <v>5773</v>
      </c>
      <c r="BB26" s="81" t="s">
        <v>5773</v>
      </c>
      <c r="BC26" s="81" t="s">
        <v>4526</v>
      </c>
      <c r="BD26" s="81" t="s">
        <v>5787</v>
      </c>
      <c r="BE26" s="77"/>
      <c r="BF26" s="77"/>
      <c r="BG26" s="77"/>
      <c r="BH26" s="77"/>
      <c r="BI26" s="77"/>
    </row>
    <row r="27" spans="1:61" ht="15">
      <c r="A27" s="62" t="s">
        <v>236</v>
      </c>
      <c r="B27" s="62" t="s">
        <v>236</v>
      </c>
      <c r="C27" s="63"/>
      <c r="D27" s="64"/>
      <c r="E27" s="65"/>
      <c r="F27" s="66"/>
      <c r="G27" s="63"/>
      <c r="H27" s="67"/>
      <c r="I27" s="68"/>
      <c r="J27" s="68"/>
      <c r="K27" s="32" t="s">
        <v>65</v>
      </c>
      <c r="L27" s="75">
        <v>27</v>
      </c>
      <c r="M27" s="75"/>
      <c r="N27" s="70"/>
      <c r="O27" s="77" t="s">
        <v>179</v>
      </c>
      <c r="P27" s="79">
        <v>44110.3500462963</v>
      </c>
      <c r="Q27" s="77" t="s">
        <v>596</v>
      </c>
      <c r="R27" s="77">
        <v>0</v>
      </c>
      <c r="S27" s="77">
        <v>0</v>
      </c>
      <c r="T27" s="77">
        <v>0</v>
      </c>
      <c r="U27" s="77">
        <v>0</v>
      </c>
      <c r="V27" s="77"/>
      <c r="W27" s="81" t="s">
        <v>1712</v>
      </c>
      <c r="X27" s="80" t="str">
        <f>HYPERLINK("http://dld.bz/jkhyX")</f>
        <v>http://dld.bz/jkhyX</v>
      </c>
      <c r="Y27" s="77" t="s">
        <v>1976</v>
      </c>
      <c r="Z27" s="77"/>
      <c r="AA27" s="77"/>
      <c r="AB27" s="77"/>
      <c r="AC27" s="81" t="s">
        <v>2706</v>
      </c>
      <c r="AD27" s="77" t="s">
        <v>2754</v>
      </c>
      <c r="AE27" s="80" t="str">
        <f>HYPERLINK("https://twitter.com/uxjobs_imea/status/1313394581858287616")</f>
        <v>https://twitter.com/uxjobs_imea/status/1313394581858287616</v>
      </c>
      <c r="AF27" s="79">
        <v>44110.3500462963</v>
      </c>
      <c r="AG27" s="85">
        <v>44110</v>
      </c>
      <c r="AH27" s="81" t="s">
        <v>2783</v>
      </c>
      <c r="AI27" s="77" t="b">
        <v>0</v>
      </c>
      <c r="AJ27" s="77"/>
      <c r="AK27" s="77"/>
      <c r="AL27" s="77"/>
      <c r="AM27" s="77"/>
      <c r="AN27" s="77"/>
      <c r="AO27" s="77"/>
      <c r="AP27" s="77"/>
      <c r="AQ27" s="77"/>
      <c r="AR27" s="77"/>
      <c r="AS27" s="77"/>
      <c r="AT27" s="77"/>
      <c r="AU27" s="77"/>
      <c r="AV27" s="80" t="str">
        <f>HYPERLINK("https://pbs.twimg.com/profile_images/716477715243642881/IrrTIgea_normal.jpg")</f>
        <v>https://pbs.twimg.com/profile_images/716477715243642881/IrrTIgea_normal.jpg</v>
      </c>
      <c r="AW27" s="81" t="s">
        <v>4527</v>
      </c>
      <c r="AX27" s="81" t="s">
        <v>4527</v>
      </c>
      <c r="AY27" s="77"/>
      <c r="AZ27" s="81" t="s">
        <v>5773</v>
      </c>
      <c r="BA27" s="81" t="s">
        <v>5773</v>
      </c>
      <c r="BB27" s="81" t="s">
        <v>5773</v>
      </c>
      <c r="BC27" s="81" t="s">
        <v>4527</v>
      </c>
      <c r="BD27" s="81" t="s">
        <v>5787</v>
      </c>
      <c r="BE27" s="77"/>
      <c r="BF27" s="77"/>
      <c r="BG27" s="77"/>
      <c r="BH27" s="77"/>
      <c r="BI27" s="77"/>
    </row>
    <row r="28" spans="1:61" ht="15">
      <c r="A28" s="62" t="s">
        <v>237</v>
      </c>
      <c r="B28" s="62" t="s">
        <v>429</v>
      </c>
      <c r="C28" s="63"/>
      <c r="D28" s="64"/>
      <c r="E28" s="65"/>
      <c r="F28" s="66"/>
      <c r="G28" s="63"/>
      <c r="H28" s="67"/>
      <c r="I28" s="68"/>
      <c r="J28" s="68"/>
      <c r="K28" s="32" t="s">
        <v>65</v>
      </c>
      <c r="L28" s="75">
        <v>28</v>
      </c>
      <c r="M28" s="75"/>
      <c r="N28" s="70"/>
      <c r="O28" s="77" t="s">
        <v>571</v>
      </c>
      <c r="P28" s="79">
        <v>45065.54019675926</v>
      </c>
      <c r="Q28" s="77" t="s">
        <v>597</v>
      </c>
      <c r="R28" s="77">
        <v>0</v>
      </c>
      <c r="S28" s="77">
        <v>0</v>
      </c>
      <c r="T28" s="77">
        <v>0</v>
      </c>
      <c r="U28" s="77">
        <v>0</v>
      </c>
      <c r="V28" s="77">
        <v>9</v>
      </c>
      <c r="W28" s="81" t="s">
        <v>1713</v>
      </c>
      <c r="X28" s="80" t="str">
        <f>HYPERLINK("http://webguruawards.com/winners")</f>
        <v>http://webguruawards.com/winners</v>
      </c>
      <c r="Y28" s="77" t="s">
        <v>1977</v>
      </c>
      <c r="Z28" s="77" t="s">
        <v>2059</v>
      </c>
      <c r="AA28" s="77" t="s">
        <v>2104</v>
      </c>
      <c r="AB28" s="77" t="s">
        <v>2695</v>
      </c>
      <c r="AC28" s="81" t="s">
        <v>2707</v>
      </c>
      <c r="AD28" s="77" t="s">
        <v>2751</v>
      </c>
      <c r="AE28" s="80" t="str">
        <f>HYPERLINK("https://twitter.com/webguruawards/status/1659543901219299330")</f>
        <v>https://twitter.com/webguruawards/status/1659543901219299330</v>
      </c>
      <c r="AF28" s="79">
        <v>45065.54019675926</v>
      </c>
      <c r="AG28" s="85">
        <v>45065</v>
      </c>
      <c r="AH28" s="81" t="s">
        <v>2784</v>
      </c>
      <c r="AI28" s="77" t="b">
        <v>0</v>
      </c>
      <c r="AJ28" s="77"/>
      <c r="AK28" s="77"/>
      <c r="AL28" s="77"/>
      <c r="AM28" s="77"/>
      <c r="AN28" s="77"/>
      <c r="AO28" s="77"/>
      <c r="AP28" s="77"/>
      <c r="AQ28" s="77" t="s">
        <v>3922</v>
      </c>
      <c r="AR28" s="77">
        <v>16000</v>
      </c>
      <c r="AS28" s="77"/>
      <c r="AT28" s="77"/>
      <c r="AU28" s="77"/>
      <c r="AV28" s="80" t="str">
        <f>HYPERLINK("https://pbs.twimg.com/ext_tw_video_thumb/1659543765441212417/pu/img/s2xgeU5eSt-3S9xg.jpg")</f>
        <v>https://pbs.twimg.com/ext_tw_video_thumb/1659543765441212417/pu/img/s2xgeU5eSt-3S9xg.jpg</v>
      </c>
      <c r="AW28" s="81" t="s">
        <v>4528</v>
      </c>
      <c r="AX28" s="81" t="s">
        <v>4528</v>
      </c>
      <c r="AY28" s="77"/>
      <c r="AZ28" s="81" t="s">
        <v>5773</v>
      </c>
      <c r="BA28" s="81" t="s">
        <v>5773</v>
      </c>
      <c r="BB28" s="81" t="s">
        <v>5773</v>
      </c>
      <c r="BC28" s="81" t="s">
        <v>4528</v>
      </c>
      <c r="BD28" s="77">
        <v>3041320412</v>
      </c>
      <c r="BE28" s="77"/>
      <c r="BF28" s="77"/>
      <c r="BG28" s="77"/>
      <c r="BH28" s="77"/>
      <c r="BI28" s="77"/>
    </row>
    <row r="29" spans="1:61" ht="15">
      <c r="A29" s="62" t="s">
        <v>238</v>
      </c>
      <c r="B29" s="62" t="s">
        <v>238</v>
      </c>
      <c r="C29" s="63"/>
      <c r="D29" s="64"/>
      <c r="E29" s="65"/>
      <c r="F29" s="66"/>
      <c r="G29" s="63"/>
      <c r="H29" s="67"/>
      <c r="I29" s="68"/>
      <c r="J29" s="68"/>
      <c r="K29" s="32" t="s">
        <v>65</v>
      </c>
      <c r="L29" s="75">
        <v>29</v>
      </c>
      <c r="M29" s="75"/>
      <c r="N29" s="70"/>
      <c r="O29" s="77" t="s">
        <v>179</v>
      </c>
      <c r="P29" s="79">
        <v>43025.786458333336</v>
      </c>
      <c r="Q29" s="77" t="s">
        <v>598</v>
      </c>
      <c r="R29" s="77">
        <v>0</v>
      </c>
      <c r="S29" s="77">
        <v>0</v>
      </c>
      <c r="T29" s="77">
        <v>0</v>
      </c>
      <c r="U29" s="77">
        <v>0</v>
      </c>
      <c r="V29" s="77"/>
      <c r="W29" s="81" t="s">
        <v>299</v>
      </c>
      <c r="X29" s="80" t="str">
        <f>HYPERLINK("https://paper.li/e-1505227948?edition_id=c2f075e0-b34a-11e7-8e26-0cc47a0d15fd")</f>
        <v>https://paper.li/e-1505227948?edition_id=c2f075e0-b34a-11e7-8e26-0cc47a0d15fd</v>
      </c>
      <c r="Y29" s="77" t="s">
        <v>1978</v>
      </c>
      <c r="Z29" s="77"/>
      <c r="AA29" s="77"/>
      <c r="AB29" s="77"/>
      <c r="AC29" s="81" t="s">
        <v>2708</v>
      </c>
      <c r="AD29" s="77" t="s">
        <v>2751</v>
      </c>
      <c r="AE29" s="80" t="str">
        <f>HYPERLINK("https://twitter.com/webpageland/status/920361897614069761")</f>
        <v>https://twitter.com/webpageland/status/920361897614069761</v>
      </c>
      <c r="AF29" s="79">
        <v>43025.786458333336</v>
      </c>
      <c r="AG29" s="85">
        <v>43025</v>
      </c>
      <c r="AH29" s="81" t="s">
        <v>2785</v>
      </c>
      <c r="AI29" s="77" t="b">
        <v>0</v>
      </c>
      <c r="AJ29" s="77"/>
      <c r="AK29" s="77"/>
      <c r="AL29" s="77"/>
      <c r="AM29" s="77"/>
      <c r="AN29" s="77"/>
      <c r="AO29" s="77"/>
      <c r="AP29" s="77"/>
      <c r="AQ29" s="77"/>
      <c r="AR29" s="77"/>
      <c r="AS29" s="77"/>
      <c r="AT29" s="77"/>
      <c r="AU29" s="77"/>
      <c r="AV29" s="80" t="str">
        <f>HYPERLINK("https://pbs.twimg.com/profile_images/911215376737951745/uxVKDZxu_normal.jpg")</f>
        <v>https://pbs.twimg.com/profile_images/911215376737951745/uxVKDZxu_normal.jpg</v>
      </c>
      <c r="AW29" s="81" t="s">
        <v>4529</v>
      </c>
      <c r="AX29" s="81" t="s">
        <v>4529</v>
      </c>
      <c r="AY29" s="77"/>
      <c r="AZ29" s="81" t="s">
        <v>5773</v>
      </c>
      <c r="BA29" s="81" t="s">
        <v>5773</v>
      </c>
      <c r="BB29" s="81" t="s">
        <v>5773</v>
      </c>
      <c r="BC29" s="81" t="s">
        <v>4529</v>
      </c>
      <c r="BD29" s="81" t="s">
        <v>5788</v>
      </c>
      <c r="BE29" s="77"/>
      <c r="BF29" s="77"/>
      <c r="BG29" s="77"/>
      <c r="BH29" s="77"/>
      <c r="BI29" s="77"/>
    </row>
    <row r="30" spans="1:61" ht="15">
      <c r="A30" s="62" t="s">
        <v>239</v>
      </c>
      <c r="B30" s="62" t="s">
        <v>430</v>
      </c>
      <c r="C30" s="63"/>
      <c r="D30" s="64"/>
      <c r="E30" s="65"/>
      <c r="F30" s="66"/>
      <c r="G30" s="63"/>
      <c r="H30" s="67"/>
      <c r="I30" s="68"/>
      <c r="J30" s="68"/>
      <c r="K30" s="32" t="s">
        <v>65</v>
      </c>
      <c r="L30" s="75">
        <v>30</v>
      </c>
      <c r="M30" s="75"/>
      <c r="N30" s="70"/>
      <c r="O30" s="77" t="s">
        <v>571</v>
      </c>
      <c r="P30" s="79">
        <v>42384.43547453704</v>
      </c>
      <c r="Q30" s="77" t="s">
        <v>599</v>
      </c>
      <c r="R30" s="77">
        <v>0</v>
      </c>
      <c r="S30" s="77">
        <v>1</v>
      </c>
      <c r="T30" s="77">
        <v>0</v>
      </c>
      <c r="U30" s="77">
        <v>0</v>
      </c>
      <c r="V30" s="77"/>
      <c r="W30" s="77"/>
      <c r="X30" s="80" t="str">
        <f>HYPERLINK("http://paper.li/e-1435832732?edition_id=85117d90-bb72-11e5-96f4-002590a5ba2d")</f>
        <v>http://paper.li/e-1435832732?edition_id=85117d90-bb72-11e5-96f4-002590a5ba2d</v>
      </c>
      <c r="Y30" s="77" t="s">
        <v>1978</v>
      </c>
      <c r="Z30" s="77" t="s">
        <v>2060</v>
      </c>
      <c r="AA30" s="77"/>
      <c r="AB30" s="77"/>
      <c r="AC30" s="81" t="s">
        <v>2708</v>
      </c>
      <c r="AD30" s="77" t="s">
        <v>2751</v>
      </c>
      <c r="AE30" s="80" t="str">
        <f>HYPERLINK("https://twitter.com/designbrandind/status/687944084942618625")</f>
        <v>https://twitter.com/designbrandind/status/687944084942618625</v>
      </c>
      <c r="AF30" s="79">
        <v>42384.43547453704</v>
      </c>
      <c r="AG30" s="85">
        <v>42384</v>
      </c>
      <c r="AH30" s="81" t="s">
        <v>2786</v>
      </c>
      <c r="AI30" s="77" t="b">
        <v>0</v>
      </c>
      <c r="AJ30" s="77"/>
      <c r="AK30" s="77"/>
      <c r="AL30" s="77"/>
      <c r="AM30" s="77"/>
      <c r="AN30" s="77"/>
      <c r="AO30" s="77"/>
      <c r="AP30" s="77"/>
      <c r="AQ30" s="77"/>
      <c r="AR30" s="77"/>
      <c r="AS30" s="77"/>
      <c r="AT30" s="77"/>
      <c r="AU30" s="77"/>
      <c r="AV30" s="80" t="str">
        <f>HYPERLINK("https://pbs.twimg.com/profile_images/661473093890654208/8rc2wsU2_normal.jpg")</f>
        <v>https://pbs.twimg.com/profile_images/661473093890654208/8rc2wsU2_normal.jpg</v>
      </c>
      <c r="AW30" s="81" t="s">
        <v>4530</v>
      </c>
      <c r="AX30" s="81" t="s">
        <v>4530</v>
      </c>
      <c r="AY30" s="77"/>
      <c r="AZ30" s="81" t="s">
        <v>5773</v>
      </c>
      <c r="BA30" s="81" t="s">
        <v>5773</v>
      </c>
      <c r="BB30" s="81" t="s">
        <v>5773</v>
      </c>
      <c r="BC30" s="81" t="s">
        <v>4530</v>
      </c>
      <c r="BD30" s="77">
        <v>3228207062</v>
      </c>
      <c r="BE30" s="77"/>
      <c r="BF30" s="77"/>
      <c r="BG30" s="77"/>
      <c r="BH30" s="77"/>
      <c r="BI30" s="77"/>
    </row>
    <row r="31" spans="1:61" ht="15">
      <c r="A31" s="62" t="s">
        <v>239</v>
      </c>
      <c r="B31" s="62" t="s">
        <v>299</v>
      </c>
      <c r="C31" s="63"/>
      <c r="D31" s="64"/>
      <c r="E31" s="65"/>
      <c r="F31" s="66"/>
      <c r="G31" s="63"/>
      <c r="H31" s="67"/>
      <c r="I31" s="68"/>
      <c r="J31" s="68"/>
      <c r="K31" s="32" t="s">
        <v>65</v>
      </c>
      <c r="L31" s="75">
        <v>31</v>
      </c>
      <c r="M31" s="75"/>
      <c r="N31" s="70"/>
      <c r="O31" s="77" t="s">
        <v>571</v>
      </c>
      <c r="P31" s="79">
        <v>42384.43547453704</v>
      </c>
      <c r="Q31" s="77" t="s">
        <v>599</v>
      </c>
      <c r="R31" s="77">
        <v>0</v>
      </c>
      <c r="S31" s="77">
        <v>1</v>
      </c>
      <c r="T31" s="77">
        <v>0</v>
      </c>
      <c r="U31" s="77">
        <v>0</v>
      </c>
      <c r="V31" s="77"/>
      <c r="W31" s="77"/>
      <c r="X31" s="80" t="str">
        <f>HYPERLINK("http://paper.li/e-1435832732?edition_id=85117d90-bb72-11e5-96f4-002590a5ba2d")</f>
        <v>http://paper.li/e-1435832732?edition_id=85117d90-bb72-11e5-96f4-002590a5ba2d</v>
      </c>
      <c r="Y31" s="77" t="s">
        <v>1978</v>
      </c>
      <c r="Z31" s="77" t="s">
        <v>2060</v>
      </c>
      <c r="AA31" s="77"/>
      <c r="AB31" s="77"/>
      <c r="AC31" s="81" t="s">
        <v>2708</v>
      </c>
      <c r="AD31" s="77" t="s">
        <v>2751</v>
      </c>
      <c r="AE31" s="80" t="str">
        <f>HYPERLINK("https://twitter.com/designbrandind/status/687944084942618625")</f>
        <v>https://twitter.com/designbrandind/status/687944084942618625</v>
      </c>
      <c r="AF31" s="79">
        <v>42384.43547453704</v>
      </c>
      <c r="AG31" s="85">
        <v>42384</v>
      </c>
      <c r="AH31" s="81" t="s">
        <v>2786</v>
      </c>
      <c r="AI31" s="77" t="b">
        <v>0</v>
      </c>
      <c r="AJ31" s="77"/>
      <c r="AK31" s="77"/>
      <c r="AL31" s="77"/>
      <c r="AM31" s="77"/>
      <c r="AN31" s="77"/>
      <c r="AO31" s="77"/>
      <c r="AP31" s="77"/>
      <c r="AQ31" s="77"/>
      <c r="AR31" s="77"/>
      <c r="AS31" s="77"/>
      <c r="AT31" s="77"/>
      <c r="AU31" s="77"/>
      <c r="AV31" s="80" t="str">
        <f>HYPERLINK("https://pbs.twimg.com/profile_images/661473093890654208/8rc2wsU2_normal.jpg")</f>
        <v>https://pbs.twimg.com/profile_images/661473093890654208/8rc2wsU2_normal.jpg</v>
      </c>
      <c r="AW31" s="81" t="s">
        <v>4530</v>
      </c>
      <c r="AX31" s="81" t="s">
        <v>4530</v>
      </c>
      <c r="AY31" s="77"/>
      <c r="AZ31" s="81" t="s">
        <v>5773</v>
      </c>
      <c r="BA31" s="81" t="s">
        <v>5773</v>
      </c>
      <c r="BB31" s="81" t="s">
        <v>5773</v>
      </c>
      <c r="BC31" s="81" t="s">
        <v>4530</v>
      </c>
      <c r="BD31" s="77">
        <v>3228207062</v>
      </c>
      <c r="BE31" s="77"/>
      <c r="BF31" s="77"/>
      <c r="BG31" s="77"/>
      <c r="BH31" s="77"/>
      <c r="BI31" s="77"/>
    </row>
    <row r="32" spans="1:61" ht="15">
      <c r="A32" s="62" t="s">
        <v>239</v>
      </c>
      <c r="B32" s="62" t="s">
        <v>239</v>
      </c>
      <c r="C32" s="63"/>
      <c r="D32" s="64"/>
      <c r="E32" s="65"/>
      <c r="F32" s="66"/>
      <c r="G32" s="63"/>
      <c r="H32" s="67"/>
      <c r="I32" s="68"/>
      <c r="J32" s="68"/>
      <c r="K32" s="32" t="s">
        <v>65</v>
      </c>
      <c r="L32" s="75">
        <v>32</v>
      </c>
      <c r="M32" s="75"/>
      <c r="N32" s="70"/>
      <c r="O32" s="77" t="s">
        <v>179</v>
      </c>
      <c r="P32" s="79">
        <v>43026.43450231481</v>
      </c>
      <c r="Q32" s="77" t="s">
        <v>600</v>
      </c>
      <c r="R32" s="77">
        <v>0</v>
      </c>
      <c r="S32" s="77">
        <v>0</v>
      </c>
      <c r="T32" s="77">
        <v>0</v>
      </c>
      <c r="U32" s="77">
        <v>0</v>
      </c>
      <c r="V32" s="77"/>
      <c r="W32" s="81" t="s">
        <v>1714</v>
      </c>
      <c r="X32" s="80" t="str">
        <f>HYPERLINK("https://paper.li/e-1435832732?edition_id=b03b63c0-b3ee-11e7-af31-002590a5ba2d")</f>
        <v>https://paper.li/e-1435832732?edition_id=b03b63c0-b3ee-11e7-af31-002590a5ba2d</v>
      </c>
      <c r="Y32" s="77" t="s">
        <v>1978</v>
      </c>
      <c r="Z32" s="77"/>
      <c r="AA32" s="77"/>
      <c r="AB32" s="77"/>
      <c r="AC32" s="81" t="s">
        <v>2708</v>
      </c>
      <c r="AD32" s="77" t="s">
        <v>2751</v>
      </c>
      <c r="AE32" s="80" t="str">
        <f>HYPERLINK("https://twitter.com/designbrandind/status/920596738855047168")</f>
        <v>https://twitter.com/designbrandind/status/920596738855047168</v>
      </c>
      <c r="AF32" s="79">
        <v>43026.43450231481</v>
      </c>
      <c r="AG32" s="85">
        <v>43026</v>
      </c>
      <c r="AH32" s="81" t="s">
        <v>2787</v>
      </c>
      <c r="AI32" s="77" t="b">
        <v>0</v>
      </c>
      <c r="AJ32" s="77"/>
      <c r="AK32" s="77"/>
      <c r="AL32" s="77"/>
      <c r="AM32" s="77"/>
      <c r="AN32" s="77"/>
      <c r="AO32" s="77"/>
      <c r="AP32" s="77"/>
      <c r="AQ32" s="77"/>
      <c r="AR32" s="77"/>
      <c r="AS32" s="77"/>
      <c r="AT32" s="77"/>
      <c r="AU32" s="77"/>
      <c r="AV32" s="80" t="str">
        <f>HYPERLINK("https://pbs.twimg.com/profile_images/661473093890654208/8rc2wsU2_normal.jpg")</f>
        <v>https://pbs.twimg.com/profile_images/661473093890654208/8rc2wsU2_normal.jpg</v>
      </c>
      <c r="AW32" s="81" t="s">
        <v>4531</v>
      </c>
      <c r="AX32" s="81" t="s">
        <v>4531</v>
      </c>
      <c r="AY32" s="77"/>
      <c r="AZ32" s="81" t="s">
        <v>5773</v>
      </c>
      <c r="BA32" s="81" t="s">
        <v>5773</v>
      </c>
      <c r="BB32" s="81" t="s">
        <v>5773</v>
      </c>
      <c r="BC32" s="81" t="s">
        <v>4531</v>
      </c>
      <c r="BD32" s="77">
        <v>3228207062</v>
      </c>
      <c r="BE32" s="77"/>
      <c r="BF32" s="77"/>
      <c r="BG32" s="77"/>
      <c r="BH32" s="77"/>
      <c r="BI32" s="77"/>
    </row>
    <row r="33" spans="1:61" ht="15">
      <c r="A33" s="62" t="s">
        <v>240</v>
      </c>
      <c r="B33" s="62" t="s">
        <v>431</v>
      </c>
      <c r="C33" s="63"/>
      <c r="D33" s="64"/>
      <c r="E33" s="65"/>
      <c r="F33" s="66"/>
      <c r="G33" s="63"/>
      <c r="H33" s="67"/>
      <c r="I33" s="68"/>
      <c r="J33" s="68"/>
      <c r="K33" s="32" t="s">
        <v>65</v>
      </c>
      <c r="L33" s="75">
        <v>33</v>
      </c>
      <c r="M33" s="75"/>
      <c r="N33" s="70"/>
      <c r="O33" s="77" t="s">
        <v>572</v>
      </c>
      <c r="P33" s="79">
        <v>44679.64157407408</v>
      </c>
      <c r="Q33" s="77" t="s">
        <v>601</v>
      </c>
      <c r="R33" s="77">
        <v>0</v>
      </c>
      <c r="S33" s="77">
        <v>0</v>
      </c>
      <c r="T33" s="77">
        <v>0</v>
      </c>
      <c r="U33" s="77">
        <v>0</v>
      </c>
      <c r="V33" s="77"/>
      <c r="W33" s="77"/>
      <c r="X33" s="77"/>
      <c r="Y33" s="77"/>
      <c r="Z33" s="77" t="s">
        <v>431</v>
      </c>
      <c r="AA33" s="77"/>
      <c r="AB33" s="77"/>
      <c r="AC33" s="81" t="s">
        <v>2701</v>
      </c>
      <c r="AD33" s="77" t="s">
        <v>2751</v>
      </c>
      <c r="AE33" s="80" t="str">
        <f>HYPERLINK("https://twitter.com/racjac23/status/1519698924570820608")</f>
        <v>https://twitter.com/racjac23/status/1519698924570820608</v>
      </c>
      <c r="AF33" s="79">
        <v>44679.64157407408</v>
      </c>
      <c r="AG33" s="85">
        <v>44679</v>
      </c>
      <c r="AH33" s="81" t="s">
        <v>2788</v>
      </c>
      <c r="AI33" s="77"/>
      <c r="AJ33" s="77"/>
      <c r="AK33" s="77"/>
      <c r="AL33" s="77"/>
      <c r="AM33" s="77"/>
      <c r="AN33" s="77"/>
      <c r="AO33" s="77"/>
      <c r="AP33" s="77"/>
      <c r="AQ33" s="77"/>
      <c r="AR33" s="77"/>
      <c r="AS33" s="77"/>
      <c r="AT33" s="77"/>
      <c r="AU33" s="77"/>
      <c r="AV33" s="80" t="str">
        <f>HYPERLINK("https://pbs.twimg.com/profile_images/1626400526760914949/qClfTTQP_normal.jpg")</f>
        <v>https://pbs.twimg.com/profile_images/1626400526760914949/qClfTTQP_normal.jpg</v>
      </c>
      <c r="AW33" s="81" t="s">
        <v>4532</v>
      </c>
      <c r="AX33" s="81" t="s">
        <v>5678</v>
      </c>
      <c r="AY33" s="81" t="s">
        <v>5724</v>
      </c>
      <c r="AZ33" s="81" t="s">
        <v>5678</v>
      </c>
      <c r="BA33" s="81" t="s">
        <v>5773</v>
      </c>
      <c r="BB33" s="81" t="s">
        <v>5773</v>
      </c>
      <c r="BC33" s="81" t="s">
        <v>5678</v>
      </c>
      <c r="BD33" s="81" t="s">
        <v>5789</v>
      </c>
      <c r="BE33" s="77"/>
      <c r="BF33" s="77"/>
      <c r="BG33" s="77"/>
      <c r="BH33" s="77"/>
      <c r="BI33" s="77"/>
    </row>
    <row r="34" spans="1:61" ht="15">
      <c r="A34" s="62" t="s">
        <v>241</v>
      </c>
      <c r="B34" s="62" t="s">
        <v>432</v>
      </c>
      <c r="C34" s="63"/>
      <c r="D34" s="64"/>
      <c r="E34" s="65"/>
      <c r="F34" s="66"/>
      <c r="G34" s="63"/>
      <c r="H34" s="67"/>
      <c r="I34" s="68"/>
      <c r="J34" s="68"/>
      <c r="K34" s="32" t="s">
        <v>65</v>
      </c>
      <c r="L34" s="75">
        <v>34</v>
      </c>
      <c r="M34" s="75"/>
      <c r="N34" s="70"/>
      <c r="O34" s="77" t="s">
        <v>572</v>
      </c>
      <c r="P34" s="79">
        <v>43366.96607638889</v>
      </c>
      <c r="Q34" s="77" t="s">
        <v>602</v>
      </c>
      <c r="R34" s="77">
        <v>0</v>
      </c>
      <c r="S34" s="77">
        <v>0</v>
      </c>
      <c r="T34" s="77">
        <v>0</v>
      </c>
      <c r="U34" s="77">
        <v>0</v>
      </c>
      <c r="V34" s="77"/>
      <c r="W34" s="77"/>
      <c r="X34" s="77"/>
      <c r="Y34" s="77"/>
      <c r="Z34" s="77" t="s">
        <v>2061</v>
      </c>
      <c r="AA34" s="77"/>
      <c r="AB34" s="77"/>
      <c r="AC34" s="81" t="s">
        <v>2704</v>
      </c>
      <c r="AD34" s="77" t="s">
        <v>2751</v>
      </c>
      <c r="AE34" s="80" t="str">
        <f>HYPERLINK("https://twitter.com/connor182010/status/1044001249782353925")</f>
        <v>https://twitter.com/connor182010/status/1044001249782353925</v>
      </c>
      <c r="AF34" s="79">
        <v>43366.96607638889</v>
      </c>
      <c r="AG34" s="85">
        <v>43366</v>
      </c>
      <c r="AH34" s="81" t="s">
        <v>2789</v>
      </c>
      <c r="AI34" s="77"/>
      <c r="AJ34" s="77"/>
      <c r="AK34" s="77"/>
      <c r="AL34" s="77"/>
      <c r="AM34" s="77"/>
      <c r="AN34" s="77"/>
      <c r="AO34" s="77"/>
      <c r="AP34" s="77"/>
      <c r="AQ34" s="77"/>
      <c r="AR34" s="77"/>
      <c r="AS34" s="77"/>
      <c r="AT34" s="77"/>
      <c r="AU34" s="77"/>
      <c r="AV34" s="80" t="str">
        <f>HYPERLINK("https://pbs.twimg.com/profile_images/1425592583368200195/VUo3ioDj_normal.jpg")</f>
        <v>https://pbs.twimg.com/profile_images/1425592583368200195/VUo3ioDj_normal.jpg</v>
      </c>
      <c r="AW34" s="81" t="s">
        <v>4533</v>
      </c>
      <c r="AX34" s="81" t="s">
        <v>5679</v>
      </c>
      <c r="AY34" s="81" t="s">
        <v>5725</v>
      </c>
      <c r="AZ34" s="81" t="s">
        <v>5679</v>
      </c>
      <c r="BA34" s="81" t="s">
        <v>5773</v>
      </c>
      <c r="BB34" s="81" t="s">
        <v>5773</v>
      </c>
      <c r="BC34" s="81" t="s">
        <v>5679</v>
      </c>
      <c r="BD34" s="77">
        <v>111816657</v>
      </c>
      <c r="BE34" s="77"/>
      <c r="BF34" s="77"/>
      <c r="BG34" s="77"/>
      <c r="BH34" s="77"/>
      <c r="BI34" s="77"/>
    </row>
    <row r="35" spans="1:61" ht="15">
      <c r="A35" s="62" t="s">
        <v>242</v>
      </c>
      <c r="B35" s="62" t="s">
        <v>299</v>
      </c>
      <c r="C35" s="63"/>
      <c r="D35" s="64"/>
      <c r="E35" s="65"/>
      <c r="F35" s="66"/>
      <c r="G35" s="63"/>
      <c r="H35" s="67"/>
      <c r="I35" s="68"/>
      <c r="J35" s="68"/>
      <c r="K35" s="32" t="s">
        <v>65</v>
      </c>
      <c r="L35" s="75">
        <v>35</v>
      </c>
      <c r="M35" s="75"/>
      <c r="N35" s="70"/>
      <c r="O35" s="77" t="s">
        <v>571</v>
      </c>
      <c r="P35" s="79">
        <v>42956.315717592595</v>
      </c>
      <c r="Q35" s="77" t="s">
        <v>603</v>
      </c>
      <c r="R35" s="77">
        <v>0</v>
      </c>
      <c r="S35" s="77">
        <v>0</v>
      </c>
      <c r="T35" s="77">
        <v>0</v>
      </c>
      <c r="U35" s="77">
        <v>0</v>
      </c>
      <c r="V35" s="77"/>
      <c r="W35" s="77"/>
      <c r="X35" s="80" t="str">
        <f>HYPERLINK("https://www.followupthen.com")</f>
        <v>https://www.followupthen.com</v>
      </c>
      <c r="Y35" s="77" t="s">
        <v>1979</v>
      </c>
      <c r="Z35" s="77" t="s">
        <v>299</v>
      </c>
      <c r="AA35" s="77"/>
      <c r="AB35" s="77"/>
      <c r="AC35" s="81" t="s">
        <v>2709</v>
      </c>
      <c r="AD35" s="77" t="s">
        <v>2751</v>
      </c>
      <c r="AE35" s="80" t="str">
        <f>HYPERLINK("https://twitter.com/followupthen/status/895186545417867264")</f>
        <v>https://twitter.com/followupthen/status/895186545417867264</v>
      </c>
      <c r="AF35" s="79">
        <v>42956.315717592595</v>
      </c>
      <c r="AG35" s="85">
        <v>42956</v>
      </c>
      <c r="AH35" s="81" t="s">
        <v>2790</v>
      </c>
      <c r="AI35" s="77" t="b">
        <v>0</v>
      </c>
      <c r="AJ35" s="77"/>
      <c r="AK35" s="77"/>
      <c r="AL35" s="77"/>
      <c r="AM35" s="77"/>
      <c r="AN35" s="77"/>
      <c r="AO35" s="77"/>
      <c r="AP35" s="77"/>
      <c r="AQ35" s="77"/>
      <c r="AR35" s="77"/>
      <c r="AS35" s="77"/>
      <c r="AT35" s="77"/>
      <c r="AU35" s="77"/>
      <c r="AV35" s="80" t="str">
        <f>HYPERLINK("https://pbs.twimg.com/profile_images/1235364542/favicon_normal.png")</f>
        <v>https://pbs.twimg.com/profile_images/1235364542/favicon_normal.png</v>
      </c>
      <c r="AW35" s="81" t="s">
        <v>4534</v>
      </c>
      <c r="AX35" s="81" t="s">
        <v>4534</v>
      </c>
      <c r="AY35" s="81" t="s">
        <v>5721</v>
      </c>
      <c r="AZ35" s="81" t="s">
        <v>5773</v>
      </c>
      <c r="BA35" s="81" t="s">
        <v>5773</v>
      </c>
      <c r="BB35" s="81" t="s">
        <v>5773</v>
      </c>
      <c r="BC35" s="81" t="s">
        <v>4534</v>
      </c>
      <c r="BD35" s="77">
        <v>236971013</v>
      </c>
      <c r="BE35" s="77"/>
      <c r="BF35" s="77"/>
      <c r="BG35" s="77"/>
      <c r="BH35" s="77"/>
      <c r="BI35" s="77"/>
    </row>
    <row r="36" spans="1:61" ht="15">
      <c r="A36" s="62" t="s">
        <v>243</v>
      </c>
      <c r="B36" s="62" t="s">
        <v>433</v>
      </c>
      <c r="C36" s="63"/>
      <c r="D36" s="64"/>
      <c r="E36" s="65"/>
      <c r="F36" s="66"/>
      <c r="G36" s="63"/>
      <c r="H36" s="67"/>
      <c r="I36" s="68"/>
      <c r="J36" s="68"/>
      <c r="K36" s="32" t="s">
        <v>65</v>
      </c>
      <c r="L36" s="75">
        <v>36</v>
      </c>
      <c r="M36" s="75"/>
      <c r="N36" s="70"/>
      <c r="O36" s="77" t="s">
        <v>572</v>
      </c>
      <c r="P36" s="79">
        <v>43534.08295138889</v>
      </c>
      <c r="Q36" s="77" t="s">
        <v>604</v>
      </c>
      <c r="R36" s="77">
        <v>0</v>
      </c>
      <c r="S36" s="77">
        <v>0</v>
      </c>
      <c r="T36" s="77">
        <v>1</v>
      </c>
      <c r="U36" s="77">
        <v>0</v>
      </c>
      <c r="V36" s="77"/>
      <c r="W36" s="77"/>
      <c r="X36" s="77"/>
      <c r="Y36" s="77"/>
      <c r="Z36" s="77"/>
      <c r="AA36" s="77"/>
      <c r="AB36" s="77"/>
      <c r="AC36" s="81" t="s">
        <v>2701</v>
      </c>
      <c r="AD36" s="77" t="s">
        <v>2755</v>
      </c>
      <c r="AE36" s="80" t="str">
        <f>HYPERLINK("https://twitter.com/dprian____/status/1104562376697921536")</f>
        <v>https://twitter.com/dprian____/status/1104562376697921536</v>
      </c>
      <c r="AF36" s="79">
        <v>43534.08295138889</v>
      </c>
      <c r="AG36" s="85">
        <v>43534</v>
      </c>
      <c r="AH36" s="81" t="s">
        <v>2791</v>
      </c>
      <c r="AI36" s="77"/>
      <c r="AJ36" s="77"/>
      <c r="AK36" s="77"/>
      <c r="AL36" s="77"/>
      <c r="AM36" s="77"/>
      <c r="AN36" s="77"/>
      <c r="AO36" s="77"/>
      <c r="AP36" s="77"/>
      <c r="AQ36" s="77"/>
      <c r="AR36" s="77"/>
      <c r="AS36" s="77"/>
      <c r="AT36" s="77"/>
      <c r="AU36" s="77"/>
      <c r="AV36" s="80" t="str">
        <f>HYPERLINK("https://pbs.twimg.com/profile_images/1150586830204678146/OIMBkdJX_normal.jpg")</f>
        <v>https://pbs.twimg.com/profile_images/1150586830204678146/OIMBkdJX_normal.jpg</v>
      </c>
      <c r="AW36" s="81" t="s">
        <v>4535</v>
      </c>
      <c r="AX36" s="81" t="s">
        <v>5680</v>
      </c>
      <c r="AY36" s="81" t="s">
        <v>5726</v>
      </c>
      <c r="AZ36" s="81" t="s">
        <v>5775</v>
      </c>
      <c r="BA36" s="81" t="s">
        <v>5773</v>
      </c>
      <c r="BB36" s="81" t="s">
        <v>5773</v>
      </c>
      <c r="BC36" s="81" t="s">
        <v>5775</v>
      </c>
      <c r="BD36" s="81" t="s">
        <v>5790</v>
      </c>
      <c r="BE36" s="77"/>
      <c r="BF36" s="77"/>
      <c r="BG36" s="77"/>
      <c r="BH36" s="77"/>
      <c r="BI36" s="77"/>
    </row>
    <row r="37" spans="1:61" ht="15">
      <c r="A37" s="62" t="s">
        <v>244</v>
      </c>
      <c r="B37" s="62" t="s">
        <v>244</v>
      </c>
      <c r="C37" s="63"/>
      <c r="D37" s="64"/>
      <c r="E37" s="65"/>
      <c r="F37" s="66"/>
      <c r="G37" s="63"/>
      <c r="H37" s="67"/>
      <c r="I37" s="68"/>
      <c r="J37" s="68"/>
      <c r="K37" s="32" t="s">
        <v>65</v>
      </c>
      <c r="L37" s="75">
        <v>37</v>
      </c>
      <c r="M37" s="75"/>
      <c r="N37" s="70"/>
      <c r="O37" s="77" t="s">
        <v>179</v>
      </c>
      <c r="P37" s="79">
        <v>44246.70033564815</v>
      </c>
      <c r="Q37" s="77" t="s">
        <v>605</v>
      </c>
      <c r="R37" s="77">
        <v>0</v>
      </c>
      <c r="S37" s="77">
        <v>0</v>
      </c>
      <c r="T37" s="77">
        <v>1</v>
      </c>
      <c r="U37" s="77">
        <v>0</v>
      </c>
      <c r="V37" s="77"/>
      <c r="W37" s="77"/>
      <c r="X37" s="77"/>
      <c r="Y37" s="77"/>
      <c r="Z37" s="77"/>
      <c r="AA37" s="77"/>
      <c r="AB37" s="77"/>
      <c r="AC37" s="81" t="s">
        <v>2704</v>
      </c>
      <c r="AD37" s="77" t="s">
        <v>2751</v>
      </c>
      <c r="AE37" s="80" t="str">
        <f>HYPERLINK("https://twitter.com/taedodekoo/status/1362806271238365189")</f>
        <v>https://twitter.com/taedodekoo/status/1362806271238365189</v>
      </c>
      <c r="AF37" s="79">
        <v>44246.70033564815</v>
      </c>
      <c r="AG37" s="85">
        <v>44246</v>
      </c>
      <c r="AH37" s="81" t="s">
        <v>2792</v>
      </c>
      <c r="AI37" s="77"/>
      <c r="AJ37" s="77"/>
      <c r="AK37" s="77"/>
      <c r="AL37" s="77"/>
      <c r="AM37" s="77"/>
      <c r="AN37" s="77"/>
      <c r="AO37" s="77"/>
      <c r="AP37" s="77"/>
      <c r="AQ37" s="77"/>
      <c r="AR37" s="77"/>
      <c r="AS37" s="77"/>
      <c r="AT37" s="77"/>
      <c r="AU37" s="77"/>
      <c r="AV37" s="80" t="str">
        <f>HYPERLINK("https://pbs.twimg.com/profile_images/1734233041474596864/KchuvCH6_normal.jpg")</f>
        <v>https://pbs.twimg.com/profile_images/1734233041474596864/KchuvCH6_normal.jpg</v>
      </c>
      <c r="AW37" s="81" t="s">
        <v>4536</v>
      </c>
      <c r="AX37" s="81" t="s">
        <v>4536</v>
      </c>
      <c r="AY37" s="77"/>
      <c r="AZ37" s="81" t="s">
        <v>5773</v>
      </c>
      <c r="BA37" s="81" t="s">
        <v>5773</v>
      </c>
      <c r="BB37" s="81" t="s">
        <v>5773</v>
      </c>
      <c r="BC37" s="81" t="s">
        <v>4536</v>
      </c>
      <c r="BD37" s="81" t="s">
        <v>5791</v>
      </c>
      <c r="BE37" s="77"/>
      <c r="BF37" s="77"/>
      <c r="BG37" s="77"/>
      <c r="BH37" s="77"/>
      <c r="BI37" s="77"/>
    </row>
    <row r="38" spans="1:61" ht="15">
      <c r="A38" s="62" t="s">
        <v>245</v>
      </c>
      <c r="B38" s="62" t="s">
        <v>299</v>
      </c>
      <c r="C38" s="63"/>
      <c r="D38" s="64"/>
      <c r="E38" s="65"/>
      <c r="F38" s="66"/>
      <c r="G38" s="63"/>
      <c r="H38" s="67"/>
      <c r="I38" s="68"/>
      <c r="J38" s="68"/>
      <c r="K38" s="32" t="s">
        <v>65</v>
      </c>
      <c r="L38" s="75">
        <v>38</v>
      </c>
      <c r="M38" s="75"/>
      <c r="N38" s="70"/>
      <c r="O38" s="77" t="s">
        <v>574</v>
      </c>
      <c r="P38" s="79">
        <v>43076.32100694445</v>
      </c>
      <c r="Q38" s="77" t="s">
        <v>606</v>
      </c>
      <c r="R38" s="77">
        <v>0</v>
      </c>
      <c r="S38" s="77">
        <v>0</v>
      </c>
      <c r="T38" s="77">
        <v>0</v>
      </c>
      <c r="U38" s="77">
        <v>0</v>
      </c>
      <c r="V38" s="77"/>
      <c r="W38" s="81" t="s">
        <v>1715</v>
      </c>
      <c r="X38" s="77" t="s">
        <v>1957</v>
      </c>
      <c r="Y38" s="77" t="s">
        <v>1980</v>
      </c>
      <c r="Z38" s="77" t="s">
        <v>299</v>
      </c>
      <c r="AA38" s="77" t="s">
        <v>2105</v>
      </c>
      <c r="AB38" s="77" t="s">
        <v>2696</v>
      </c>
      <c r="AC38" s="81" t="s">
        <v>2710</v>
      </c>
      <c r="AD38" s="77" t="s">
        <v>2751</v>
      </c>
      <c r="AE38" s="80" t="str">
        <f>HYPERLINK("https://twitter.com/mehkaadams/status/938675005411545090")</f>
        <v>https://twitter.com/mehkaadams/status/938675005411545090</v>
      </c>
      <c r="AF38" s="79">
        <v>43076.32100694445</v>
      </c>
      <c r="AG38" s="85">
        <v>43076</v>
      </c>
      <c r="AH38" s="81" t="s">
        <v>2793</v>
      </c>
      <c r="AI38" s="77" t="b">
        <v>0</v>
      </c>
      <c r="AJ38" s="77"/>
      <c r="AK38" s="77"/>
      <c r="AL38" s="77"/>
      <c r="AM38" s="77"/>
      <c r="AN38" s="77"/>
      <c r="AO38" s="77"/>
      <c r="AP38" s="77"/>
      <c r="AQ38" s="77" t="s">
        <v>3923</v>
      </c>
      <c r="AR38" s="77"/>
      <c r="AS38" s="77"/>
      <c r="AT38" s="77"/>
      <c r="AU38" s="77"/>
      <c r="AV38" s="80" t="str">
        <f>HYPERLINK("https://pbs.twimg.com/media/DQbRJ0UUQAYtAx5.jpg")</f>
        <v>https://pbs.twimg.com/media/DQbRJ0UUQAYtAx5.jpg</v>
      </c>
      <c r="AW38" s="81" t="s">
        <v>4537</v>
      </c>
      <c r="AX38" s="81" t="s">
        <v>4537</v>
      </c>
      <c r="AY38" s="77"/>
      <c r="AZ38" s="81" t="s">
        <v>5773</v>
      </c>
      <c r="BA38" s="81" t="s">
        <v>4869</v>
      </c>
      <c r="BB38" s="81" t="s">
        <v>5773</v>
      </c>
      <c r="BC38" s="81" t="s">
        <v>4869</v>
      </c>
      <c r="BD38" s="81" t="s">
        <v>5792</v>
      </c>
      <c r="BE38" s="77"/>
      <c r="BF38" s="77"/>
      <c r="BG38" s="77"/>
      <c r="BH38" s="77"/>
      <c r="BI38" s="77"/>
    </row>
    <row r="39" spans="1:61" ht="15">
      <c r="A39" s="62" t="s">
        <v>245</v>
      </c>
      <c r="B39" s="62" t="s">
        <v>369</v>
      </c>
      <c r="C39" s="63"/>
      <c r="D39" s="64"/>
      <c r="E39" s="65"/>
      <c r="F39" s="66"/>
      <c r="G39" s="63"/>
      <c r="H39" s="67"/>
      <c r="I39" s="68"/>
      <c r="J39" s="68"/>
      <c r="K39" s="32" t="s">
        <v>65</v>
      </c>
      <c r="L39" s="75">
        <v>39</v>
      </c>
      <c r="M39" s="75"/>
      <c r="N39" s="70"/>
      <c r="O39" s="77" t="s">
        <v>575</v>
      </c>
      <c r="P39" s="79">
        <v>43076.32100694445</v>
      </c>
      <c r="Q39" s="77" t="s">
        <v>606</v>
      </c>
      <c r="R39" s="77">
        <v>0</v>
      </c>
      <c r="S39" s="77">
        <v>0</v>
      </c>
      <c r="T39" s="77">
        <v>0</v>
      </c>
      <c r="U39" s="77">
        <v>0</v>
      </c>
      <c r="V39" s="77"/>
      <c r="W39" s="81" t="s">
        <v>1715</v>
      </c>
      <c r="X39" s="77" t="s">
        <v>1957</v>
      </c>
      <c r="Y39" s="77" t="s">
        <v>1980</v>
      </c>
      <c r="Z39" s="77" t="s">
        <v>299</v>
      </c>
      <c r="AA39" s="77" t="s">
        <v>2105</v>
      </c>
      <c r="AB39" s="77" t="s">
        <v>2696</v>
      </c>
      <c r="AC39" s="81" t="s">
        <v>2710</v>
      </c>
      <c r="AD39" s="77" t="s">
        <v>2751</v>
      </c>
      <c r="AE39" s="80" t="str">
        <f>HYPERLINK("https://twitter.com/mehkaadams/status/938675005411545090")</f>
        <v>https://twitter.com/mehkaadams/status/938675005411545090</v>
      </c>
      <c r="AF39" s="79">
        <v>43076.32100694445</v>
      </c>
      <c r="AG39" s="85">
        <v>43076</v>
      </c>
      <c r="AH39" s="81" t="s">
        <v>2793</v>
      </c>
      <c r="AI39" s="77" t="b">
        <v>0</v>
      </c>
      <c r="AJ39" s="77"/>
      <c r="AK39" s="77"/>
      <c r="AL39" s="77"/>
      <c r="AM39" s="77"/>
      <c r="AN39" s="77"/>
      <c r="AO39" s="77"/>
      <c r="AP39" s="77"/>
      <c r="AQ39" s="77" t="s">
        <v>3923</v>
      </c>
      <c r="AR39" s="77"/>
      <c r="AS39" s="77"/>
      <c r="AT39" s="77"/>
      <c r="AU39" s="77"/>
      <c r="AV39" s="80" t="str">
        <f>HYPERLINK("https://pbs.twimg.com/media/DQbRJ0UUQAYtAx5.jpg")</f>
        <v>https://pbs.twimg.com/media/DQbRJ0UUQAYtAx5.jpg</v>
      </c>
      <c r="AW39" s="81" t="s">
        <v>4537</v>
      </c>
      <c r="AX39" s="81" t="s">
        <v>4537</v>
      </c>
      <c r="AY39" s="77"/>
      <c r="AZ39" s="81" t="s">
        <v>5773</v>
      </c>
      <c r="BA39" s="81" t="s">
        <v>4869</v>
      </c>
      <c r="BB39" s="81" t="s">
        <v>5773</v>
      </c>
      <c r="BC39" s="81" t="s">
        <v>4869</v>
      </c>
      <c r="BD39" s="81" t="s">
        <v>5792</v>
      </c>
      <c r="BE39" s="77"/>
      <c r="BF39" s="77"/>
      <c r="BG39" s="77"/>
      <c r="BH39" s="77"/>
      <c r="BI39" s="77"/>
    </row>
    <row r="40" spans="1:61" ht="15">
      <c r="A40" s="62" t="s">
        <v>246</v>
      </c>
      <c r="B40" s="62" t="s">
        <v>434</v>
      </c>
      <c r="C40" s="63"/>
      <c r="D40" s="64"/>
      <c r="E40" s="65"/>
      <c r="F40" s="66"/>
      <c r="G40" s="63"/>
      <c r="H40" s="67"/>
      <c r="I40" s="68"/>
      <c r="J40" s="68"/>
      <c r="K40" s="32" t="s">
        <v>65</v>
      </c>
      <c r="L40" s="75">
        <v>40</v>
      </c>
      <c r="M40" s="75"/>
      <c r="N40" s="70"/>
      <c r="O40" s="77" t="s">
        <v>571</v>
      </c>
      <c r="P40" s="79">
        <v>42885.54835648148</v>
      </c>
      <c r="Q40" s="77" t="s">
        <v>607</v>
      </c>
      <c r="R40" s="77">
        <v>2</v>
      </c>
      <c r="S40" s="77">
        <v>1</v>
      </c>
      <c r="T40" s="77">
        <v>0</v>
      </c>
      <c r="U40" s="77">
        <v>0</v>
      </c>
      <c r="V40" s="77"/>
      <c r="W40" s="77"/>
      <c r="X40" s="77"/>
      <c r="Y40" s="77"/>
      <c r="Z40" s="77" t="s">
        <v>2062</v>
      </c>
      <c r="AA40" s="77"/>
      <c r="AB40" s="77"/>
      <c r="AC40" s="81" t="s">
        <v>2705</v>
      </c>
      <c r="AD40" s="77" t="s">
        <v>2751</v>
      </c>
      <c r="AE40" s="80" t="str">
        <f>HYPERLINK("https://twitter.com/barnabywass/status/869541310516133888")</f>
        <v>https://twitter.com/barnabywass/status/869541310516133888</v>
      </c>
      <c r="AF40" s="79">
        <v>42885.54835648148</v>
      </c>
      <c r="AG40" s="85">
        <v>42885</v>
      </c>
      <c r="AH40" s="81" t="s">
        <v>2794</v>
      </c>
      <c r="AI40" s="77"/>
      <c r="AJ40" s="77"/>
      <c r="AK40" s="77"/>
      <c r="AL40" s="77"/>
      <c r="AM40" s="77"/>
      <c r="AN40" s="77"/>
      <c r="AO40" s="77"/>
      <c r="AP40" s="77"/>
      <c r="AQ40" s="77"/>
      <c r="AR40" s="77"/>
      <c r="AS40" s="77"/>
      <c r="AT40" s="77"/>
      <c r="AU40" s="77"/>
      <c r="AV40" s="80" t="str">
        <f>HYPERLINK("https://pbs.twimg.com/profile_images/1595048650220228612/7d0PQZ96_normal.jpg")</f>
        <v>https://pbs.twimg.com/profile_images/1595048650220228612/7d0PQZ96_normal.jpg</v>
      </c>
      <c r="AW40" s="81" t="s">
        <v>4538</v>
      </c>
      <c r="AX40" s="81" t="s">
        <v>4538</v>
      </c>
      <c r="AY40" s="77"/>
      <c r="AZ40" s="81" t="s">
        <v>5773</v>
      </c>
      <c r="BA40" s="81" t="s">
        <v>5773</v>
      </c>
      <c r="BB40" s="81" t="s">
        <v>5773</v>
      </c>
      <c r="BC40" s="81" t="s">
        <v>4538</v>
      </c>
      <c r="BD40" s="77">
        <v>413370855</v>
      </c>
      <c r="BE40" s="77"/>
      <c r="BF40" s="77"/>
      <c r="BG40" s="77"/>
      <c r="BH40" s="77"/>
      <c r="BI40" s="77"/>
    </row>
    <row r="41" spans="1:61" ht="15">
      <c r="A41" s="62" t="s">
        <v>246</v>
      </c>
      <c r="B41" s="62" t="s">
        <v>435</v>
      </c>
      <c r="C41" s="63"/>
      <c r="D41" s="64"/>
      <c r="E41" s="65"/>
      <c r="F41" s="66"/>
      <c r="G41" s="63"/>
      <c r="H41" s="67"/>
      <c r="I41" s="68"/>
      <c r="J41" s="68"/>
      <c r="K41" s="32" t="s">
        <v>65</v>
      </c>
      <c r="L41" s="75">
        <v>41</v>
      </c>
      <c r="M41" s="75"/>
      <c r="N41" s="70"/>
      <c r="O41" s="77" t="s">
        <v>571</v>
      </c>
      <c r="P41" s="79">
        <v>42885.54835648148</v>
      </c>
      <c r="Q41" s="77" t="s">
        <v>607</v>
      </c>
      <c r="R41" s="77">
        <v>2</v>
      </c>
      <c r="S41" s="77">
        <v>1</v>
      </c>
      <c r="T41" s="77">
        <v>0</v>
      </c>
      <c r="U41" s="77">
        <v>0</v>
      </c>
      <c r="V41" s="77"/>
      <c r="W41" s="77"/>
      <c r="X41" s="77"/>
      <c r="Y41" s="77"/>
      <c r="Z41" s="77" t="s">
        <v>2062</v>
      </c>
      <c r="AA41" s="77"/>
      <c r="AB41" s="77"/>
      <c r="AC41" s="81" t="s">
        <v>2705</v>
      </c>
      <c r="AD41" s="77" t="s">
        <v>2751</v>
      </c>
      <c r="AE41" s="80" t="str">
        <f>HYPERLINK("https://twitter.com/barnabywass/status/869541310516133888")</f>
        <v>https://twitter.com/barnabywass/status/869541310516133888</v>
      </c>
      <c r="AF41" s="79">
        <v>42885.54835648148</v>
      </c>
      <c r="AG41" s="85">
        <v>42885</v>
      </c>
      <c r="AH41" s="81" t="s">
        <v>2794</v>
      </c>
      <c r="AI41" s="77"/>
      <c r="AJ41" s="77"/>
      <c r="AK41" s="77"/>
      <c r="AL41" s="77"/>
      <c r="AM41" s="77"/>
      <c r="AN41" s="77"/>
      <c r="AO41" s="77"/>
      <c r="AP41" s="77"/>
      <c r="AQ41" s="77"/>
      <c r="AR41" s="77"/>
      <c r="AS41" s="77"/>
      <c r="AT41" s="77"/>
      <c r="AU41" s="77"/>
      <c r="AV41" s="80" t="str">
        <f>HYPERLINK("https://pbs.twimg.com/profile_images/1595048650220228612/7d0PQZ96_normal.jpg")</f>
        <v>https://pbs.twimg.com/profile_images/1595048650220228612/7d0PQZ96_normal.jpg</v>
      </c>
      <c r="AW41" s="81" t="s">
        <v>4538</v>
      </c>
      <c r="AX41" s="81" t="s">
        <v>4538</v>
      </c>
      <c r="AY41" s="77"/>
      <c r="AZ41" s="81" t="s">
        <v>5773</v>
      </c>
      <c r="BA41" s="81" t="s">
        <v>5773</v>
      </c>
      <c r="BB41" s="81" t="s">
        <v>5773</v>
      </c>
      <c r="BC41" s="81" t="s">
        <v>4538</v>
      </c>
      <c r="BD41" s="77">
        <v>413370855</v>
      </c>
      <c r="BE41" s="77"/>
      <c r="BF41" s="77"/>
      <c r="BG41" s="77"/>
      <c r="BH41" s="77"/>
      <c r="BI41" s="77"/>
    </row>
    <row r="42" spans="1:61" ht="15">
      <c r="A42" s="62" t="s">
        <v>246</v>
      </c>
      <c r="B42" s="62" t="s">
        <v>436</v>
      </c>
      <c r="C42" s="63"/>
      <c r="D42" s="64"/>
      <c r="E42" s="65"/>
      <c r="F42" s="66"/>
      <c r="G42" s="63"/>
      <c r="H42" s="67"/>
      <c r="I42" s="68"/>
      <c r="J42" s="68"/>
      <c r="K42" s="32" t="s">
        <v>65</v>
      </c>
      <c r="L42" s="75">
        <v>42</v>
      </c>
      <c r="M42" s="75"/>
      <c r="N42" s="70"/>
      <c r="O42" s="77" t="s">
        <v>571</v>
      </c>
      <c r="P42" s="79">
        <v>42885.54835648148</v>
      </c>
      <c r="Q42" s="77" t="s">
        <v>607</v>
      </c>
      <c r="R42" s="77">
        <v>2</v>
      </c>
      <c r="S42" s="77">
        <v>1</v>
      </c>
      <c r="T42" s="77">
        <v>0</v>
      </c>
      <c r="U42" s="77">
        <v>0</v>
      </c>
      <c r="V42" s="77"/>
      <c r="W42" s="77"/>
      <c r="X42" s="77"/>
      <c r="Y42" s="77"/>
      <c r="Z42" s="77" t="s">
        <v>2062</v>
      </c>
      <c r="AA42" s="77"/>
      <c r="AB42" s="77"/>
      <c r="AC42" s="81" t="s">
        <v>2705</v>
      </c>
      <c r="AD42" s="77" t="s">
        <v>2751</v>
      </c>
      <c r="AE42" s="80" t="str">
        <f>HYPERLINK("https://twitter.com/barnabywass/status/869541310516133888")</f>
        <v>https://twitter.com/barnabywass/status/869541310516133888</v>
      </c>
      <c r="AF42" s="79">
        <v>42885.54835648148</v>
      </c>
      <c r="AG42" s="85">
        <v>42885</v>
      </c>
      <c r="AH42" s="81" t="s">
        <v>2794</v>
      </c>
      <c r="AI42" s="77"/>
      <c r="AJ42" s="77"/>
      <c r="AK42" s="77"/>
      <c r="AL42" s="77"/>
      <c r="AM42" s="77"/>
      <c r="AN42" s="77"/>
      <c r="AO42" s="77"/>
      <c r="AP42" s="77"/>
      <c r="AQ42" s="77"/>
      <c r="AR42" s="77"/>
      <c r="AS42" s="77"/>
      <c r="AT42" s="77"/>
      <c r="AU42" s="77"/>
      <c r="AV42" s="80" t="str">
        <f>HYPERLINK("https://pbs.twimg.com/profile_images/1595048650220228612/7d0PQZ96_normal.jpg")</f>
        <v>https://pbs.twimg.com/profile_images/1595048650220228612/7d0PQZ96_normal.jpg</v>
      </c>
      <c r="AW42" s="81" t="s">
        <v>4538</v>
      </c>
      <c r="AX42" s="81" t="s">
        <v>4538</v>
      </c>
      <c r="AY42" s="77"/>
      <c r="AZ42" s="81" t="s">
        <v>5773</v>
      </c>
      <c r="BA42" s="81" t="s">
        <v>5773</v>
      </c>
      <c r="BB42" s="81" t="s">
        <v>5773</v>
      </c>
      <c r="BC42" s="81" t="s">
        <v>4538</v>
      </c>
      <c r="BD42" s="77">
        <v>413370855</v>
      </c>
      <c r="BE42" s="77"/>
      <c r="BF42" s="77"/>
      <c r="BG42" s="77"/>
      <c r="BH42" s="77"/>
      <c r="BI42" s="77"/>
    </row>
    <row r="43" spans="1:61" ht="15">
      <c r="A43" s="62" t="s">
        <v>246</v>
      </c>
      <c r="B43" s="62" t="s">
        <v>437</v>
      </c>
      <c r="C43" s="63"/>
      <c r="D43" s="64"/>
      <c r="E43" s="65"/>
      <c r="F43" s="66"/>
      <c r="G43" s="63"/>
      <c r="H43" s="67"/>
      <c r="I43" s="68"/>
      <c r="J43" s="68"/>
      <c r="K43" s="32" t="s">
        <v>65</v>
      </c>
      <c r="L43" s="75">
        <v>43</v>
      </c>
      <c r="M43" s="75"/>
      <c r="N43" s="70"/>
      <c r="O43" s="77" t="s">
        <v>571</v>
      </c>
      <c r="P43" s="79">
        <v>42885.54835648148</v>
      </c>
      <c r="Q43" s="77" t="s">
        <v>607</v>
      </c>
      <c r="R43" s="77">
        <v>2</v>
      </c>
      <c r="S43" s="77">
        <v>1</v>
      </c>
      <c r="T43" s="77">
        <v>0</v>
      </c>
      <c r="U43" s="77">
        <v>0</v>
      </c>
      <c r="V43" s="77"/>
      <c r="W43" s="77"/>
      <c r="X43" s="77"/>
      <c r="Y43" s="77"/>
      <c r="Z43" s="77" t="s">
        <v>2062</v>
      </c>
      <c r="AA43" s="77"/>
      <c r="AB43" s="77"/>
      <c r="AC43" s="81" t="s">
        <v>2705</v>
      </c>
      <c r="AD43" s="77" t="s">
        <v>2751</v>
      </c>
      <c r="AE43" s="80" t="str">
        <f>HYPERLINK("https://twitter.com/barnabywass/status/869541310516133888")</f>
        <v>https://twitter.com/barnabywass/status/869541310516133888</v>
      </c>
      <c r="AF43" s="79">
        <v>42885.54835648148</v>
      </c>
      <c r="AG43" s="85">
        <v>42885</v>
      </c>
      <c r="AH43" s="81" t="s">
        <v>2794</v>
      </c>
      <c r="AI43" s="77"/>
      <c r="AJ43" s="77"/>
      <c r="AK43" s="77"/>
      <c r="AL43" s="77"/>
      <c r="AM43" s="77"/>
      <c r="AN43" s="77"/>
      <c r="AO43" s="77"/>
      <c r="AP43" s="77"/>
      <c r="AQ43" s="77"/>
      <c r="AR43" s="77"/>
      <c r="AS43" s="77"/>
      <c r="AT43" s="77"/>
      <c r="AU43" s="77"/>
      <c r="AV43" s="80" t="str">
        <f>HYPERLINK("https://pbs.twimg.com/profile_images/1595048650220228612/7d0PQZ96_normal.jpg")</f>
        <v>https://pbs.twimg.com/profile_images/1595048650220228612/7d0PQZ96_normal.jpg</v>
      </c>
      <c r="AW43" s="81" t="s">
        <v>4538</v>
      </c>
      <c r="AX43" s="81" t="s">
        <v>4538</v>
      </c>
      <c r="AY43" s="77"/>
      <c r="AZ43" s="81" t="s">
        <v>5773</v>
      </c>
      <c r="BA43" s="81" t="s">
        <v>5773</v>
      </c>
      <c r="BB43" s="81" t="s">
        <v>5773</v>
      </c>
      <c r="BC43" s="81" t="s">
        <v>4538</v>
      </c>
      <c r="BD43" s="77">
        <v>413370855</v>
      </c>
      <c r="BE43" s="77"/>
      <c r="BF43" s="77"/>
      <c r="BG43" s="77"/>
      <c r="BH43" s="77"/>
      <c r="BI43" s="77"/>
    </row>
    <row r="44" spans="1:61" ht="15">
      <c r="A44" s="62" t="s">
        <v>246</v>
      </c>
      <c r="B44" s="62" t="s">
        <v>438</v>
      </c>
      <c r="C44" s="63"/>
      <c r="D44" s="64"/>
      <c r="E44" s="65"/>
      <c r="F44" s="66"/>
      <c r="G44" s="63"/>
      <c r="H44" s="67"/>
      <c r="I44" s="68"/>
      <c r="J44" s="68"/>
      <c r="K44" s="32" t="s">
        <v>65</v>
      </c>
      <c r="L44" s="75">
        <v>44</v>
      </c>
      <c r="M44" s="75"/>
      <c r="N44" s="70"/>
      <c r="O44" s="77" t="s">
        <v>571</v>
      </c>
      <c r="P44" s="79">
        <v>42885.54835648148</v>
      </c>
      <c r="Q44" s="77" t="s">
        <v>607</v>
      </c>
      <c r="R44" s="77">
        <v>2</v>
      </c>
      <c r="S44" s="77">
        <v>1</v>
      </c>
      <c r="T44" s="77">
        <v>0</v>
      </c>
      <c r="U44" s="77">
        <v>0</v>
      </c>
      <c r="V44" s="77"/>
      <c r="W44" s="77"/>
      <c r="X44" s="77"/>
      <c r="Y44" s="77"/>
      <c r="Z44" s="77" t="s">
        <v>2062</v>
      </c>
      <c r="AA44" s="77"/>
      <c r="AB44" s="77"/>
      <c r="AC44" s="81" t="s">
        <v>2705</v>
      </c>
      <c r="AD44" s="77" t="s">
        <v>2751</v>
      </c>
      <c r="AE44" s="80" t="str">
        <f>HYPERLINK("https://twitter.com/barnabywass/status/869541310516133888")</f>
        <v>https://twitter.com/barnabywass/status/869541310516133888</v>
      </c>
      <c r="AF44" s="79">
        <v>42885.54835648148</v>
      </c>
      <c r="AG44" s="85">
        <v>42885</v>
      </c>
      <c r="AH44" s="81" t="s">
        <v>2794</v>
      </c>
      <c r="AI44" s="77"/>
      <c r="AJ44" s="77"/>
      <c r="AK44" s="77"/>
      <c r="AL44" s="77"/>
      <c r="AM44" s="77"/>
      <c r="AN44" s="77"/>
      <c r="AO44" s="77"/>
      <c r="AP44" s="77"/>
      <c r="AQ44" s="77"/>
      <c r="AR44" s="77"/>
      <c r="AS44" s="77"/>
      <c r="AT44" s="77"/>
      <c r="AU44" s="77"/>
      <c r="AV44" s="80" t="str">
        <f>HYPERLINK("https://pbs.twimg.com/profile_images/1595048650220228612/7d0PQZ96_normal.jpg")</f>
        <v>https://pbs.twimg.com/profile_images/1595048650220228612/7d0PQZ96_normal.jpg</v>
      </c>
      <c r="AW44" s="81" t="s">
        <v>4538</v>
      </c>
      <c r="AX44" s="81" t="s">
        <v>4538</v>
      </c>
      <c r="AY44" s="77"/>
      <c r="AZ44" s="81" t="s">
        <v>5773</v>
      </c>
      <c r="BA44" s="81" t="s">
        <v>5773</v>
      </c>
      <c r="BB44" s="81" t="s">
        <v>5773</v>
      </c>
      <c r="BC44" s="81" t="s">
        <v>4538</v>
      </c>
      <c r="BD44" s="77">
        <v>413370855</v>
      </c>
      <c r="BE44" s="77"/>
      <c r="BF44" s="77"/>
      <c r="BG44" s="77"/>
      <c r="BH44" s="77"/>
      <c r="BI44" s="77"/>
    </row>
    <row r="45" spans="1:61" ht="15">
      <c r="A45" s="62" t="s">
        <v>246</v>
      </c>
      <c r="B45" s="62" t="s">
        <v>299</v>
      </c>
      <c r="C45" s="63"/>
      <c r="D45" s="64"/>
      <c r="E45" s="65"/>
      <c r="F45" s="66"/>
      <c r="G45" s="63"/>
      <c r="H45" s="67"/>
      <c r="I45" s="68"/>
      <c r="J45" s="68"/>
      <c r="K45" s="32" t="s">
        <v>65</v>
      </c>
      <c r="L45" s="75">
        <v>45</v>
      </c>
      <c r="M45" s="75"/>
      <c r="N45" s="70"/>
      <c r="O45" s="77" t="s">
        <v>571</v>
      </c>
      <c r="P45" s="79">
        <v>42885.54835648148</v>
      </c>
      <c r="Q45" s="77" t="s">
        <v>607</v>
      </c>
      <c r="R45" s="77">
        <v>2</v>
      </c>
      <c r="S45" s="77">
        <v>1</v>
      </c>
      <c r="T45" s="77">
        <v>0</v>
      </c>
      <c r="U45" s="77">
        <v>0</v>
      </c>
      <c r="V45" s="77"/>
      <c r="W45" s="77"/>
      <c r="X45" s="77"/>
      <c r="Y45" s="77"/>
      <c r="Z45" s="77" t="s">
        <v>2062</v>
      </c>
      <c r="AA45" s="77"/>
      <c r="AB45" s="77"/>
      <c r="AC45" s="81" t="s">
        <v>2705</v>
      </c>
      <c r="AD45" s="77" t="s">
        <v>2751</v>
      </c>
      <c r="AE45" s="80" t="str">
        <f>HYPERLINK("https://twitter.com/barnabywass/status/869541310516133888")</f>
        <v>https://twitter.com/barnabywass/status/869541310516133888</v>
      </c>
      <c r="AF45" s="79">
        <v>42885.54835648148</v>
      </c>
      <c r="AG45" s="85">
        <v>42885</v>
      </c>
      <c r="AH45" s="81" t="s">
        <v>2794</v>
      </c>
      <c r="AI45" s="77"/>
      <c r="AJ45" s="77"/>
      <c r="AK45" s="77"/>
      <c r="AL45" s="77"/>
      <c r="AM45" s="77"/>
      <c r="AN45" s="77"/>
      <c r="AO45" s="77"/>
      <c r="AP45" s="77"/>
      <c r="AQ45" s="77"/>
      <c r="AR45" s="77"/>
      <c r="AS45" s="77"/>
      <c r="AT45" s="77"/>
      <c r="AU45" s="77"/>
      <c r="AV45" s="80" t="str">
        <f>HYPERLINK("https://pbs.twimg.com/profile_images/1595048650220228612/7d0PQZ96_normal.jpg")</f>
        <v>https://pbs.twimg.com/profile_images/1595048650220228612/7d0PQZ96_normal.jpg</v>
      </c>
      <c r="AW45" s="81" t="s">
        <v>4538</v>
      </c>
      <c r="AX45" s="81" t="s">
        <v>4538</v>
      </c>
      <c r="AY45" s="77"/>
      <c r="AZ45" s="81" t="s">
        <v>5773</v>
      </c>
      <c r="BA45" s="81" t="s">
        <v>5773</v>
      </c>
      <c r="BB45" s="81" t="s">
        <v>5773</v>
      </c>
      <c r="BC45" s="81" t="s">
        <v>4538</v>
      </c>
      <c r="BD45" s="77">
        <v>413370855</v>
      </c>
      <c r="BE45" s="77"/>
      <c r="BF45" s="77"/>
      <c r="BG45" s="77"/>
      <c r="BH45" s="77"/>
      <c r="BI45" s="77"/>
    </row>
    <row r="46" spans="1:61" ht="15">
      <c r="A46" s="62" t="s">
        <v>247</v>
      </c>
      <c r="B46" s="62" t="s">
        <v>439</v>
      </c>
      <c r="C46" s="63"/>
      <c r="D46" s="64"/>
      <c r="E46" s="65"/>
      <c r="F46" s="66"/>
      <c r="G46" s="63"/>
      <c r="H46" s="67"/>
      <c r="I46" s="68"/>
      <c r="J46" s="68"/>
      <c r="K46" s="32" t="s">
        <v>65</v>
      </c>
      <c r="L46" s="75">
        <v>46</v>
      </c>
      <c r="M46" s="75"/>
      <c r="N46" s="70"/>
      <c r="O46" s="77" t="s">
        <v>571</v>
      </c>
      <c r="P46" s="79">
        <v>43185.224907407406</v>
      </c>
      <c r="Q46" s="77" t="s">
        <v>608</v>
      </c>
      <c r="R46" s="77">
        <v>0</v>
      </c>
      <c r="S46" s="77">
        <v>0</v>
      </c>
      <c r="T46" s="77">
        <v>0</v>
      </c>
      <c r="U46" s="77">
        <v>0</v>
      </c>
      <c r="V46" s="77"/>
      <c r="W46" s="81" t="s">
        <v>1716</v>
      </c>
      <c r="X46" s="80" t="str">
        <f>HYPERLINK("https://customerthink.com/will-you-become-one-with-growth-hacker-marketing/")</f>
        <v>https://customerthink.com/will-you-become-one-with-growth-hacker-marketing/</v>
      </c>
      <c r="Y46" s="77" t="s">
        <v>1981</v>
      </c>
      <c r="Z46" s="77" t="s">
        <v>2063</v>
      </c>
      <c r="AA46" s="77"/>
      <c r="AB46" s="77"/>
      <c r="AC46" s="81" t="s">
        <v>2705</v>
      </c>
      <c r="AD46" s="77" t="s">
        <v>2751</v>
      </c>
      <c r="AE46" s="80" t="str">
        <f>HYPERLINK("https://twitter.com/dpanshugahlaut/status/978140455945687040")</f>
        <v>https://twitter.com/dpanshugahlaut/status/978140455945687040</v>
      </c>
      <c r="AF46" s="79">
        <v>43185.224907407406</v>
      </c>
      <c r="AG46" s="85">
        <v>43185</v>
      </c>
      <c r="AH46" s="81" t="s">
        <v>2795</v>
      </c>
      <c r="AI46" s="77" t="b">
        <v>0</v>
      </c>
      <c r="AJ46" s="77"/>
      <c r="AK46" s="77"/>
      <c r="AL46" s="77"/>
      <c r="AM46" s="77"/>
      <c r="AN46" s="77"/>
      <c r="AO46" s="77"/>
      <c r="AP46" s="77"/>
      <c r="AQ46" s="77"/>
      <c r="AR46" s="77"/>
      <c r="AS46" s="77"/>
      <c r="AT46" s="77"/>
      <c r="AU46" s="77"/>
      <c r="AV46" s="80" t="str">
        <f>HYPERLINK("https://pbs.twimg.com/profile_images/1127217665204838402/LBEFnmn5_normal.png")</f>
        <v>https://pbs.twimg.com/profile_images/1127217665204838402/LBEFnmn5_normal.png</v>
      </c>
      <c r="AW46" s="81" t="s">
        <v>4539</v>
      </c>
      <c r="AX46" s="81" t="s">
        <v>4539</v>
      </c>
      <c r="AY46" s="77"/>
      <c r="AZ46" s="81" t="s">
        <v>5773</v>
      </c>
      <c r="BA46" s="81" t="s">
        <v>5773</v>
      </c>
      <c r="BB46" s="81" t="s">
        <v>5773</v>
      </c>
      <c r="BC46" s="81" t="s">
        <v>4539</v>
      </c>
      <c r="BD46" s="77">
        <v>2149377590</v>
      </c>
      <c r="BE46" s="77"/>
      <c r="BF46" s="77"/>
      <c r="BG46" s="77"/>
      <c r="BH46" s="77"/>
      <c r="BI46" s="77"/>
    </row>
    <row r="47" spans="1:61" ht="15">
      <c r="A47" s="62" t="s">
        <v>247</v>
      </c>
      <c r="B47" s="62" t="s">
        <v>299</v>
      </c>
      <c r="C47" s="63"/>
      <c r="D47" s="64"/>
      <c r="E47" s="65"/>
      <c r="F47" s="66"/>
      <c r="G47" s="63"/>
      <c r="H47" s="67"/>
      <c r="I47" s="68"/>
      <c r="J47" s="68"/>
      <c r="K47" s="32" t="s">
        <v>65</v>
      </c>
      <c r="L47" s="75">
        <v>47</v>
      </c>
      <c r="M47" s="75"/>
      <c r="N47" s="70"/>
      <c r="O47" s="77" t="s">
        <v>571</v>
      </c>
      <c r="P47" s="79">
        <v>43185.224907407406</v>
      </c>
      <c r="Q47" s="77" t="s">
        <v>608</v>
      </c>
      <c r="R47" s="77">
        <v>0</v>
      </c>
      <c r="S47" s="77">
        <v>0</v>
      </c>
      <c r="T47" s="77">
        <v>0</v>
      </c>
      <c r="U47" s="77">
        <v>0</v>
      </c>
      <c r="V47" s="77"/>
      <c r="W47" s="81" t="s">
        <v>1716</v>
      </c>
      <c r="X47" s="80" t="str">
        <f>HYPERLINK("https://customerthink.com/will-you-become-one-with-growth-hacker-marketing/")</f>
        <v>https://customerthink.com/will-you-become-one-with-growth-hacker-marketing/</v>
      </c>
      <c r="Y47" s="77" t="s">
        <v>1981</v>
      </c>
      <c r="Z47" s="77" t="s">
        <v>2063</v>
      </c>
      <c r="AA47" s="77"/>
      <c r="AB47" s="77"/>
      <c r="AC47" s="81" t="s">
        <v>2705</v>
      </c>
      <c r="AD47" s="77" t="s">
        <v>2751</v>
      </c>
      <c r="AE47" s="80" t="str">
        <f>HYPERLINK("https://twitter.com/dpanshugahlaut/status/978140455945687040")</f>
        <v>https://twitter.com/dpanshugahlaut/status/978140455945687040</v>
      </c>
      <c r="AF47" s="79">
        <v>43185.224907407406</v>
      </c>
      <c r="AG47" s="85">
        <v>43185</v>
      </c>
      <c r="AH47" s="81" t="s">
        <v>2795</v>
      </c>
      <c r="AI47" s="77" t="b">
        <v>0</v>
      </c>
      <c r="AJ47" s="77"/>
      <c r="AK47" s="77"/>
      <c r="AL47" s="77"/>
      <c r="AM47" s="77"/>
      <c r="AN47" s="77"/>
      <c r="AO47" s="77"/>
      <c r="AP47" s="77"/>
      <c r="AQ47" s="77"/>
      <c r="AR47" s="77"/>
      <c r="AS47" s="77"/>
      <c r="AT47" s="77"/>
      <c r="AU47" s="77"/>
      <c r="AV47" s="80" t="str">
        <f>HYPERLINK("https://pbs.twimg.com/profile_images/1127217665204838402/LBEFnmn5_normal.png")</f>
        <v>https://pbs.twimg.com/profile_images/1127217665204838402/LBEFnmn5_normal.png</v>
      </c>
      <c r="AW47" s="81" t="s">
        <v>4539</v>
      </c>
      <c r="AX47" s="81" t="s">
        <v>4539</v>
      </c>
      <c r="AY47" s="77"/>
      <c r="AZ47" s="81" t="s">
        <v>5773</v>
      </c>
      <c r="BA47" s="81" t="s">
        <v>5773</v>
      </c>
      <c r="BB47" s="81" t="s">
        <v>5773</v>
      </c>
      <c r="BC47" s="81" t="s">
        <v>4539</v>
      </c>
      <c r="BD47" s="77">
        <v>2149377590</v>
      </c>
      <c r="BE47" s="77"/>
      <c r="BF47" s="77"/>
      <c r="BG47" s="77"/>
      <c r="BH47" s="77"/>
      <c r="BI47" s="77"/>
    </row>
    <row r="48" spans="1:61" ht="15">
      <c r="A48" s="62" t="s">
        <v>248</v>
      </c>
      <c r="B48" s="62" t="s">
        <v>299</v>
      </c>
      <c r="C48" s="63"/>
      <c r="D48" s="64"/>
      <c r="E48" s="65"/>
      <c r="F48" s="66"/>
      <c r="G48" s="63"/>
      <c r="H48" s="67"/>
      <c r="I48" s="68"/>
      <c r="J48" s="68"/>
      <c r="K48" s="32" t="s">
        <v>65</v>
      </c>
      <c r="L48" s="75">
        <v>48</v>
      </c>
      <c r="M48" s="75"/>
      <c r="N48" s="70"/>
      <c r="O48" s="77" t="s">
        <v>571</v>
      </c>
      <c r="P48" s="79">
        <v>42956.303194444445</v>
      </c>
      <c r="Q48" s="77" t="s">
        <v>609</v>
      </c>
      <c r="R48" s="77">
        <v>0</v>
      </c>
      <c r="S48" s="77">
        <v>0</v>
      </c>
      <c r="T48" s="77">
        <v>0</v>
      </c>
      <c r="U48" s="77">
        <v>0</v>
      </c>
      <c r="V48" s="77"/>
      <c r="W48" s="77"/>
      <c r="X48" s="77"/>
      <c r="Y48" s="77"/>
      <c r="Z48" s="77" t="s">
        <v>299</v>
      </c>
      <c r="AA48" s="77"/>
      <c r="AB48" s="77"/>
      <c r="AC48" s="81" t="s">
        <v>2711</v>
      </c>
      <c r="AD48" s="77" t="s">
        <v>2751</v>
      </c>
      <c r="AE48" s="80" t="str">
        <f>HYPERLINK("https://twitter.com/coopsgreenteam/status/895182005553508352")</f>
        <v>https://twitter.com/coopsgreenteam/status/895182005553508352</v>
      </c>
      <c r="AF48" s="79">
        <v>42956.303194444445</v>
      </c>
      <c r="AG48" s="85">
        <v>42956</v>
      </c>
      <c r="AH48" s="81" t="s">
        <v>2796</v>
      </c>
      <c r="AI48" s="77"/>
      <c r="AJ48" s="77"/>
      <c r="AK48" s="77"/>
      <c r="AL48" s="77"/>
      <c r="AM48" s="77"/>
      <c r="AN48" s="77"/>
      <c r="AO48" s="77"/>
      <c r="AP48" s="77"/>
      <c r="AQ48" s="77"/>
      <c r="AR48" s="77"/>
      <c r="AS48" s="77"/>
      <c r="AT48" s="77"/>
      <c r="AU48" s="77"/>
      <c r="AV48" s="80" t="str">
        <f>HYPERLINK("https://pbs.twimg.com/profile_images/1673066044682907649/yjKNjvL-_normal.jpg")</f>
        <v>https://pbs.twimg.com/profile_images/1673066044682907649/yjKNjvL-_normal.jpg</v>
      </c>
      <c r="AW48" s="81" t="s">
        <v>4540</v>
      </c>
      <c r="AX48" s="81" t="s">
        <v>4540</v>
      </c>
      <c r="AY48" s="77"/>
      <c r="AZ48" s="81" t="s">
        <v>5773</v>
      </c>
      <c r="BA48" s="81" t="s">
        <v>5773</v>
      </c>
      <c r="BB48" s="81" t="s">
        <v>5773</v>
      </c>
      <c r="BC48" s="81" t="s">
        <v>4540</v>
      </c>
      <c r="BD48" s="77">
        <v>257294613</v>
      </c>
      <c r="BE48" s="77"/>
      <c r="BF48" s="77"/>
      <c r="BG48" s="77"/>
      <c r="BH48" s="77"/>
      <c r="BI48" s="77"/>
    </row>
    <row r="49" spans="1:61" ht="15">
      <c r="A49" s="62" t="s">
        <v>249</v>
      </c>
      <c r="B49" s="62" t="s">
        <v>440</v>
      </c>
      <c r="C49" s="63"/>
      <c r="D49" s="64"/>
      <c r="E49" s="65"/>
      <c r="F49" s="66"/>
      <c r="G49" s="63"/>
      <c r="H49" s="67"/>
      <c r="I49" s="68"/>
      <c r="J49" s="68"/>
      <c r="K49" s="32" t="s">
        <v>65</v>
      </c>
      <c r="L49" s="75">
        <v>49</v>
      </c>
      <c r="M49" s="75"/>
      <c r="N49" s="70"/>
      <c r="O49" s="77" t="s">
        <v>571</v>
      </c>
      <c r="P49" s="79">
        <v>41737.328414351854</v>
      </c>
      <c r="Q49" s="77" t="s">
        <v>610</v>
      </c>
      <c r="R49" s="77">
        <v>0</v>
      </c>
      <c r="S49" s="77">
        <v>0</v>
      </c>
      <c r="T49" s="77">
        <v>0</v>
      </c>
      <c r="U49" s="77">
        <v>0</v>
      </c>
      <c r="V49" s="77"/>
      <c r="W49" s="77"/>
      <c r="X49" s="80" t="str">
        <f>HYPERLINK("http://www.inovies.com/inovies-job-apply.php?jid=11")</f>
        <v>http://www.inovies.com/inovies-job-apply.php?jid=11</v>
      </c>
      <c r="Y49" s="77" t="s">
        <v>1982</v>
      </c>
      <c r="Z49" s="77" t="s">
        <v>440</v>
      </c>
      <c r="AA49" s="77"/>
      <c r="AB49" s="77"/>
      <c r="AC49" s="81" t="s">
        <v>2712</v>
      </c>
      <c r="AD49" s="77" t="s">
        <v>2751</v>
      </c>
      <c r="AE49" s="80" t="str">
        <f>HYPERLINK("https://twitter.com/rameshdudala/status/453440336581246976")</f>
        <v>https://twitter.com/rameshdudala/status/453440336581246976</v>
      </c>
      <c r="AF49" s="79">
        <v>41737.328414351854</v>
      </c>
      <c r="AG49" s="85">
        <v>41737</v>
      </c>
      <c r="AH49" s="81" t="s">
        <v>2797</v>
      </c>
      <c r="AI49" s="77" t="b">
        <v>0</v>
      </c>
      <c r="AJ49" s="77"/>
      <c r="AK49" s="77"/>
      <c r="AL49" s="77"/>
      <c r="AM49" s="77"/>
      <c r="AN49" s="77"/>
      <c r="AO49" s="77"/>
      <c r="AP49" s="77"/>
      <c r="AQ49" s="77"/>
      <c r="AR49" s="77"/>
      <c r="AS49" s="77"/>
      <c r="AT49" s="77"/>
      <c r="AU49" s="77"/>
      <c r="AV49" s="80" t="str">
        <f>HYPERLINK("https://pbs.twimg.com/profile_images/3151993004/9e73269faab0ce782dd7dce36b95c1f8_normal.jpeg")</f>
        <v>https://pbs.twimg.com/profile_images/3151993004/9e73269faab0ce782dd7dce36b95c1f8_normal.jpeg</v>
      </c>
      <c r="AW49" s="81" t="s">
        <v>4541</v>
      </c>
      <c r="AX49" s="81" t="s">
        <v>4541</v>
      </c>
      <c r="AY49" s="77"/>
      <c r="AZ49" s="81" t="s">
        <v>5773</v>
      </c>
      <c r="BA49" s="81" t="s">
        <v>5773</v>
      </c>
      <c r="BB49" s="81" t="s">
        <v>5773</v>
      </c>
      <c r="BC49" s="81" t="s">
        <v>4541</v>
      </c>
      <c r="BD49" s="77">
        <v>226829792</v>
      </c>
      <c r="BE49" s="77"/>
      <c r="BF49" s="77"/>
      <c r="BG49" s="77"/>
      <c r="BH49" s="77"/>
      <c r="BI49" s="77"/>
    </row>
    <row r="50" spans="1:61" ht="15">
      <c r="A50" s="62" t="s">
        <v>249</v>
      </c>
      <c r="B50" s="62" t="s">
        <v>440</v>
      </c>
      <c r="C50" s="63"/>
      <c r="D50" s="64"/>
      <c r="E50" s="65"/>
      <c r="F50" s="66"/>
      <c r="G50" s="63"/>
      <c r="H50" s="67"/>
      <c r="I50" s="68"/>
      <c r="J50" s="68"/>
      <c r="K50" s="32" t="s">
        <v>65</v>
      </c>
      <c r="L50" s="75">
        <v>50</v>
      </c>
      <c r="M50" s="75"/>
      <c r="N50" s="70"/>
      <c r="O50" s="77" t="s">
        <v>571</v>
      </c>
      <c r="P50" s="79">
        <v>41732.34877314815</v>
      </c>
      <c r="Q50" s="77" t="s">
        <v>611</v>
      </c>
      <c r="R50" s="77">
        <v>0</v>
      </c>
      <c r="S50" s="77">
        <v>0</v>
      </c>
      <c r="T50" s="77">
        <v>0</v>
      </c>
      <c r="U50" s="77">
        <v>0</v>
      </c>
      <c r="V50" s="77"/>
      <c r="W50" s="77"/>
      <c r="X50" s="77"/>
      <c r="Y50" s="77"/>
      <c r="Z50" s="77" t="s">
        <v>440</v>
      </c>
      <c r="AA50" s="77"/>
      <c r="AB50" s="77"/>
      <c r="AC50" s="81" t="s">
        <v>2712</v>
      </c>
      <c r="AD50" s="77" t="s">
        <v>2751</v>
      </c>
      <c r="AE50" s="80" t="str">
        <f>HYPERLINK("https://twitter.com/rameshdudala/status/451635774023155712")</f>
        <v>https://twitter.com/rameshdudala/status/451635774023155712</v>
      </c>
      <c r="AF50" s="79">
        <v>41732.34877314815</v>
      </c>
      <c r="AG50" s="85">
        <v>41732</v>
      </c>
      <c r="AH50" s="81" t="s">
        <v>2798</v>
      </c>
      <c r="AI50" s="77"/>
      <c r="AJ50" s="77"/>
      <c r="AK50" s="77"/>
      <c r="AL50" s="77"/>
      <c r="AM50" s="77"/>
      <c r="AN50" s="77"/>
      <c r="AO50" s="77"/>
      <c r="AP50" s="77"/>
      <c r="AQ50" s="77"/>
      <c r="AR50" s="77"/>
      <c r="AS50" s="77"/>
      <c r="AT50" s="77"/>
      <c r="AU50" s="77"/>
      <c r="AV50" s="80" t="str">
        <f>HYPERLINK("https://pbs.twimg.com/profile_images/3151993004/9e73269faab0ce782dd7dce36b95c1f8_normal.jpeg")</f>
        <v>https://pbs.twimg.com/profile_images/3151993004/9e73269faab0ce782dd7dce36b95c1f8_normal.jpeg</v>
      </c>
      <c r="AW50" s="81" t="s">
        <v>4542</v>
      </c>
      <c r="AX50" s="81" t="s">
        <v>4542</v>
      </c>
      <c r="AY50" s="77"/>
      <c r="AZ50" s="81" t="s">
        <v>5773</v>
      </c>
      <c r="BA50" s="81" t="s">
        <v>5773</v>
      </c>
      <c r="BB50" s="81" t="s">
        <v>5773</v>
      </c>
      <c r="BC50" s="81" t="s">
        <v>4542</v>
      </c>
      <c r="BD50" s="77">
        <v>226829792</v>
      </c>
      <c r="BE50" s="77"/>
      <c r="BF50" s="77"/>
      <c r="BG50" s="77"/>
      <c r="BH50" s="77"/>
      <c r="BI50" s="77"/>
    </row>
    <row r="51" spans="1:61" ht="15">
      <c r="A51" s="62" t="s">
        <v>249</v>
      </c>
      <c r="B51" s="62" t="s">
        <v>299</v>
      </c>
      <c r="C51" s="63"/>
      <c r="D51" s="64"/>
      <c r="E51" s="65"/>
      <c r="F51" s="66"/>
      <c r="G51" s="63"/>
      <c r="H51" s="67"/>
      <c r="I51" s="68"/>
      <c r="J51" s="68"/>
      <c r="K51" s="32" t="s">
        <v>65</v>
      </c>
      <c r="L51" s="75">
        <v>51</v>
      </c>
      <c r="M51" s="75"/>
      <c r="N51" s="70"/>
      <c r="O51" s="77" t="s">
        <v>571</v>
      </c>
      <c r="P51" s="79">
        <v>41731.55231481481</v>
      </c>
      <c r="Q51" s="77" t="s">
        <v>612</v>
      </c>
      <c r="R51" s="77">
        <v>1</v>
      </c>
      <c r="S51" s="77">
        <v>0</v>
      </c>
      <c r="T51" s="77">
        <v>0</v>
      </c>
      <c r="U51" s="77">
        <v>0</v>
      </c>
      <c r="V51" s="77"/>
      <c r="W51" s="77"/>
      <c r="X51" s="80" t="str">
        <f>HYPERLINK("http://inovies.com/inovies_news.php?id=18")</f>
        <v>http://inovies.com/inovies_news.php?id=18</v>
      </c>
      <c r="Y51" s="77" t="s">
        <v>1982</v>
      </c>
      <c r="Z51" s="77" t="s">
        <v>299</v>
      </c>
      <c r="AA51" s="77"/>
      <c r="AB51" s="77"/>
      <c r="AC51" s="81" t="s">
        <v>2712</v>
      </c>
      <c r="AD51" s="77" t="s">
        <v>2751</v>
      </c>
      <c r="AE51" s="80" t="str">
        <f>HYPERLINK("https://twitter.com/rameshdudala/status/451347149632974850")</f>
        <v>https://twitter.com/rameshdudala/status/451347149632974850</v>
      </c>
      <c r="AF51" s="79">
        <v>41731.55231481481</v>
      </c>
      <c r="AG51" s="85">
        <v>41731</v>
      </c>
      <c r="AH51" s="81" t="s">
        <v>2799</v>
      </c>
      <c r="AI51" s="77" t="b">
        <v>0</v>
      </c>
      <c r="AJ51" s="77"/>
      <c r="AK51" s="77"/>
      <c r="AL51" s="77"/>
      <c r="AM51" s="77"/>
      <c r="AN51" s="77"/>
      <c r="AO51" s="77"/>
      <c r="AP51" s="77"/>
      <c r="AQ51" s="77"/>
      <c r="AR51" s="77"/>
      <c r="AS51" s="77"/>
      <c r="AT51" s="77"/>
      <c r="AU51" s="77"/>
      <c r="AV51" s="80" t="str">
        <f>HYPERLINK("https://pbs.twimg.com/profile_images/3151993004/9e73269faab0ce782dd7dce36b95c1f8_normal.jpeg")</f>
        <v>https://pbs.twimg.com/profile_images/3151993004/9e73269faab0ce782dd7dce36b95c1f8_normal.jpeg</v>
      </c>
      <c r="AW51" s="81" t="s">
        <v>4543</v>
      </c>
      <c r="AX51" s="81" t="s">
        <v>4543</v>
      </c>
      <c r="AY51" s="77"/>
      <c r="AZ51" s="81" t="s">
        <v>5773</v>
      </c>
      <c r="BA51" s="81" t="s">
        <v>5773</v>
      </c>
      <c r="BB51" s="81" t="s">
        <v>5773</v>
      </c>
      <c r="BC51" s="81" t="s">
        <v>4543</v>
      </c>
      <c r="BD51" s="77">
        <v>226829792</v>
      </c>
      <c r="BE51" s="77"/>
      <c r="BF51" s="77"/>
      <c r="BG51" s="77"/>
      <c r="BH51" s="77"/>
      <c r="BI51" s="77"/>
    </row>
    <row r="52" spans="1:61" ht="15">
      <c r="A52" s="62" t="s">
        <v>249</v>
      </c>
      <c r="B52" s="62" t="s">
        <v>299</v>
      </c>
      <c r="C52" s="63"/>
      <c r="D52" s="64"/>
      <c r="E52" s="65"/>
      <c r="F52" s="66"/>
      <c r="G52" s="63"/>
      <c r="H52" s="67"/>
      <c r="I52" s="68"/>
      <c r="J52" s="68"/>
      <c r="K52" s="32" t="s">
        <v>65</v>
      </c>
      <c r="L52" s="75">
        <v>52</v>
      </c>
      <c r="M52" s="75"/>
      <c r="N52" s="70"/>
      <c r="O52" s="77" t="s">
        <v>571</v>
      </c>
      <c r="P52" s="79">
        <v>41731.56962962963</v>
      </c>
      <c r="Q52" s="77" t="s">
        <v>613</v>
      </c>
      <c r="R52" s="77">
        <v>1</v>
      </c>
      <c r="S52" s="77">
        <v>0</v>
      </c>
      <c r="T52" s="77">
        <v>1</v>
      </c>
      <c r="U52" s="77">
        <v>0</v>
      </c>
      <c r="V52" s="77"/>
      <c r="W52" s="77"/>
      <c r="X52" s="80" t="str">
        <f>HYPERLINK("http://inovies.com/inovies_news.php?id=16")</f>
        <v>http://inovies.com/inovies_news.php?id=16</v>
      </c>
      <c r="Y52" s="77" t="s">
        <v>1982</v>
      </c>
      <c r="Z52" s="77" t="s">
        <v>299</v>
      </c>
      <c r="AA52" s="77"/>
      <c r="AB52" s="77"/>
      <c r="AC52" s="81" t="s">
        <v>2712</v>
      </c>
      <c r="AD52" s="77" t="s">
        <v>2751</v>
      </c>
      <c r="AE52" s="80" t="str">
        <f>HYPERLINK("https://twitter.com/rameshdudala/status/451353423015727104")</f>
        <v>https://twitter.com/rameshdudala/status/451353423015727104</v>
      </c>
      <c r="AF52" s="79">
        <v>41731.56962962963</v>
      </c>
      <c r="AG52" s="85">
        <v>41731</v>
      </c>
      <c r="AH52" s="81" t="s">
        <v>2800</v>
      </c>
      <c r="AI52" s="77" t="b">
        <v>0</v>
      </c>
      <c r="AJ52" s="77"/>
      <c r="AK52" s="77"/>
      <c r="AL52" s="77"/>
      <c r="AM52" s="77"/>
      <c r="AN52" s="77"/>
      <c r="AO52" s="77"/>
      <c r="AP52" s="77"/>
      <c r="AQ52" s="77"/>
      <c r="AR52" s="77"/>
      <c r="AS52" s="77"/>
      <c r="AT52" s="77"/>
      <c r="AU52" s="77"/>
      <c r="AV52" s="80" t="str">
        <f>HYPERLINK("https://pbs.twimg.com/profile_images/3151993004/9e73269faab0ce782dd7dce36b95c1f8_normal.jpeg")</f>
        <v>https://pbs.twimg.com/profile_images/3151993004/9e73269faab0ce782dd7dce36b95c1f8_normal.jpeg</v>
      </c>
      <c r="AW52" s="81" t="s">
        <v>4544</v>
      </c>
      <c r="AX52" s="81" t="s">
        <v>4544</v>
      </c>
      <c r="AY52" s="77"/>
      <c r="AZ52" s="81" t="s">
        <v>5773</v>
      </c>
      <c r="BA52" s="81" t="s">
        <v>5773</v>
      </c>
      <c r="BB52" s="81" t="s">
        <v>5773</v>
      </c>
      <c r="BC52" s="81" t="s">
        <v>4544</v>
      </c>
      <c r="BD52" s="77">
        <v>226829792</v>
      </c>
      <c r="BE52" s="77"/>
      <c r="BF52" s="77"/>
      <c r="BG52" s="77"/>
      <c r="BH52" s="77"/>
      <c r="BI52" s="77"/>
    </row>
    <row r="53" spans="1:61" ht="15">
      <c r="A53" s="62" t="s">
        <v>249</v>
      </c>
      <c r="B53" s="62" t="s">
        <v>299</v>
      </c>
      <c r="C53" s="63"/>
      <c r="D53" s="64"/>
      <c r="E53" s="65"/>
      <c r="F53" s="66"/>
      <c r="G53" s="63"/>
      <c r="H53" s="67"/>
      <c r="I53" s="68"/>
      <c r="J53" s="68"/>
      <c r="K53" s="32" t="s">
        <v>65</v>
      </c>
      <c r="L53" s="75">
        <v>53</v>
      </c>
      <c r="M53" s="75"/>
      <c r="N53" s="70"/>
      <c r="O53" s="77" t="s">
        <v>571</v>
      </c>
      <c r="P53" s="79">
        <v>41731.567083333335</v>
      </c>
      <c r="Q53" s="77" t="s">
        <v>614</v>
      </c>
      <c r="R53" s="77">
        <v>1</v>
      </c>
      <c r="S53" s="77">
        <v>0</v>
      </c>
      <c r="T53" s="77">
        <v>0</v>
      </c>
      <c r="U53" s="77">
        <v>0</v>
      </c>
      <c r="V53" s="77"/>
      <c r="W53" s="77"/>
      <c r="X53" s="80" t="str">
        <f>HYPERLINK("http://inovies.com/inovies_news.php?id=19")</f>
        <v>http://inovies.com/inovies_news.php?id=19</v>
      </c>
      <c r="Y53" s="77" t="s">
        <v>1982</v>
      </c>
      <c r="Z53" s="77" t="s">
        <v>299</v>
      </c>
      <c r="AA53" s="77"/>
      <c r="AB53" s="77"/>
      <c r="AC53" s="81" t="s">
        <v>2712</v>
      </c>
      <c r="AD53" s="77" t="s">
        <v>2751</v>
      </c>
      <c r="AE53" s="80" t="str">
        <f>HYPERLINK("https://twitter.com/rameshdudala/status/451352501078343681")</f>
        <v>https://twitter.com/rameshdudala/status/451352501078343681</v>
      </c>
      <c r="AF53" s="79">
        <v>41731.567083333335</v>
      </c>
      <c r="AG53" s="85">
        <v>41731</v>
      </c>
      <c r="AH53" s="81" t="s">
        <v>2801</v>
      </c>
      <c r="AI53" s="77" t="b">
        <v>0</v>
      </c>
      <c r="AJ53" s="77"/>
      <c r="AK53" s="77"/>
      <c r="AL53" s="77"/>
      <c r="AM53" s="77"/>
      <c r="AN53" s="77"/>
      <c r="AO53" s="77"/>
      <c r="AP53" s="77"/>
      <c r="AQ53" s="77"/>
      <c r="AR53" s="77"/>
      <c r="AS53" s="77"/>
      <c r="AT53" s="77"/>
      <c r="AU53" s="77"/>
      <c r="AV53" s="80" t="str">
        <f>HYPERLINK("https://pbs.twimg.com/profile_images/3151993004/9e73269faab0ce782dd7dce36b95c1f8_normal.jpeg")</f>
        <v>https://pbs.twimg.com/profile_images/3151993004/9e73269faab0ce782dd7dce36b95c1f8_normal.jpeg</v>
      </c>
      <c r="AW53" s="81" t="s">
        <v>4545</v>
      </c>
      <c r="AX53" s="81" t="s">
        <v>4545</v>
      </c>
      <c r="AY53" s="77"/>
      <c r="AZ53" s="81" t="s">
        <v>5773</v>
      </c>
      <c r="BA53" s="81" t="s">
        <v>5773</v>
      </c>
      <c r="BB53" s="81" t="s">
        <v>5773</v>
      </c>
      <c r="BC53" s="81" t="s">
        <v>4545</v>
      </c>
      <c r="BD53" s="77">
        <v>226829792</v>
      </c>
      <c r="BE53" s="77"/>
      <c r="BF53" s="77"/>
      <c r="BG53" s="77"/>
      <c r="BH53" s="77"/>
      <c r="BI53" s="77"/>
    </row>
    <row r="54" spans="1:61" ht="15">
      <c r="A54" s="62" t="s">
        <v>249</v>
      </c>
      <c r="B54" s="62" t="s">
        <v>299</v>
      </c>
      <c r="C54" s="63"/>
      <c r="D54" s="64"/>
      <c r="E54" s="65"/>
      <c r="F54" s="66"/>
      <c r="G54" s="63"/>
      <c r="H54" s="67"/>
      <c r="I54" s="68"/>
      <c r="J54" s="68"/>
      <c r="K54" s="32" t="s">
        <v>65</v>
      </c>
      <c r="L54" s="75">
        <v>54</v>
      </c>
      <c r="M54" s="75"/>
      <c r="N54" s="70"/>
      <c r="O54" s="77" t="s">
        <v>571</v>
      </c>
      <c r="P54" s="79">
        <v>41732.53335648148</v>
      </c>
      <c r="Q54" s="77" t="s">
        <v>615</v>
      </c>
      <c r="R54" s="77">
        <v>1</v>
      </c>
      <c r="S54" s="77">
        <v>0</v>
      </c>
      <c r="T54" s="77">
        <v>0</v>
      </c>
      <c r="U54" s="77">
        <v>0</v>
      </c>
      <c r="V54" s="77"/>
      <c r="W54" s="77"/>
      <c r="X54" s="80" t="str">
        <f>HYPERLINK("http://www.inovies.com/ubuntu-smartphone-wont-be-as-open-as-they-say-18-inovies.html")</f>
        <v>http://www.inovies.com/ubuntu-smartphone-wont-be-as-open-as-they-say-18-inovies.html</v>
      </c>
      <c r="Y54" s="77" t="s">
        <v>1982</v>
      </c>
      <c r="Z54" s="77" t="s">
        <v>299</v>
      </c>
      <c r="AA54" s="77"/>
      <c r="AB54" s="77"/>
      <c r="AC54" s="81" t="s">
        <v>2712</v>
      </c>
      <c r="AD54" s="77" t="s">
        <v>2751</v>
      </c>
      <c r="AE54" s="80" t="str">
        <f>HYPERLINK("https://twitter.com/rameshdudala/status/451702667710980097")</f>
        <v>https://twitter.com/rameshdudala/status/451702667710980097</v>
      </c>
      <c r="AF54" s="79">
        <v>41732.53335648148</v>
      </c>
      <c r="AG54" s="85">
        <v>41732</v>
      </c>
      <c r="AH54" s="81" t="s">
        <v>2802</v>
      </c>
      <c r="AI54" s="77" t="b">
        <v>0</v>
      </c>
      <c r="AJ54" s="77"/>
      <c r="AK54" s="77"/>
      <c r="AL54" s="77"/>
      <c r="AM54" s="77"/>
      <c r="AN54" s="77"/>
      <c r="AO54" s="77"/>
      <c r="AP54" s="77"/>
      <c r="AQ54" s="77"/>
      <c r="AR54" s="77"/>
      <c r="AS54" s="77"/>
      <c r="AT54" s="77"/>
      <c r="AU54" s="77"/>
      <c r="AV54" s="80" t="str">
        <f>HYPERLINK("https://pbs.twimg.com/profile_images/3151993004/9e73269faab0ce782dd7dce36b95c1f8_normal.jpeg")</f>
        <v>https://pbs.twimg.com/profile_images/3151993004/9e73269faab0ce782dd7dce36b95c1f8_normal.jpeg</v>
      </c>
      <c r="AW54" s="81" t="s">
        <v>4546</v>
      </c>
      <c r="AX54" s="81" t="s">
        <v>4546</v>
      </c>
      <c r="AY54" s="77"/>
      <c r="AZ54" s="81" t="s">
        <v>5773</v>
      </c>
      <c r="BA54" s="81" t="s">
        <v>5773</v>
      </c>
      <c r="BB54" s="81" t="s">
        <v>5773</v>
      </c>
      <c r="BC54" s="81" t="s">
        <v>4546</v>
      </c>
      <c r="BD54" s="77">
        <v>226829792</v>
      </c>
      <c r="BE54" s="77"/>
      <c r="BF54" s="77"/>
      <c r="BG54" s="77"/>
      <c r="BH54" s="77"/>
      <c r="BI54" s="77"/>
    </row>
    <row r="55" spans="1:61" ht="15">
      <c r="A55" s="62" t="s">
        <v>249</v>
      </c>
      <c r="B55" s="62" t="s">
        <v>299</v>
      </c>
      <c r="C55" s="63"/>
      <c r="D55" s="64"/>
      <c r="E55" s="65"/>
      <c r="F55" s="66"/>
      <c r="G55" s="63"/>
      <c r="H55" s="67"/>
      <c r="I55" s="68"/>
      <c r="J55" s="68"/>
      <c r="K55" s="32" t="s">
        <v>65</v>
      </c>
      <c r="L55" s="75">
        <v>55</v>
      </c>
      <c r="M55" s="75"/>
      <c r="N55" s="70"/>
      <c r="O55" s="77" t="s">
        <v>571</v>
      </c>
      <c r="P55" s="79">
        <v>41732.53166666667</v>
      </c>
      <c r="Q55" s="77" t="s">
        <v>616</v>
      </c>
      <c r="R55" s="77">
        <v>1</v>
      </c>
      <c r="S55" s="77">
        <v>0</v>
      </c>
      <c r="T55" s="77">
        <v>0</v>
      </c>
      <c r="U55" s="77">
        <v>0</v>
      </c>
      <c r="V55" s="77"/>
      <c r="W55" s="77"/>
      <c r="X55" s="80" t="str">
        <f>HYPERLINK("http://www.inovies.com/following-are-the-8-amazing-operating-systems-getting-to-know-them-17-inovies.html")</f>
        <v>http://www.inovies.com/following-are-the-8-amazing-operating-systems-getting-to-know-them-17-inovies.html</v>
      </c>
      <c r="Y55" s="77" t="s">
        <v>1982</v>
      </c>
      <c r="Z55" s="77" t="s">
        <v>299</v>
      </c>
      <c r="AA55" s="77"/>
      <c r="AB55" s="77"/>
      <c r="AC55" s="81" t="s">
        <v>2712</v>
      </c>
      <c r="AD55" s="77" t="s">
        <v>2751</v>
      </c>
      <c r="AE55" s="80" t="str">
        <f>HYPERLINK("https://twitter.com/rameshdudala/status/451702052490465280")</f>
        <v>https://twitter.com/rameshdudala/status/451702052490465280</v>
      </c>
      <c r="AF55" s="79">
        <v>41732.53166666667</v>
      </c>
      <c r="AG55" s="85">
        <v>41732</v>
      </c>
      <c r="AH55" s="81" t="s">
        <v>2803</v>
      </c>
      <c r="AI55" s="77" t="b">
        <v>0</v>
      </c>
      <c r="AJ55" s="77"/>
      <c r="AK55" s="77"/>
      <c r="AL55" s="77"/>
      <c r="AM55" s="77"/>
      <c r="AN55" s="77"/>
      <c r="AO55" s="77"/>
      <c r="AP55" s="77"/>
      <c r="AQ55" s="77"/>
      <c r="AR55" s="77"/>
      <c r="AS55" s="77"/>
      <c r="AT55" s="77"/>
      <c r="AU55" s="77"/>
      <c r="AV55" s="80" t="str">
        <f>HYPERLINK("https://pbs.twimg.com/profile_images/3151993004/9e73269faab0ce782dd7dce36b95c1f8_normal.jpeg")</f>
        <v>https://pbs.twimg.com/profile_images/3151993004/9e73269faab0ce782dd7dce36b95c1f8_normal.jpeg</v>
      </c>
      <c r="AW55" s="81" t="s">
        <v>4547</v>
      </c>
      <c r="AX55" s="81" t="s">
        <v>4547</v>
      </c>
      <c r="AY55" s="77"/>
      <c r="AZ55" s="81" t="s">
        <v>5773</v>
      </c>
      <c r="BA55" s="81" t="s">
        <v>5773</v>
      </c>
      <c r="BB55" s="81" t="s">
        <v>5773</v>
      </c>
      <c r="BC55" s="81" t="s">
        <v>4547</v>
      </c>
      <c r="BD55" s="77">
        <v>226829792</v>
      </c>
      <c r="BE55" s="77"/>
      <c r="BF55" s="77"/>
      <c r="BG55" s="77"/>
      <c r="BH55" s="77"/>
      <c r="BI55" s="77"/>
    </row>
    <row r="56" spans="1:61" ht="15">
      <c r="A56" s="62" t="s">
        <v>249</v>
      </c>
      <c r="B56" s="62" t="s">
        <v>299</v>
      </c>
      <c r="C56" s="63"/>
      <c r="D56" s="64"/>
      <c r="E56" s="65"/>
      <c r="F56" s="66"/>
      <c r="G56" s="63"/>
      <c r="H56" s="67"/>
      <c r="I56" s="68"/>
      <c r="J56" s="68"/>
      <c r="K56" s="32" t="s">
        <v>65</v>
      </c>
      <c r="L56" s="75">
        <v>56</v>
      </c>
      <c r="M56" s="75"/>
      <c r="N56" s="70"/>
      <c r="O56" s="77" t="s">
        <v>571</v>
      </c>
      <c r="P56" s="79">
        <v>41732.5203125</v>
      </c>
      <c r="Q56" s="77" t="s">
        <v>617</v>
      </c>
      <c r="R56" s="77">
        <v>1</v>
      </c>
      <c r="S56" s="77">
        <v>0</v>
      </c>
      <c r="T56" s="77">
        <v>0</v>
      </c>
      <c r="U56" s="77">
        <v>0</v>
      </c>
      <c r="V56" s="77"/>
      <c r="W56" s="77"/>
      <c r="X56" s="80" t="str">
        <f>HYPERLINK("http://www.inovies.com/cyber-attacks-against-indian-government-and-financial-organizations-witness-more-than-100-percent-ju-7-inovies.html")</f>
        <v>http://www.inovies.com/cyber-attacks-against-indian-government-and-financial-organizations-witness-more-than-100-percent-ju-7-inovies.html</v>
      </c>
      <c r="Y56" s="77" t="s">
        <v>1982</v>
      </c>
      <c r="Z56" s="77" t="s">
        <v>299</v>
      </c>
      <c r="AA56" s="77"/>
      <c r="AB56" s="77"/>
      <c r="AC56" s="81" t="s">
        <v>2712</v>
      </c>
      <c r="AD56" s="77" t="s">
        <v>2751</v>
      </c>
      <c r="AE56" s="80" t="str">
        <f>HYPERLINK("https://twitter.com/rameshdudala/status/451697939233001474")</f>
        <v>https://twitter.com/rameshdudala/status/451697939233001474</v>
      </c>
      <c r="AF56" s="79">
        <v>41732.5203125</v>
      </c>
      <c r="AG56" s="85">
        <v>41732</v>
      </c>
      <c r="AH56" s="81" t="s">
        <v>2804</v>
      </c>
      <c r="AI56" s="77" t="b">
        <v>0</v>
      </c>
      <c r="AJ56" s="77"/>
      <c r="AK56" s="77"/>
      <c r="AL56" s="77"/>
      <c r="AM56" s="77"/>
      <c r="AN56" s="77"/>
      <c r="AO56" s="77"/>
      <c r="AP56" s="77"/>
      <c r="AQ56" s="77"/>
      <c r="AR56" s="77"/>
      <c r="AS56" s="77"/>
      <c r="AT56" s="77"/>
      <c r="AU56" s="77"/>
      <c r="AV56" s="80" t="str">
        <f>HYPERLINK("https://pbs.twimg.com/profile_images/3151993004/9e73269faab0ce782dd7dce36b95c1f8_normal.jpeg")</f>
        <v>https://pbs.twimg.com/profile_images/3151993004/9e73269faab0ce782dd7dce36b95c1f8_normal.jpeg</v>
      </c>
      <c r="AW56" s="81" t="s">
        <v>4548</v>
      </c>
      <c r="AX56" s="81" t="s">
        <v>4548</v>
      </c>
      <c r="AY56" s="77"/>
      <c r="AZ56" s="81" t="s">
        <v>5773</v>
      </c>
      <c r="BA56" s="81" t="s">
        <v>5773</v>
      </c>
      <c r="BB56" s="81" t="s">
        <v>5773</v>
      </c>
      <c r="BC56" s="81" t="s">
        <v>4548</v>
      </c>
      <c r="BD56" s="77">
        <v>226829792</v>
      </c>
      <c r="BE56" s="77"/>
      <c r="BF56" s="77"/>
      <c r="BG56" s="77"/>
      <c r="BH56" s="77"/>
      <c r="BI56" s="77"/>
    </row>
    <row r="57" spans="1:61" ht="15">
      <c r="A57" s="62" t="s">
        <v>249</v>
      </c>
      <c r="B57" s="62" t="s">
        <v>299</v>
      </c>
      <c r="C57" s="63"/>
      <c r="D57" s="64"/>
      <c r="E57" s="65"/>
      <c r="F57" s="66"/>
      <c r="G57" s="63"/>
      <c r="H57" s="67"/>
      <c r="I57" s="68"/>
      <c r="J57" s="68"/>
      <c r="K57" s="32" t="s">
        <v>65</v>
      </c>
      <c r="L57" s="75">
        <v>57</v>
      </c>
      <c r="M57" s="75"/>
      <c r="N57" s="70"/>
      <c r="O57" s="77" t="s">
        <v>571</v>
      </c>
      <c r="P57" s="79">
        <v>41732.519733796296</v>
      </c>
      <c r="Q57" s="77" t="s">
        <v>618</v>
      </c>
      <c r="R57" s="77">
        <v>1</v>
      </c>
      <c r="S57" s="77">
        <v>0</v>
      </c>
      <c r="T57" s="77">
        <v>0</v>
      </c>
      <c r="U57" s="77">
        <v>0</v>
      </c>
      <c r="V57" s="77"/>
      <c r="W57" s="77"/>
      <c r="X57" s="77"/>
      <c r="Y57" s="77"/>
      <c r="Z57" s="77" t="s">
        <v>299</v>
      </c>
      <c r="AA57" s="77"/>
      <c r="AB57" s="77"/>
      <c r="AC57" s="81" t="s">
        <v>2712</v>
      </c>
      <c r="AD57" s="77" t="s">
        <v>2751</v>
      </c>
      <c r="AE57" s="80" t="str">
        <f>HYPERLINK("https://twitter.com/rameshdudala/status/451697729576501249")</f>
        <v>https://twitter.com/rameshdudala/status/451697729576501249</v>
      </c>
      <c r="AF57" s="79">
        <v>41732.519733796296</v>
      </c>
      <c r="AG57" s="85">
        <v>41732</v>
      </c>
      <c r="AH57" s="81" t="s">
        <v>2805</v>
      </c>
      <c r="AI57" s="77"/>
      <c r="AJ57" s="77"/>
      <c r="AK57" s="77"/>
      <c r="AL57" s="77"/>
      <c r="AM57" s="77"/>
      <c r="AN57" s="77"/>
      <c r="AO57" s="77"/>
      <c r="AP57" s="77"/>
      <c r="AQ57" s="77"/>
      <c r="AR57" s="77"/>
      <c r="AS57" s="77"/>
      <c r="AT57" s="77"/>
      <c r="AU57" s="77"/>
      <c r="AV57" s="80" t="str">
        <f>HYPERLINK("https://pbs.twimg.com/profile_images/3151993004/9e73269faab0ce782dd7dce36b95c1f8_normal.jpeg")</f>
        <v>https://pbs.twimg.com/profile_images/3151993004/9e73269faab0ce782dd7dce36b95c1f8_normal.jpeg</v>
      </c>
      <c r="AW57" s="81" t="s">
        <v>4549</v>
      </c>
      <c r="AX57" s="81" t="s">
        <v>4549</v>
      </c>
      <c r="AY57" s="77"/>
      <c r="AZ57" s="81" t="s">
        <v>5773</v>
      </c>
      <c r="BA57" s="81" t="s">
        <v>5773</v>
      </c>
      <c r="BB57" s="81" t="s">
        <v>5773</v>
      </c>
      <c r="BC57" s="81" t="s">
        <v>4549</v>
      </c>
      <c r="BD57" s="77">
        <v>226829792</v>
      </c>
      <c r="BE57" s="77"/>
      <c r="BF57" s="77"/>
      <c r="BG57" s="77"/>
      <c r="BH57" s="77"/>
      <c r="BI57" s="77"/>
    </row>
    <row r="58" spans="1:61" ht="15">
      <c r="A58" s="62" t="s">
        <v>249</v>
      </c>
      <c r="B58" s="62" t="s">
        <v>299</v>
      </c>
      <c r="C58" s="63"/>
      <c r="D58" s="64"/>
      <c r="E58" s="65"/>
      <c r="F58" s="66"/>
      <c r="G58" s="63"/>
      <c r="H58" s="67"/>
      <c r="I58" s="68"/>
      <c r="J58" s="68"/>
      <c r="K58" s="32" t="s">
        <v>65</v>
      </c>
      <c r="L58" s="75">
        <v>58</v>
      </c>
      <c r="M58" s="75"/>
      <c r="N58" s="70"/>
      <c r="O58" s="77" t="s">
        <v>571</v>
      </c>
      <c r="P58" s="79">
        <v>41732.51559027778</v>
      </c>
      <c r="Q58" s="77" t="s">
        <v>619</v>
      </c>
      <c r="R58" s="77">
        <v>1</v>
      </c>
      <c r="S58" s="77">
        <v>0</v>
      </c>
      <c r="T58" s="77">
        <v>0</v>
      </c>
      <c r="U58" s="77">
        <v>0</v>
      </c>
      <c r="V58" s="77"/>
      <c r="W58" s="77"/>
      <c r="X58" s="80" t="str">
        <f>HYPERLINK("http://www.inovies.com/smbs-favorite-sources-for-sales-leads-9-inovies.html")</f>
        <v>http://www.inovies.com/smbs-favorite-sources-for-sales-leads-9-inovies.html</v>
      </c>
      <c r="Y58" s="77" t="s">
        <v>1982</v>
      </c>
      <c r="Z58" s="77" t="s">
        <v>299</v>
      </c>
      <c r="AA58" s="77"/>
      <c r="AB58" s="77"/>
      <c r="AC58" s="81" t="s">
        <v>2712</v>
      </c>
      <c r="AD58" s="77" t="s">
        <v>2751</v>
      </c>
      <c r="AE58" s="80" t="str">
        <f>HYPERLINK("https://twitter.com/rameshdudala/status/451696228317683712")</f>
        <v>https://twitter.com/rameshdudala/status/451696228317683712</v>
      </c>
      <c r="AF58" s="79">
        <v>41732.51559027778</v>
      </c>
      <c r="AG58" s="85">
        <v>41732</v>
      </c>
      <c r="AH58" s="81" t="s">
        <v>2806</v>
      </c>
      <c r="AI58" s="77" t="b">
        <v>0</v>
      </c>
      <c r="AJ58" s="77"/>
      <c r="AK58" s="77"/>
      <c r="AL58" s="77"/>
      <c r="AM58" s="77"/>
      <c r="AN58" s="77"/>
      <c r="AO58" s="77"/>
      <c r="AP58" s="77"/>
      <c r="AQ58" s="77"/>
      <c r="AR58" s="77"/>
      <c r="AS58" s="77"/>
      <c r="AT58" s="77"/>
      <c r="AU58" s="77"/>
      <c r="AV58" s="80" t="str">
        <f>HYPERLINK("https://pbs.twimg.com/profile_images/3151993004/9e73269faab0ce782dd7dce36b95c1f8_normal.jpeg")</f>
        <v>https://pbs.twimg.com/profile_images/3151993004/9e73269faab0ce782dd7dce36b95c1f8_normal.jpeg</v>
      </c>
      <c r="AW58" s="81" t="s">
        <v>4550</v>
      </c>
      <c r="AX58" s="81" t="s">
        <v>4550</v>
      </c>
      <c r="AY58" s="77"/>
      <c r="AZ58" s="81" t="s">
        <v>5773</v>
      </c>
      <c r="BA58" s="81" t="s">
        <v>5773</v>
      </c>
      <c r="BB58" s="81" t="s">
        <v>5773</v>
      </c>
      <c r="BC58" s="81" t="s">
        <v>4550</v>
      </c>
      <c r="BD58" s="77">
        <v>226829792</v>
      </c>
      <c r="BE58" s="77"/>
      <c r="BF58" s="77"/>
      <c r="BG58" s="77"/>
      <c r="BH58" s="77"/>
      <c r="BI58" s="77"/>
    </row>
    <row r="59" spans="1:61" ht="15">
      <c r="A59" s="62" t="s">
        <v>249</v>
      </c>
      <c r="B59" s="62" t="s">
        <v>299</v>
      </c>
      <c r="C59" s="63"/>
      <c r="D59" s="64"/>
      <c r="E59" s="65"/>
      <c r="F59" s="66"/>
      <c r="G59" s="63"/>
      <c r="H59" s="67"/>
      <c r="I59" s="68"/>
      <c r="J59" s="68"/>
      <c r="K59" s="32" t="s">
        <v>65</v>
      </c>
      <c r="L59" s="75">
        <v>59</v>
      </c>
      <c r="M59" s="75"/>
      <c r="N59" s="70"/>
      <c r="O59" s="77" t="s">
        <v>571</v>
      </c>
      <c r="P59" s="79">
        <v>41732.513333333336</v>
      </c>
      <c r="Q59" s="77" t="s">
        <v>620</v>
      </c>
      <c r="R59" s="77">
        <v>1</v>
      </c>
      <c r="S59" s="77">
        <v>0</v>
      </c>
      <c r="T59" s="77">
        <v>0</v>
      </c>
      <c r="U59" s="77">
        <v>0</v>
      </c>
      <c r="V59" s="77"/>
      <c r="W59" s="77"/>
      <c r="X59" s="80" t="str">
        <f>HYPERLINK("http://www.inovies.com/cloud-storage-is-empowering-a-new-breed-of-indian-digital-service-companies-20-inovies.html")</f>
        <v>http://www.inovies.com/cloud-storage-is-empowering-a-new-breed-of-indian-digital-service-companies-20-inovies.html</v>
      </c>
      <c r="Y59" s="77" t="s">
        <v>1982</v>
      </c>
      <c r="Z59" s="77" t="s">
        <v>299</v>
      </c>
      <c r="AA59" s="77"/>
      <c r="AB59" s="77"/>
      <c r="AC59" s="81" t="s">
        <v>2712</v>
      </c>
      <c r="AD59" s="77" t="s">
        <v>2751</v>
      </c>
      <c r="AE59" s="80" t="str">
        <f>HYPERLINK("https://twitter.com/rameshdudala/status/451695409165914113")</f>
        <v>https://twitter.com/rameshdudala/status/451695409165914113</v>
      </c>
      <c r="AF59" s="79">
        <v>41732.513333333336</v>
      </c>
      <c r="AG59" s="85">
        <v>41732</v>
      </c>
      <c r="AH59" s="81" t="s">
        <v>2807</v>
      </c>
      <c r="AI59" s="77" t="b">
        <v>0</v>
      </c>
      <c r="AJ59" s="77"/>
      <c r="AK59" s="77"/>
      <c r="AL59" s="77"/>
      <c r="AM59" s="77"/>
      <c r="AN59" s="77"/>
      <c r="AO59" s="77"/>
      <c r="AP59" s="77"/>
      <c r="AQ59" s="77"/>
      <c r="AR59" s="77"/>
      <c r="AS59" s="77"/>
      <c r="AT59" s="77"/>
      <c r="AU59" s="77"/>
      <c r="AV59" s="80" t="str">
        <f>HYPERLINK("https://pbs.twimg.com/profile_images/3151993004/9e73269faab0ce782dd7dce36b95c1f8_normal.jpeg")</f>
        <v>https://pbs.twimg.com/profile_images/3151993004/9e73269faab0ce782dd7dce36b95c1f8_normal.jpeg</v>
      </c>
      <c r="AW59" s="81" t="s">
        <v>4551</v>
      </c>
      <c r="AX59" s="81" t="s">
        <v>4551</v>
      </c>
      <c r="AY59" s="77"/>
      <c r="AZ59" s="81" t="s">
        <v>5773</v>
      </c>
      <c r="BA59" s="81" t="s">
        <v>5773</v>
      </c>
      <c r="BB59" s="81" t="s">
        <v>5773</v>
      </c>
      <c r="BC59" s="81" t="s">
        <v>4551</v>
      </c>
      <c r="BD59" s="77">
        <v>226829792</v>
      </c>
      <c r="BE59" s="77"/>
      <c r="BF59" s="77"/>
      <c r="BG59" s="77"/>
      <c r="BH59" s="77"/>
      <c r="BI59" s="77"/>
    </row>
    <row r="60" spans="1:61" ht="15">
      <c r="A60" s="62" t="s">
        <v>249</v>
      </c>
      <c r="B60" s="62" t="s">
        <v>299</v>
      </c>
      <c r="C60" s="63"/>
      <c r="D60" s="64"/>
      <c r="E60" s="65"/>
      <c r="F60" s="66"/>
      <c r="G60" s="63"/>
      <c r="H60" s="67"/>
      <c r="I60" s="68"/>
      <c r="J60" s="68"/>
      <c r="K60" s="32" t="s">
        <v>65</v>
      </c>
      <c r="L60" s="75">
        <v>60</v>
      </c>
      <c r="M60" s="75"/>
      <c r="N60" s="70"/>
      <c r="O60" s="77" t="s">
        <v>571</v>
      </c>
      <c r="P60" s="79">
        <v>41732.50539351852</v>
      </c>
      <c r="Q60" s="77" t="s">
        <v>621</v>
      </c>
      <c r="R60" s="77">
        <v>1</v>
      </c>
      <c r="S60" s="77">
        <v>1</v>
      </c>
      <c r="T60" s="77">
        <v>0</v>
      </c>
      <c r="U60" s="77">
        <v>0</v>
      </c>
      <c r="V60" s="77"/>
      <c r="W60" s="77"/>
      <c r="X60" s="80" t="str">
        <f>HYPERLINK("http://www.inovies.com/indias-cloud-growth-lessons-6-inovies.html")</f>
        <v>http://www.inovies.com/indias-cloud-growth-lessons-6-inovies.html</v>
      </c>
      <c r="Y60" s="77" t="s">
        <v>1982</v>
      </c>
      <c r="Z60" s="77" t="s">
        <v>299</v>
      </c>
      <c r="AA60" s="77"/>
      <c r="AB60" s="77"/>
      <c r="AC60" s="81" t="s">
        <v>2712</v>
      </c>
      <c r="AD60" s="77" t="s">
        <v>2751</v>
      </c>
      <c r="AE60" s="80" t="str">
        <f>HYPERLINK("https://twitter.com/rameshdudala/status/451692532183752704")</f>
        <v>https://twitter.com/rameshdudala/status/451692532183752704</v>
      </c>
      <c r="AF60" s="79">
        <v>41732.50539351852</v>
      </c>
      <c r="AG60" s="85">
        <v>41732</v>
      </c>
      <c r="AH60" s="81" t="s">
        <v>2808</v>
      </c>
      <c r="AI60" s="77" t="b">
        <v>0</v>
      </c>
      <c r="AJ60" s="77"/>
      <c r="AK60" s="77"/>
      <c r="AL60" s="77"/>
      <c r="AM60" s="77"/>
      <c r="AN60" s="77"/>
      <c r="AO60" s="77"/>
      <c r="AP60" s="77"/>
      <c r="AQ60" s="77"/>
      <c r="AR60" s="77"/>
      <c r="AS60" s="77"/>
      <c r="AT60" s="77"/>
      <c r="AU60" s="77"/>
      <c r="AV60" s="80" t="str">
        <f>HYPERLINK("https://pbs.twimg.com/profile_images/3151993004/9e73269faab0ce782dd7dce36b95c1f8_normal.jpeg")</f>
        <v>https://pbs.twimg.com/profile_images/3151993004/9e73269faab0ce782dd7dce36b95c1f8_normal.jpeg</v>
      </c>
      <c r="AW60" s="81" t="s">
        <v>4552</v>
      </c>
      <c r="AX60" s="81" t="s">
        <v>4552</v>
      </c>
      <c r="AY60" s="77"/>
      <c r="AZ60" s="81" t="s">
        <v>5773</v>
      </c>
      <c r="BA60" s="81" t="s">
        <v>5773</v>
      </c>
      <c r="BB60" s="81" t="s">
        <v>5773</v>
      </c>
      <c r="BC60" s="81" t="s">
        <v>4552</v>
      </c>
      <c r="BD60" s="77">
        <v>226829792</v>
      </c>
      <c r="BE60" s="77"/>
      <c r="BF60" s="77"/>
      <c r="BG60" s="77"/>
      <c r="BH60" s="77"/>
      <c r="BI60" s="77"/>
    </row>
    <row r="61" spans="1:61" ht="15">
      <c r="A61" s="62" t="s">
        <v>249</v>
      </c>
      <c r="B61" s="62" t="s">
        <v>299</v>
      </c>
      <c r="C61" s="63"/>
      <c r="D61" s="64"/>
      <c r="E61" s="65"/>
      <c r="F61" s="66"/>
      <c r="G61" s="63"/>
      <c r="H61" s="67"/>
      <c r="I61" s="68"/>
      <c r="J61" s="68"/>
      <c r="K61" s="32" t="s">
        <v>65</v>
      </c>
      <c r="L61" s="75">
        <v>61</v>
      </c>
      <c r="M61" s="75"/>
      <c r="N61" s="70"/>
      <c r="O61" s="77" t="s">
        <v>571</v>
      </c>
      <c r="P61" s="79">
        <v>41732.503796296296</v>
      </c>
      <c r="Q61" s="77" t="s">
        <v>622</v>
      </c>
      <c r="R61" s="77">
        <v>1</v>
      </c>
      <c r="S61" s="77">
        <v>1</v>
      </c>
      <c r="T61" s="77">
        <v>0</v>
      </c>
      <c r="U61" s="77">
        <v>0</v>
      </c>
      <c r="V61" s="77"/>
      <c r="W61" s="77"/>
      <c r="X61" s="80" t="str">
        <f>HYPERLINK("http://www.inovies.com/what-will-the-web-look-like-in-2025-11-inovies.html")</f>
        <v>http://www.inovies.com/what-will-the-web-look-like-in-2025-11-inovies.html</v>
      </c>
      <c r="Y61" s="77" t="s">
        <v>1982</v>
      </c>
      <c r="Z61" s="77" t="s">
        <v>299</v>
      </c>
      <c r="AA61" s="77"/>
      <c r="AB61" s="77"/>
      <c r="AC61" s="81" t="s">
        <v>2712</v>
      </c>
      <c r="AD61" s="77" t="s">
        <v>2751</v>
      </c>
      <c r="AE61" s="80" t="str">
        <f>HYPERLINK("https://twitter.com/rameshdudala/status/451691954539999232")</f>
        <v>https://twitter.com/rameshdudala/status/451691954539999232</v>
      </c>
      <c r="AF61" s="79">
        <v>41732.503796296296</v>
      </c>
      <c r="AG61" s="85">
        <v>41732</v>
      </c>
      <c r="AH61" s="81" t="s">
        <v>2809</v>
      </c>
      <c r="AI61" s="77" t="b">
        <v>0</v>
      </c>
      <c r="AJ61" s="77"/>
      <c r="AK61" s="77"/>
      <c r="AL61" s="77"/>
      <c r="AM61" s="77"/>
      <c r="AN61" s="77"/>
      <c r="AO61" s="77"/>
      <c r="AP61" s="77"/>
      <c r="AQ61" s="77"/>
      <c r="AR61" s="77"/>
      <c r="AS61" s="77"/>
      <c r="AT61" s="77"/>
      <c r="AU61" s="77"/>
      <c r="AV61" s="80" t="str">
        <f>HYPERLINK("https://pbs.twimg.com/profile_images/3151993004/9e73269faab0ce782dd7dce36b95c1f8_normal.jpeg")</f>
        <v>https://pbs.twimg.com/profile_images/3151993004/9e73269faab0ce782dd7dce36b95c1f8_normal.jpeg</v>
      </c>
      <c r="AW61" s="81" t="s">
        <v>4553</v>
      </c>
      <c r="AX61" s="81" t="s">
        <v>4553</v>
      </c>
      <c r="AY61" s="77"/>
      <c r="AZ61" s="81" t="s">
        <v>5773</v>
      </c>
      <c r="BA61" s="81" t="s">
        <v>5773</v>
      </c>
      <c r="BB61" s="81" t="s">
        <v>5773</v>
      </c>
      <c r="BC61" s="81" t="s">
        <v>4553</v>
      </c>
      <c r="BD61" s="77">
        <v>226829792</v>
      </c>
      <c r="BE61" s="77"/>
      <c r="BF61" s="77"/>
      <c r="BG61" s="77"/>
      <c r="BH61" s="77"/>
      <c r="BI61" s="77"/>
    </row>
    <row r="62" spans="1:61" ht="15">
      <c r="A62" s="62" t="s">
        <v>249</v>
      </c>
      <c r="B62" s="62" t="s">
        <v>299</v>
      </c>
      <c r="C62" s="63"/>
      <c r="D62" s="64"/>
      <c r="E62" s="65"/>
      <c r="F62" s="66"/>
      <c r="G62" s="63"/>
      <c r="H62" s="67"/>
      <c r="I62" s="68"/>
      <c r="J62" s="68"/>
      <c r="K62" s="32" t="s">
        <v>65</v>
      </c>
      <c r="L62" s="75">
        <v>62</v>
      </c>
      <c r="M62" s="75"/>
      <c r="N62" s="70"/>
      <c r="O62" s="77" t="s">
        <v>571</v>
      </c>
      <c r="P62" s="79">
        <v>41732.50016203704</v>
      </c>
      <c r="Q62" s="77" t="s">
        <v>623</v>
      </c>
      <c r="R62" s="77">
        <v>1</v>
      </c>
      <c r="S62" s="77">
        <v>0</v>
      </c>
      <c r="T62" s="77">
        <v>0</v>
      </c>
      <c r="U62" s="77">
        <v>0</v>
      </c>
      <c r="V62" s="77"/>
      <c r="W62" s="77"/>
      <c r="X62" s="80" t="str">
        <f>HYPERLINK("http://www.inovies.com/microsoft-cuts-azure-pricing-19-inovies.html")</f>
        <v>http://www.inovies.com/microsoft-cuts-azure-pricing-19-inovies.html</v>
      </c>
      <c r="Y62" s="77" t="s">
        <v>1982</v>
      </c>
      <c r="Z62" s="77" t="s">
        <v>299</v>
      </c>
      <c r="AA62" s="77"/>
      <c r="AB62" s="77"/>
      <c r="AC62" s="81" t="s">
        <v>2712</v>
      </c>
      <c r="AD62" s="77" t="s">
        <v>2751</v>
      </c>
      <c r="AE62" s="80" t="str">
        <f>HYPERLINK("https://twitter.com/rameshdudala/status/451690637444669440")</f>
        <v>https://twitter.com/rameshdudala/status/451690637444669440</v>
      </c>
      <c r="AF62" s="79">
        <v>41732.50016203704</v>
      </c>
      <c r="AG62" s="85">
        <v>41732</v>
      </c>
      <c r="AH62" s="81" t="s">
        <v>2810</v>
      </c>
      <c r="AI62" s="77" t="b">
        <v>0</v>
      </c>
      <c r="AJ62" s="77"/>
      <c r="AK62" s="77"/>
      <c r="AL62" s="77"/>
      <c r="AM62" s="77"/>
      <c r="AN62" s="77"/>
      <c r="AO62" s="77"/>
      <c r="AP62" s="77"/>
      <c r="AQ62" s="77"/>
      <c r="AR62" s="77"/>
      <c r="AS62" s="77"/>
      <c r="AT62" s="77"/>
      <c r="AU62" s="77"/>
      <c r="AV62" s="80" t="str">
        <f>HYPERLINK("https://pbs.twimg.com/profile_images/3151993004/9e73269faab0ce782dd7dce36b95c1f8_normal.jpeg")</f>
        <v>https://pbs.twimg.com/profile_images/3151993004/9e73269faab0ce782dd7dce36b95c1f8_normal.jpeg</v>
      </c>
      <c r="AW62" s="81" t="s">
        <v>4554</v>
      </c>
      <c r="AX62" s="81" t="s">
        <v>4554</v>
      </c>
      <c r="AY62" s="77"/>
      <c r="AZ62" s="81" t="s">
        <v>5773</v>
      </c>
      <c r="BA62" s="81" t="s">
        <v>5773</v>
      </c>
      <c r="BB62" s="81" t="s">
        <v>5773</v>
      </c>
      <c r="BC62" s="81" t="s">
        <v>4554</v>
      </c>
      <c r="BD62" s="77">
        <v>226829792</v>
      </c>
      <c r="BE62" s="77"/>
      <c r="BF62" s="77"/>
      <c r="BG62" s="77"/>
      <c r="BH62" s="77"/>
      <c r="BI62" s="77"/>
    </row>
    <row r="63" spans="1:61" ht="15">
      <c r="A63" s="62" t="s">
        <v>249</v>
      </c>
      <c r="B63" s="62" t="s">
        <v>299</v>
      </c>
      <c r="C63" s="63"/>
      <c r="D63" s="64"/>
      <c r="E63" s="65"/>
      <c r="F63" s="66"/>
      <c r="G63" s="63"/>
      <c r="H63" s="67"/>
      <c r="I63" s="68"/>
      <c r="J63" s="68"/>
      <c r="K63" s="32" t="s">
        <v>65</v>
      </c>
      <c r="L63" s="75">
        <v>63</v>
      </c>
      <c r="M63" s="75"/>
      <c r="N63" s="70"/>
      <c r="O63" s="77" t="s">
        <v>571</v>
      </c>
      <c r="P63" s="79">
        <v>41732.49815972222</v>
      </c>
      <c r="Q63" s="77" t="s">
        <v>624</v>
      </c>
      <c r="R63" s="77">
        <v>1</v>
      </c>
      <c r="S63" s="77">
        <v>0</v>
      </c>
      <c r="T63" s="77">
        <v>0</v>
      </c>
      <c r="U63" s="77">
        <v>0</v>
      </c>
      <c r="V63" s="77"/>
      <c r="W63" s="77"/>
      <c r="X63" s="80" t="str">
        <f>HYPERLINK("http://www.inovies.com/10-tips-for-improving-your-it-team-s-productivity-10-inovies.html")</f>
        <v>http://www.inovies.com/10-tips-for-improving-your-it-team-s-productivity-10-inovies.html</v>
      </c>
      <c r="Y63" s="77" t="s">
        <v>1982</v>
      </c>
      <c r="Z63" s="77" t="s">
        <v>299</v>
      </c>
      <c r="AA63" s="77"/>
      <c r="AB63" s="77"/>
      <c r="AC63" s="81" t="s">
        <v>2712</v>
      </c>
      <c r="AD63" s="77" t="s">
        <v>2751</v>
      </c>
      <c r="AE63" s="80" t="str">
        <f>HYPERLINK("https://twitter.com/rameshdudala/status/451689909594492929")</f>
        <v>https://twitter.com/rameshdudala/status/451689909594492929</v>
      </c>
      <c r="AF63" s="79">
        <v>41732.49815972222</v>
      </c>
      <c r="AG63" s="85">
        <v>41732</v>
      </c>
      <c r="AH63" s="81" t="s">
        <v>2811</v>
      </c>
      <c r="AI63" s="77" t="b">
        <v>0</v>
      </c>
      <c r="AJ63" s="77"/>
      <c r="AK63" s="77"/>
      <c r="AL63" s="77"/>
      <c r="AM63" s="77"/>
      <c r="AN63" s="77"/>
      <c r="AO63" s="77"/>
      <c r="AP63" s="77"/>
      <c r="AQ63" s="77"/>
      <c r="AR63" s="77"/>
      <c r="AS63" s="77"/>
      <c r="AT63" s="77"/>
      <c r="AU63" s="77"/>
      <c r="AV63" s="80" t="str">
        <f>HYPERLINK("https://pbs.twimg.com/profile_images/3151993004/9e73269faab0ce782dd7dce36b95c1f8_normal.jpeg")</f>
        <v>https://pbs.twimg.com/profile_images/3151993004/9e73269faab0ce782dd7dce36b95c1f8_normal.jpeg</v>
      </c>
      <c r="AW63" s="81" t="s">
        <v>4555</v>
      </c>
      <c r="AX63" s="81" t="s">
        <v>4555</v>
      </c>
      <c r="AY63" s="77"/>
      <c r="AZ63" s="81" t="s">
        <v>5773</v>
      </c>
      <c r="BA63" s="81" t="s">
        <v>5773</v>
      </c>
      <c r="BB63" s="81" t="s">
        <v>5773</v>
      </c>
      <c r="BC63" s="81" t="s">
        <v>4555</v>
      </c>
      <c r="BD63" s="77">
        <v>226829792</v>
      </c>
      <c r="BE63" s="77"/>
      <c r="BF63" s="77"/>
      <c r="BG63" s="77"/>
      <c r="BH63" s="77"/>
      <c r="BI63" s="77"/>
    </row>
    <row r="64" spans="1:61" ht="15">
      <c r="A64" s="62" t="s">
        <v>249</v>
      </c>
      <c r="B64" s="62" t="s">
        <v>299</v>
      </c>
      <c r="C64" s="63"/>
      <c r="D64" s="64"/>
      <c r="E64" s="65"/>
      <c r="F64" s="66"/>
      <c r="G64" s="63"/>
      <c r="H64" s="67"/>
      <c r="I64" s="68"/>
      <c r="J64" s="68"/>
      <c r="K64" s="32" t="s">
        <v>65</v>
      </c>
      <c r="L64" s="75">
        <v>64</v>
      </c>
      <c r="M64" s="75"/>
      <c r="N64" s="70"/>
      <c r="O64" s="77" t="s">
        <v>571</v>
      </c>
      <c r="P64" s="79">
        <v>41732.49681712963</v>
      </c>
      <c r="Q64" s="77" t="s">
        <v>625</v>
      </c>
      <c r="R64" s="77">
        <v>1</v>
      </c>
      <c r="S64" s="77">
        <v>0</v>
      </c>
      <c r="T64" s="77">
        <v>0</v>
      </c>
      <c r="U64" s="77">
        <v>0</v>
      </c>
      <c r="V64" s="77"/>
      <c r="W64" s="77"/>
      <c r="X64" s="80" t="str">
        <f>HYPERLINK("http://www.inovies.com/5-ways-to-redefine-the-economics-of-your-storage-architecture-14-inovies.html")</f>
        <v>http://www.inovies.com/5-ways-to-redefine-the-economics-of-your-storage-architecture-14-inovies.html</v>
      </c>
      <c r="Y64" s="77" t="s">
        <v>1982</v>
      </c>
      <c r="Z64" s="77" t="s">
        <v>299</v>
      </c>
      <c r="AA64" s="77"/>
      <c r="AB64" s="77"/>
      <c r="AC64" s="81" t="s">
        <v>2712</v>
      </c>
      <c r="AD64" s="77" t="s">
        <v>2751</v>
      </c>
      <c r="AE64" s="80" t="str">
        <f>HYPERLINK("https://twitter.com/rameshdudala/status/451689426297450496")</f>
        <v>https://twitter.com/rameshdudala/status/451689426297450496</v>
      </c>
      <c r="AF64" s="79">
        <v>41732.49681712963</v>
      </c>
      <c r="AG64" s="85">
        <v>41732</v>
      </c>
      <c r="AH64" s="81" t="s">
        <v>2812</v>
      </c>
      <c r="AI64" s="77" t="b">
        <v>0</v>
      </c>
      <c r="AJ64" s="77"/>
      <c r="AK64" s="77"/>
      <c r="AL64" s="77"/>
      <c r="AM64" s="77"/>
      <c r="AN64" s="77"/>
      <c r="AO64" s="77"/>
      <c r="AP64" s="77"/>
      <c r="AQ64" s="77"/>
      <c r="AR64" s="77"/>
      <c r="AS64" s="77"/>
      <c r="AT64" s="77"/>
      <c r="AU64" s="77"/>
      <c r="AV64" s="80" t="str">
        <f>HYPERLINK("https://pbs.twimg.com/profile_images/3151993004/9e73269faab0ce782dd7dce36b95c1f8_normal.jpeg")</f>
        <v>https://pbs.twimg.com/profile_images/3151993004/9e73269faab0ce782dd7dce36b95c1f8_normal.jpeg</v>
      </c>
      <c r="AW64" s="81" t="s">
        <v>4556</v>
      </c>
      <c r="AX64" s="81" t="s">
        <v>4556</v>
      </c>
      <c r="AY64" s="77"/>
      <c r="AZ64" s="81" t="s">
        <v>5773</v>
      </c>
      <c r="BA64" s="81" t="s">
        <v>5773</v>
      </c>
      <c r="BB64" s="81" t="s">
        <v>5773</v>
      </c>
      <c r="BC64" s="81" t="s">
        <v>4556</v>
      </c>
      <c r="BD64" s="77">
        <v>226829792</v>
      </c>
      <c r="BE64" s="77"/>
      <c r="BF64" s="77"/>
      <c r="BG64" s="77"/>
      <c r="BH64" s="77"/>
      <c r="BI64" s="77"/>
    </row>
    <row r="65" spans="1:61" ht="15">
      <c r="A65" s="62" t="s">
        <v>249</v>
      </c>
      <c r="B65" s="62" t="s">
        <v>299</v>
      </c>
      <c r="C65" s="63"/>
      <c r="D65" s="64"/>
      <c r="E65" s="65"/>
      <c r="F65" s="66"/>
      <c r="G65" s="63"/>
      <c r="H65" s="67"/>
      <c r="I65" s="68"/>
      <c r="J65" s="68"/>
      <c r="K65" s="32" t="s">
        <v>65</v>
      </c>
      <c r="L65" s="75">
        <v>65</v>
      </c>
      <c r="M65" s="75"/>
      <c r="N65" s="70"/>
      <c r="O65" s="77" t="s">
        <v>571</v>
      </c>
      <c r="P65" s="79">
        <v>41732.494791666664</v>
      </c>
      <c r="Q65" s="77" t="s">
        <v>615</v>
      </c>
      <c r="R65" s="77">
        <v>1</v>
      </c>
      <c r="S65" s="77">
        <v>0</v>
      </c>
      <c r="T65" s="77">
        <v>0</v>
      </c>
      <c r="U65" s="77">
        <v>0</v>
      </c>
      <c r="V65" s="77"/>
      <c r="W65" s="77"/>
      <c r="X65" s="80" t="str">
        <f>HYPERLINK("http://www.inovies.com/ubuntu-smartphone-wont-be-as-open-as-they-say-18-inovies.html")</f>
        <v>http://www.inovies.com/ubuntu-smartphone-wont-be-as-open-as-they-say-18-inovies.html</v>
      </c>
      <c r="Y65" s="77" t="s">
        <v>1982</v>
      </c>
      <c r="Z65" s="77" t="s">
        <v>299</v>
      </c>
      <c r="AA65" s="77"/>
      <c r="AB65" s="77"/>
      <c r="AC65" s="81" t="s">
        <v>2712</v>
      </c>
      <c r="AD65" s="77" t="s">
        <v>2751</v>
      </c>
      <c r="AE65" s="80" t="str">
        <f>HYPERLINK("https://twitter.com/rameshdudala/status/451688690226442240")</f>
        <v>https://twitter.com/rameshdudala/status/451688690226442240</v>
      </c>
      <c r="AF65" s="79">
        <v>41732.494791666664</v>
      </c>
      <c r="AG65" s="85">
        <v>41732</v>
      </c>
      <c r="AH65" s="81" t="s">
        <v>2813</v>
      </c>
      <c r="AI65" s="77" t="b">
        <v>0</v>
      </c>
      <c r="AJ65" s="77"/>
      <c r="AK65" s="77"/>
      <c r="AL65" s="77"/>
      <c r="AM65" s="77"/>
      <c r="AN65" s="77"/>
      <c r="AO65" s="77"/>
      <c r="AP65" s="77"/>
      <c r="AQ65" s="77"/>
      <c r="AR65" s="77"/>
      <c r="AS65" s="77"/>
      <c r="AT65" s="77"/>
      <c r="AU65" s="77"/>
      <c r="AV65" s="80" t="str">
        <f>HYPERLINK("https://pbs.twimg.com/profile_images/3151993004/9e73269faab0ce782dd7dce36b95c1f8_normal.jpeg")</f>
        <v>https://pbs.twimg.com/profile_images/3151993004/9e73269faab0ce782dd7dce36b95c1f8_normal.jpeg</v>
      </c>
      <c r="AW65" s="81" t="s">
        <v>4557</v>
      </c>
      <c r="AX65" s="81" t="s">
        <v>4557</v>
      </c>
      <c r="AY65" s="77"/>
      <c r="AZ65" s="81" t="s">
        <v>5773</v>
      </c>
      <c r="BA65" s="81" t="s">
        <v>5773</v>
      </c>
      <c r="BB65" s="81" t="s">
        <v>5773</v>
      </c>
      <c r="BC65" s="81" t="s">
        <v>4557</v>
      </c>
      <c r="BD65" s="77">
        <v>226829792</v>
      </c>
      <c r="BE65" s="77"/>
      <c r="BF65" s="77"/>
      <c r="BG65" s="77"/>
      <c r="BH65" s="77"/>
      <c r="BI65" s="77"/>
    </row>
    <row r="66" spans="1:61" ht="15">
      <c r="A66" s="62" t="s">
        <v>249</v>
      </c>
      <c r="B66" s="62" t="s">
        <v>299</v>
      </c>
      <c r="C66" s="63"/>
      <c r="D66" s="64"/>
      <c r="E66" s="65"/>
      <c r="F66" s="66"/>
      <c r="G66" s="63"/>
      <c r="H66" s="67"/>
      <c r="I66" s="68"/>
      <c r="J66" s="68"/>
      <c r="K66" s="32" t="s">
        <v>65</v>
      </c>
      <c r="L66" s="75">
        <v>66</v>
      </c>
      <c r="M66" s="75"/>
      <c r="N66" s="70"/>
      <c r="O66" s="77" t="s">
        <v>571</v>
      </c>
      <c r="P66" s="79">
        <v>41732.49423611111</v>
      </c>
      <c r="Q66" s="77" t="s">
        <v>626</v>
      </c>
      <c r="R66" s="77">
        <v>1</v>
      </c>
      <c r="S66" s="77">
        <v>0</v>
      </c>
      <c r="T66" s="77">
        <v>0</v>
      </c>
      <c r="U66" s="77">
        <v>0</v>
      </c>
      <c r="V66" s="77"/>
      <c r="W66" s="77"/>
      <c r="X66" s="80" t="str">
        <f>HYPERLINK("http://www.inovies.com/microsoft-makes-windows-free-for-small-devices-22-inovies.html")</f>
        <v>http://www.inovies.com/microsoft-makes-windows-free-for-small-devices-22-inovies.html</v>
      </c>
      <c r="Y66" s="77" t="s">
        <v>1982</v>
      </c>
      <c r="Z66" s="77" t="s">
        <v>299</v>
      </c>
      <c r="AA66" s="77"/>
      <c r="AB66" s="77"/>
      <c r="AC66" s="81" t="s">
        <v>2712</v>
      </c>
      <c r="AD66" s="77" t="s">
        <v>2751</v>
      </c>
      <c r="AE66" s="80" t="str">
        <f>HYPERLINK("https://twitter.com/rameshdudala/status/451688489294106624")</f>
        <v>https://twitter.com/rameshdudala/status/451688489294106624</v>
      </c>
      <c r="AF66" s="79">
        <v>41732.49423611111</v>
      </c>
      <c r="AG66" s="85">
        <v>41732</v>
      </c>
      <c r="AH66" s="81" t="s">
        <v>2814</v>
      </c>
      <c r="AI66" s="77" t="b">
        <v>0</v>
      </c>
      <c r="AJ66" s="77"/>
      <c r="AK66" s="77"/>
      <c r="AL66" s="77"/>
      <c r="AM66" s="77"/>
      <c r="AN66" s="77"/>
      <c r="AO66" s="77"/>
      <c r="AP66" s="77"/>
      <c r="AQ66" s="77"/>
      <c r="AR66" s="77"/>
      <c r="AS66" s="77"/>
      <c r="AT66" s="77"/>
      <c r="AU66" s="77"/>
      <c r="AV66" s="80" t="str">
        <f>HYPERLINK("https://pbs.twimg.com/profile_images/3151993004/9e73269faab0ce782dd7dce36b95c1f8_normal.jpeg")</f>
        <v>https://pbs.twimg.com/profile_images/3151993004/9e73269faab0ce782dd7dce36b95c1f8_normal.jpeg</v>
      </c>
      <c r="AW66" s="81" t="s">
        <v>4558</v>
      </c>
      <c r="AX66" s="81" t="s">
        <v>4558</v>
      </c>
      <c r="AY66" s="77"/>
      <c r="AZ66" s="81" t="s">
        <v>5773</v>
      </c>
      <c r="BA66" s="81" t="s">
        <v>5773</v>
      </c>
      <c r="BB66" s="81" t="s">
        <v>5773</v>
      </c>
      <c r="BC66" s="81" t="s">
        <v>4558</v>
      </c>
      <c r="BD66" s="77">
        <v>226829792</v>
      </c>
      <c r="BE66" s="77"/>
      <c r="BF66" s="77"/>
      <c r="BG66" s="77"/>
      <c r="BH66" s="77"/>
      <c r="BI66" s="77"/>
    </row>
    <row r="67" spans="1:61" ht="15">
      <c r="A67" s="62" t="s">
        <v>249</v>
      </c>
      <c r="B67" s="62" t="s">
        <v>299</v>
      </c>
      <c r="C67" s="63"/>
      <c r="D67" s="64"/>
      <c r="E67" s="65"/>
      <c r="F67" s="66"/>
      <c r="G67" s="63"/>
      <c r="H67" s="67"/>
      <c r="I67" s="68"/>
      <c r="J67" s="68"/>
      <c r="K67" s="32" t="s">
        <v>65</v>
      </c>
      <c r="L67" s="75">
        <v>67</v>
      </c>
      <c r="M67" s="75"/>
      <c r="N67" s="70"/>
      <c r="O67" s="77" t="s">
        <v>571</v>
      </c>
      <c r="P67" s="79">
        <v>41732.48725694444</v>
      </c>
      <c r="Q67" s="77" t="s">
        <v>617</v>
      </c>
      <c r="R67" s="77">
        <v>1</v>
      </c>
      <c r="S67" s="77">
        <v>0</v>
      </c>
      <c r="T67" s="77">
        <v>0</v>
      </c>
      <c r="U67" s="77">
        <v>0</v>
      </c>
      <c r="V67" s="77"/>
      <c r="W67" s="77"/>
      <c r="X67" s="80" t="str">
        <f>HYPERLINK("http://www.inovies.com/cyber-attacks-against-indian-government-and-financial-organizations-witness-more-than-100-percent-ju-7-inovies.html")</f>
        <v>http://www.inovies.com/cyber-attacks-against-indian-government-and-financial-organizations-witness-more-than-100-percent-ju-7-inovies.html</v>
      </c>
      <c r="Y67" s="77" t="s">
        <v>1982</v>
      </c>
      <c r="Z67" s="77" t="s">
        <v>299</v>
      </c>
      <c r="AA67" s="77"/>
      <c r="AB67" s="77"/>
      <c r="AC67" s="81" t="s">
        <v>2712</v>
      </c>
      <c r="AD67" s="77" t="s">
        <v>2751</v>
      </c>
      <c r="AE67" s="80" t="str">
        <f>HYPERLINK("https://twitter.com/rameshdudala/status/451685962251128832")</f>
        <v>https://twitter.com/rameshdudala/status/451685962251128832</v>
      </c>
      <c r="AF67" s="79">
        <v>41732.48725694444</v>
      </c>
      <c r="AG67" s="85">
        <v>41732</v>
      </c>
      <c r="AH67" s="81" t="s">
        <v>2815</v>
      </c>
      <c r="AI67" s="77" t="b">
        <v>0</v>
      </c>
      <c r="AJ67" s="77"/>
      <c r="AK67" s="77"/>
      <c r="AL67" s="77"/>
      <c r="AM67" s="77"/>
      <c r="AN67" s="77"/>
      <c r="AO67" s="77"/>
      <c r="AP67" s="77"/>
      <c r="AQ67" s="77"/>
      <c r="AR67" s="77"/>
      <c r="AS67" s="77"/>
      <c r="AT67" s="77"/>
      <c r="AU67" s="77"/>
      <c r="AV67" s="80" t="str">
        <f>HYPERLINK("https://pbs.twimg.com/profile_images/3151993004/9e73269faab0ce782dd7dce36b95c1f8_normal.jpeg")</f>
        <v>https://pbs.twimg.com/profile_images/3151993004/9e73269faab0ce782dd7dce36b95c1f8_normal.jpeg</v>
      </c>
      <c r="AW67" s="81" t="s">
        <v>4559</v>
      </c>
      <c r="AX67" s="81" t="s">
        <v>4559</v>
      </c>
      <c r="AY67" s="77"/>
      <c r="AZ67" s="81" t="s">
        <v>5773</v>
      </c>
      <c r="BA67" s="81" t="s">
        <v>5773</v>
      </c>
      <c r="BB67" s="81" t="s">
        <v>5773</v>
      </c>
      <c r="BC67" s="81" t="s">
        <v>4559</v>
      </c>
      <c r="BD67" s="77">
        <v>226829792</v>
      </c>
      <c r="BE67" s="77"/>
      <c r="BF67" s="77"/>
      <c r="BG67" s="77"/>
      <c r="BH67" s="77"/>
      <c r="BI67" s="77"/>
    </row>
    <row r="68" spans="1:61" ht="15">
      <c r="A68" s="62" t="s">
        <v>249</v>
      </c>
      <c r="B68" s="62" t="s">
        <v>299</v>
      </c>
      <c r="C68" s="63"/>
      <c r="D68" s="64"/>
      <c r="E68" s="65"/>
      <c r="F68" s="66"/>
      <c r="G68" s="63"/>
      <c r="H68" s="67"/>
      <c r="I68" s="68"/>
      <c r="J68" s="68"/>
      <c r="K68" s="32" t="s">
        <v>65</v>
      </c>
      <c r="L68" s="75">
        <v>68</v>
      </c>
      <c r="M68" s="75"/>
      <c r="N68" s="70"/>
      <c r="O68" s="77" t="s">
        <v>571</v>
      </c>
      <c r="P68" s="79">
        <v>41732.48489583333</v>
      </c>
      <c r="Q68" s="77" t="s">
        <v>621</v>
      </c>
      <c r="R68" s="77">
        <v>1</v>
      </c>
      <c r="S68" s="77">
        <v>0</v>
      </c>
      <c r="T68" s="77">
        <v>0</v>
      </c>
      <c r="U68" s="77">
        <v>0</v>
      </c>
      <c r="V68" s="77"/>
      <c r="W68" s="77"/>
      <c r="X68" s="80" t="str">
        <f>HYPERLINK("http://www.inovies.com/indias-cloud-growth-lessons-6-inovies.html")</f>
        <v>http://www.inovies.com/indias-cloud-growth-lessons-6-inovies.html</v>
      </c>
      <c r="Y68" s="77" t="s">
        <v>1982</v>
      </c>
      <c r="Z68" s="77" t="s">
        <v>299</v>
      </c>
      <c r="AA68" s="77"/>
      <c r="AB68" s="77"/>
      <c r="AC68" s="81" t="s">
        <v>2712</v>
      </c>
      <c r="AD68" s="77" t="s">
        <v>2751</v>
      </c>
      <c r="AE68" s="80" t="str">
        <f>HYPERLINK("https://twitter.com/rameshdudala/status/451685103991668736")</f>
        <v>https://twitter.com/rameshdudala/status/451685103991668736</v>
      </c>
      <c r="AF68" s="79">
        <v>41732.48489583333</v>
      </c>
      <c r="AG68" s="85">
        <v>41732</v>
      </c>
      <c r="AH68" s="81" t="s">
        <v>2816</v>
      </c>
      <c r="AI68" s="77" t="b">
        <v>0</v>
      </c>
      <c r="AJ68" s="77"/>
      <c r="AK68" s="77"/>
      <c r="AL68" s="77"/>
      <c r="AM68" s="77"/>
      <c r="AN68" s="77"/>
      <c r="AO68" s="77"/>
      <c r="AP68" s="77"/>
      <c r="AQ68" s="77"/>
      <c r="AR68" s="77"/>
      <c r="AS68" s="77"/>
      <c r="AT68" s="77"/>
      <c r="AU68" s="77"/>
      <c r="AV68" s="80" t="str">
        <f>HYPERLINK("https://pbs.twimg.com/profile_images/3151993004/9e73269faab0ce782dd7dce36b95c1f8_normal.jpeg")</f>
        <v>https://pbs.twimg.com/profile_images/3151993004/9e73269faab0ce782dd7dce36b95c1f8_normal.jpeg</v>
      </c>
      <c r="AW68" s="81" t="s">
        <v>4560</v>
      </c>
      <c r="AX68" s="81" t="s">
        <v>4560</v>
      </c>
      <c r="AY68" s="77"/>
      <c r="AZ68" s="81" t="s">
        <v>5773</v>
      </c>
      <c r="BA68" s="81" t="s">
        <v>5773</v>
      </c>
      <c r="BB68" s="81" t="s">
        <v>5773</v>
      </c>
      <c r="BC68" s="81" t="s">
        <v>4560</v>
      </c>
      <c r="BD68" s="77">
        <v>226829792</v>
      </c>
      <c r="BE68" s="77"/>
      <c r="BF68" s="77"/>
      <c r="BG68" s="77"/>
      <c r="BH68" s="77"/>
      <c r="BI68" s="77"/>
    </row>
    <row r="69" spans="1:61" ht="15">
      <c r="A69" s="62" t="s">
        <v>249</v>
      </c>
      <c r="B69" s="62" t="s">
        <v>299</v>
      </c>
      <c r="C69" s="63"/>
      <c r="D69" s="64"/>
      <c r="E69" s="65"/>
      <c r="F69" s="66"/>
      <c r="G69" s="63"/>
      <c r="H69" s="67"/>
      <c r="I69" s="68"/>
      <c r="J69" s="68"/>
      <c r="K69" s="32" t="s">
        <v>65</v>
      </c>
      <c r="L69" s="75">
        <v>69</v>
      </c>
      <c r="M69" s="75"/>
      <c r="N69" s="70"/>
      <c r="O69" s="77" t="s">
        <v>571</v>
      </c>
      <c r="P69" s="79">
        <v>41732.48197916667</v>
      </c>
      <c r="Q69" s="77" t="s">
        <v>627</v>
      </c>
      <c r="R69" s="77">
        <v>1</v>
      </c>
      <c r="S69" s="77">
        <v>0</v>
      </c>
      <c r="T69" s="77">
        <v>0</v>
      </c>
      <c r="U69" s="77">
        <v>0</v>
      </c>
      <c r="V69" s="77"/>
      <c r="W69" s="77"/>
      <c r="X69" s="80" t="str">
        <f>HYPERLINK("http://www.inovies.com/indias-cloud-growth-lessons-6-inovies.html")</f>
        <v>http://www.inovies.com/indias-cloud-growth-lessons-6-inovies.html</v>
      </c>
      <c r="Y69" s="77" t="s">
        <v>1982</v>
      </c>
      <c r="Z69" s="77" t="s">
        <v>299</v>
      </c>
      <c r="AA69" s="77"/>
      <c r="AB69" s="77"/>
      <c r="AC69" s="81" t="s">
        <v>2712</v>
      </c>
      <c r="AD69" s="77" t="s">
        <v>2751</v>
      </c>
      <c r="AE69" s="80" t="str">
        <f>HYPERLINK("https://twitter.com/rameshdudala/status/451684048755101696")</f>
        <v>https://twitter.com/rameshdudala/status/451684048755101696</v>
      </c>
      <c r="AF69" s="79">
        <v>41732.48197916667</v>
      </c>
      <c r="AG69" s="85">
        <v>41732</v>
      </c>
      <c r="AH69" s="81" t="s">
        <v>2817</v>
      </c>
      <c r="AI69" s="77" t="b">
        <v>0</v>
      </c>
      <c r="AJ69" s="77"/>
      <c r="AK69" s="77"/>
      <c r="AL69" s="77"/>
      <c r="AM69" s="77"/>
      <c r="AN69" s="77"/>
      <c r="AO69" s="77"/>
      <c r="AP69" s="77"/>
      <c r="AQ69" s="77"/>
      <c r="AR69" s="77"/>
      <c r="AS69" s="77"/>
      <c r="AT69" s="77"/>
      <c r="AU69" s="77"/>
      <c r="AV69" s="80" t="str">
        <f>HYPERLINK("https://pbs.twimg.com/profile_images/3151993004/9e73269faab0ce782dd7dce36b95c1f8_normal.jpeg")</f>
        <v>https://pbs.twimg.com/profile_images/3151993004/9e73269faab0ce782dd7dce36b95c1f8_normal.jpeg</v>
      </c>
      <c r="AW69" s="81" t="s">
        <v>4561</v>
      </c>
      <c r="AX69" s="81" t="s">
        <v>4561</v>
      </c>
      <c r="AY69" s="77"/>
      <c r="AZ69" s="81" t="s">
        <v>5773</v>
      </c>
      <c r="BA69" s="81" t="s">
        <v>5773</v>
      </c>
      <c r="BB69" s="81" t="s">
        <v>5773</v>
      </c>
      <c r="BC69" s="81" t="s">
        <v>4561</v>
      </c>
      <c r="BD69" s="77">
        <v>226829792</v>
      </c>
      <c r="BE69" s="77"/>
      <c r="BF69" s="77"/>
      <c r="BG69" s="77"/>
      <c r="BH69" s="77"/>
      <c r="BI69" s="77"/>
    </row>
    <row r="70" spans="1:61" ht="15">
      <c r="A70" s="62" t="s">
        <v>249</v>
      </c>
      <c r="B70" s="62" t="s">
        <v>299</v>
      </c>
      <c r="C70" s="63"/>
      <c r="D70" s="64"/>
      <c r="E70" s="65"/>
      <c r="F70" s="66"/>
      <c r="G70" s="63"/>
      <c r="H70" s="67"/>
      <c r="I70" s="68"/>
      <c r="J70" s="68"/>
      <c r="K70" s="32" t="s">
        <v>65</v>
      </c>
      <c r="L70" s="75">
        <v>70</v>
      </c>
      <c r="M70" s="75"/>
      <c r="N70" s="70"/>
      <c r="O70" s="77" t="s">
        <v>571</v>
      </c>
      <c r="P70" s="79">
        <v>41732.481527777774</v>
      </c>
      <c r="Q70" s="77" t="s">
        <v>628</v>
      </c>
      <c r="R70" s="77">
        <v>1</v>
      </c>
      <c r="S70" s="77">
        <v>0</v>
      </c>
      <c r="T70" s="77">
        <v>0</v>
      </c>
      <c r="U70" s="77">
        <v>0</v>
      </c>
      <c r="V70" s="77"/>
      <c r="W70" s="77"/>
      <c r="X70" s="80" t="str">
        <f>HYPERLINK("http://www.inovies.com/following-are-the-8-amazing-operating-systems-getting-to-know-them-17-inovies.html")</f>
        <v>http://www.inovies.com/following-are-the-8-amazing-operating-systems-getting-to-know-them-17-inovies.html</v>
      </c>
      <c r="Y70" s="77" t="s">
        <v>1982</v>
      </c>
      <c r="Z70" s="77" t="s">
        <v>299</v>
      </c>
      <c r="AA70" s="77"/>
      <c r="AB70" s="77"/>
      <c r="AC70" s="81" t="s">
        <v>2712</v>
      </c>
      <c r="AD70" s="77" t="s">
        <v>2751</v>
      </c>
      <c r="AE70" s="80" t="str">
        <f>HYPERLINK("https://twitter.com/rameshdudala/status/451683883189170177")</f>
        <v>https://twitter.com/rameshdudala/status/451683883189170177</v>
      </c>
      <c r="AF70" s="79">
        <v>41732.481527777774</v>
      </c>
      <c r="AG70" s="85">
        <v>41732</v>
      </c>
      <c r="AH70" s="81" t="s">
        <v>2818</v>
      </c>
      <c r="AI70" s="77" t="b">
        <v>0</v>
      </c>
      <c r="AJ70" s="77"/>
      <c r="AK70" s="77"/>
      <c r="AL70" s="77"/>
      <c r="AM70" s="77"/>
      <c r="AN70" s="77"/>
      <c r="AO70" s="77"/>
      <c r="AP70" s="77"/>
      <c r="AQ70" s="77"/>
      <c r="AR70" s="77"/>
      <c r="AS70" s="77"/>
      <c r="AT70" s="77"/>
      <c r="AU70" s="77"/>
      <c r="AV70" s="80" t="str">
        <f>HYPERLINK("https://pbs.twimg.com/profile_images/3151993004/9e73269faab0ce782dd7dce36b95c1f8_normal.jpeg")</f>
        <v>https://pbs.twimg.com/profile_images/3151993004/9e73269faab0ce782dd7dce36b95c1f8_normal.jpeg</v>
      </c>
      <c r="AW70" s="81" t="s">
        <v>4562</v>
      </c>
      <c r="AX70" s="81" t="s">
        <v>4562</v>
      </c>
      <c r="AY70" s="77"/>
      <c r="AZ70" s="81" t="s">
        <v>5773</v>
      </c>
      <c r="BA70" s="81" t="s">
        <v>5773</v>
      </c>
      <c r="BB70" s="81" t="s">
        <v>5773</v>
      </c>
      <c r="BC70" s="81" t="s">
        <v>4562</v>
      </c>
      <c r="BD70" s="77">
        <v>226829792</v>
      </c>
      <c r="BE70" s="77"/>
      <c r="BF70" s="77"/>
      <c r="BG70" s="77"/>
      <c r="BH70" s="77"/>
      <c r="BI70" s="77"/>
    </row>
    <row r="71" spans="1:61" ht="15">
      <c r="A71" s="62" t="s">
        <v>249</v>
      </c>
      <c r="B71" s="62" t="s">
        <v>299</v>
      </c>
      <c r="C71" s="63"/>
      <c r="D71" s="64"/>
      <c r="E71" s="65"/>
      <c r="F71" s="66"/>
      <c r="G71" s="63"/>
      <c r="H71" s="67"/>
      <c r="I71" s="68"/>
      <c r="J71" s="68"/>
      <c r="K71" s="32" t="s">
        <v>65</v>
      </c>
      <c r="L71" s="75">
        <v>71</v>
      </c>
      <c r="M71" s="75"/>
      <c r="N71" s="70"/>
      <c r="O71" s="77" t="s">
        <v>571</v>
      </c>
      <c r="P71" s="79">
        <v>41732.47969907407</v>
      </c>
      <c r="Q71" s="77" t="s">
        <v>629</v>
      </c>
      <c r="R71" s="77">
        <v>1</v>
      </c>
      <c r="S71" s="77">
        <v>0</v>
      </c>
      <c r="T71" s="77">
        <v>0</v>
      </c>
      <c r="U71" s="77">
        <v>0</v>
      </c>
      <c r="V71" s="77"/>
      <c r="W71" s="77"/>
      <c r="X71" s="80" t="str">
        <f>HYPERLINK("http://www.inovies.com/microsoft-cuts-azure-pricing-19-inovies.html")</f>
        <v>http://www.inovies.com/microsoft-cuts-azure-pricing-19-inovies.html</v>
      </c>
      <c r="Y71" s="77" t="s">
        <v>1982</v>
      </c>
      <c r="Z71" s="77" t="s">
        <v>299</v>
      </c>
      <c r="AA71" s="77"/>
      <c r="AB71" s="77"/>
      <c r="AC71" s="81" t="s">
        <v>2712</v>
      </c>
      <c r="AD71" s="77" t="s">
        <v>2751</v>
      </c>
      <c r="AE71" s="80" t="str">
        <f>HYPERLINK("https://twitter.com/rameshdudala/status/451683222376566784")</f>
        <v>https://twitter.com/rameshdudala/status/451683222376566784</v>
      </c>
      <c r="AF71" s="79">
        <v>41732.47969907407</v>
      </c>
      <c r="AG71" s="85">
        <v>41732</v>
      </c>
      <c r="AH71" s="81" t="s">
        <v>2819</v>
      </c>
      <c r="AI71" s="77" t="b">
        <v>0</v>
      </c>
      <c r="AJ71" s="77"/>
      <c r="AK71" s="77"/>
      <c r="AL71" s="77"/>
      <c r="AM71" s="77"/>
      <c r="AN71" s="77"/>
      <c r="AO71" s="77"/>
      <c r="AP71" s="77"/>
      <c r="AQ71" s="77"/>
      <c r="AR71" s="77"/>
      <c r="AS71" s="77"/>
      <c r="AT71" s="77"/>
      <c r="AU71" s="77"/>
      <c r="AV71" s="80" t="str">
        <f>HYPERLINK("https://pbs.twimg.com/profile_images/3151993004/9e73269faab0ce782dd7dce36b95c1f8_normal.jpeg")</f>
        <v>https://pbs.twimg.com/profile_images/3151993004/9e73269faab0ce782dd7dce36b95c1f8_normal.jpeg</v>
      </c>
      <c r="AW71" s="81" t="s">
        <v>4563</v>
      </c>
      <c r="AX71" s="81" t="s">
        <v>4563</v>
      </c>
      <c r="AY71" s="77"/>
      <c r="AZ71" s="81" t="s">
        <v>5773</v>
      </c>
      <c r="BA71" s="81" t="s">
        <v>5773</v>
      </c>
      <c r="BB71" s="81" t="s">
        <v>5773</v>
      </c>
      <c r="BC71" s="81" t="s">
        <v>4563</v>
      </c>
      <c r="BD71" s="77">
        <v>226829792</v>
      </c>
      <c r="BE71" s="77"/>
      <c r="BF71" s="77"/>
      <c r="BG71" s="77"/>
      <c r="BH71" s="77"/>
      <c r="BI71" s="77"/>
    </row>
    <row r="72" spans="1:61" ht="15">
      <c r="A72" s="62" t="s">
        <v>249</v>
      </c>
      <c r="B72" s="62" t="s">
        <v>299</v>
      </c>
      <c r="C72" s="63"/>
      <c r="D72" s="64"/>
      <c r="E72" s="65"/>
      <c r="F72" s="66"/>
      <c r="G72" s="63"/>
      <c r="H72" s="67"/>
      <c r="I72" s="68"/>
      <c r="J72" s="68"/>
      <c r="K72" s="32" t="s">
        <v>65</v>
      </c>
      <c r="L72" s="75">
        <v>72</v>
      </c>
      <c r="M72" s="75"/>
      <c r="N72" s="70"/>
      <c r="O72" s="77" t="s">
        <v>571</v>
      </c>
      <c r="P72" s="79">
        <v>41732.478946759256</v>
      </c>
      <c r="Q72" s="77" t="s">
        <v>630</v>
      </c>
      <c r="R72" s="77">
        <v>1</v>
      </c>
      <c r="S72" s="77">
        <v>0</v>
      </c>
      <c r="T72" s="77">
        <v>0</v>
      </c>
      <c r="U72" s="77">
        <v>0</v>
      </c>
      <c r="V72" s="77"/>
      <c r="W72" s="77"/>
      <c r="X72" s="80" t="str">
        <f>HYPERLINK("http://www.inovies.com/microsoft-makes-windows-free-for-small-devices-22-inovies.html")</f>
        <v>http://www.inovies.com/microsoft-makes-windows-free-for-small-devices-22-inovies.html</v>
      </c>
      <c r="Y72" s="77" t="s">
        <v>1982</v>
      </c>
      <c r="Z72" s="77" t="s">
        <v>299</v>
      </c>
      <c r="AA72" s="77"/>
      <c r="AB72" s="77"/>
      <c r="AC72" s="81" t="s">
        <v>2712</v>
      </c>
      <c r="AD72" s="77" t="s">
        <v>2751</v>
      </c>
      <c r="AE72" s="80" t="str">
        <f>HYPERLINK("https://twitter.com/rameshdudala/status/451682948014559232")</f>
        <v>https://twitter.com/rameshdudala/status/451682948014559232</v>
      </c>
      <c r="AF72" s="79">
        <v>41732.478946759256</v>
      </c>
      <c r="AG72" s="85">
        <v>41732</v>
      </c>
      <c r="AH72" s="81" t="s">
        <v>2820</v>
      </c>
      <c r="AI72" s="77" t="b">
        <v>0</v>
      </c>
      <c r="AJ72" s="77"/>
      <c r="AK72" s="77"/>
      <c r="AL72" s="77"/>
      <c r="AM72" s="77"/>
      <c r="AN72" s="77"/>
      <c r="AO72" s="77"/>
      <c r="AP72" s="77"/>
      <c r="AQ72" s="77"/>
      <c r="AR72" s="77"/>
      <c r="AS72" s="77"/>
      <c r="AT72" s="77"/>
      <c r="AU72" s="77"/>
      <c r="AV72" s="80" t="str">
        <f>HYPERLINK("https://pbs.twimg.com/profile_images/3151993004/9e73269faab0ce782dd7dce36b95c1f8_normal.jpeg")</f>
        <v>https://pbs.twimg.com/profile_images/3151993004/9e73269faab0ce782dd7dce36b95c1f8_normal.jpeg</v>
      </c>
      <c r="AW72" s="81" t="s">
        <v>4564</v>
      </c>
      <c r="AX72" s="81" t="s">
        <v>4564</v>
      </c>
      <c r="AY72" s="77"/>
      <c r="AZ72" s="81" t="s">
        <v>5773</v>
      </c>
      <c r="BA72" s="81" t="s">
        <v>5773</v>
      </c>
      <c r="BB72" s="81" t="s">
        <v>5773</v>
      </c>
      <c r="BC72" s="81" t="s">
        <v>4564</v>
      </c>
      <c r="BD72" s="77">
        <v>226829792</v>
      </c>
      <c r="BE72" s="77"/>
      <c r="BF72" s="77"/>
      <c r="BG72" s="77"/>
      <c r="BH72" s="77"/>
      <c r="BI72" s="77"/>
    </row>
    <row r="73" spans="1:61" ht="15">
      <c r="A73" s="62" t="s">
        <v>249</v>
      </c>
      <c r="B73" s="62" t="s">
        <v>299</v>
      </c>
      <c r="C73" s="63"/>
      <c r="D73" s="64"/>
      <c r="E73" s="65"/>
      <c r="F73" s="66"/>
      <c r="G73" s="63"/>
      <c r="H73" s="67"/>
      <c r="I73" s="68"/>
      <c r="J73" s="68"/>
      <c r="K73" s="32" t="s">
        <v>65</v>
      </c>
      <c r="L73" s="75">
        <v>73</v>
      </c>
      <c r="M73" s="75"/>
      <c r="N73" s="70"/>
      <c r="O73" s="77" t="s">
        <v>571</v>
      </c>
      <c r="P73" s="79">
        <v>41732.47857638889</v>
      </c>
      <c r="Q73" s="77" t="s">
        <v>631</v>
      </c>
      <c r="R73" s="77">
        <v>1</v>
      </c>
      <c r="S73" s="77">
        <v>0</v>
      </c>
      <c r="T73" s="77">
        <v>0</v>
      </c>
      <c r="U73" s="77">
        <v>0</v>
      </c>
      <c r="V73" s="77"/>
      <c r="W73" s="77"/>
      <c r="X73" s="80" t="str">
        <f>HYPERLINK("http://www.inovies.com/andromeda-a-software-defined-network-underlying-its-cloud-by-google-21-inovies.html")</f>
        <v>http://www.inovies.com/andromeda-a-software-defined-network-underlying-its-cloud-by-google-21-inovies.html</v>
      </c>
      <c r="Y73" s="77" t="s">
        <v>1982</v>
      </c>
      <c r="Z73" s="77" t="s">
        <v>299</v>
      </c>
      <c r="AA73" s="77"/>
      <c r="AB73" s="77"/>
      <c r="AC73" s="81" t="s">
        <v>2712</v>
      </c>
      <c r="AD73" s="77" t="s">
        <v>2751</v>
      </c>
      <c r="AE73" s="80" t="str">
        <f>HYPERLINK("https://twitter.com/rameshdudala/status/451682813767454720")</f>
        <v>https://twitter.com/rameshdudala/status/451682813767454720</v>
      </c>
      <c r="AF73" s="79">
        <v>41732.47857638889</v>
      </c>
      <c r="AG73" s="85">
        <v>41732</v>
      </c>
      <c r="AH73" s="81" t="s">
        <v>2821</v>
      </c>
      <c r="AI73" s="77" t="b">
        <v>0</v>
      </c>
      <c r="AJ73" s="77"/>
      <c r="AK73" s="77"/>
      <c r="AL73" s="77"/>
      <c r="AM73" s="77"/>
      <c r="AN73" s="77"/>
      <c r="AO73" s="77"/>
      <c r="AP73" s="77"/>
      <c r="AQ73" s="77"/>
      <c r="AR73" s="77"/>
      <c r="AS73" s="77"/>
      <c r="AT73" s="77"/>
      <c r="AU73" s="77"/>
      <c r="AV73" s="80" t="str">
        <f>HYPERLINK("https://pbs.twimg.com/profile_images/3151993004/9e73269faab0ce782dd7dce36b95c1f8_normal.jpeg")</f>
        <v>https://pbs.twimg.com/profile_images/3151993004/9e73269faab0ce782dd7dce36b95c1f8_normal.jpeg</v>
      </c>
      <c r="AW73" s="81" t="s">
        <v>4565</v>
      </c>
      <c r="AX73" s="81" t="s">
        <v>4565</v>
      </c>
      <c r="AY73" s="77"/>
      <c r="AZ73" s="81" t="s">
        <v>5773</v>
      </c>
      <c r="BA73" s="81" t="s">
        <v>5773</v>
      </c>
      <c r="BB73" s="81" t="s">
        <v>5773</v>
      </c>
      <c r="BC73" s="81" t="s">
        <v>4565</v>
      </c>
      <c r="BD73" s="77">
        <v>226829792</v>
      </c>
      <c r="BE73" s="77"/>
      <c r="BF73" s="77"/>
      <c r="BG73" s="77"/>
      <c r="BH73" s="77"/>
      <c r="BI73" s="77"/>
    </row>
    <row r="74" spans="1:61" ht="15">
      <c r="A74" s="62" t="s">
        <v>249</v>
      </c>
      <c r="B74" s="62" t="s">
        <v>299</v>
      </c>
      <c r="C74" s="63"/>
      <c r="D74" s="64"/>
      <c r="E74" s="65"/>
      <c r="F74" s="66"/>
      <c r="G74" s="63"/>
      <c r="H74" s="67"/>
      <c r="I74" s="68"/>
      <c r="J74" s="68"/>
      <c r="K74" s="32" t="s">
        <v>65</v>
      </c>
      <c r="L74" s="75">
        <v>74</v>
      </c>
      <c r="M74" s="75"/>
      <c r="N74" s="70"/>
      <c r="O74" s="77" t="s">
        <v>571</v>
      </c>
      <c r="P74" s="79">
        <v>41732.4630787037</v>
      </c>
      <c r="Q74" s="77" t="s">
        <v>632</v>
      </c>
      <c r="R74" s="77">
        <v>1</v>
      </c>
      <c r="S74" s="77">
        <v>0</v>
      </c>
      <c r="T74" s="77">
        <v>0</v>
      </c>
      <c r="U74" s="77">
        <v>0</v>
      </c>
      <c r="V74" s="77"/>
      <c r="W74" s="77"/>
      <c r="X74" s="80" t="str">
        <f>HYPERLINK("http://www.inovies.com/smbs-favorite-sources-for-sales-leads-9-inovies.html")</f>
        <v>http://www.inovies.com/smbs-favorite-sources-for-sales-leads-9-inovies.html</v>
      </c>
      <c r="Y74" s="77" t="s">
        <v>1982</v>
      </c>
      <c r="Z74" s="77" t="s">
        <v>299</v>
      </c>
      <c r="AA74" s="77"/>
      <c r="AB74" s="77"/>
      <c r="AC74" s="81" t="s">
        <v>2712</v>
      </c>
      <c r="AD74" s="77" t="s">
        <v>2751</v>
      </c>
      <c r="AE74" s="80" t="str">
        <f>HYPERLINK("https://twitter.com/rameshdudala/status/451677196336111617")</f>
        <v>https://twitter.com/rameshdudala/status/451677196336111617</v>
      </c>
      <c r="AF74" s="79">
        <v>41732.4630787037</v>
      </c>
      <c r="AG74" s="85">
        <v>41732</v>
      </c>
      <c r="AH74" s="81" t="s">
        <v>2822</v>
      </c>
      <c r="AI74" s="77" t="b">
        <v>0</v>
      </c>
      <c r="AJ74" s="77"/>
      <c r="AK74" s="77"/>
      <c r="AL74" s="77"/>
      <c r="AM74" s="77"/>
      <c r="AN74" s="77"/>
      <c r="AO74" s="77"/>
      <c r="AP74" s="77"/>
      <c r="AQ74" s="77"/>
      <c r="AR74" s="77"/>
      <c r="AS74" s="77"/>
      <c r="AT74" s="77"/>
      <c r="AU74" s="77"/>
      <c r="AV74" s="80" t="str">
        <f>HYPERLINK("https://pbs.twimg.com/profile_images/3151993004/9e73269faab0ce782dd7dce36b95c1f8_normal.jpeg")</f>
        <v>https://pbs.twimg.com/profile_images/3151993004/9e73269faab0ce782dd7dce36b95c1f8_normal.jpeg</v>
      </c>
      <c r="AW74" s="81" t="s">
        <v>4566</v>
      </c>
      <c r="AX74" s="81" t="s">
        <v>4566</v>
      </c>
      <c r="AY74" s="77"/>
      <c r="AZ74" s="81" t="s">
        <v>5773</v>
      </c>
      <c r="BA74" s="81" t="s">
        <v>5773</v>
      </c>
      <c r="BB74" s="81" t="s">
        <v>5773</v>
      </c>
      <c r="BC74" s="81" t="s">
        <v>4566</v>
      </c>
      <c r="BD74" s="77">
        <v>226829792</v>
      </c>
      <c r="BE74" s="77"/>
      <c r="BF74" s="77"/>
      <c r="BG74" s="77"/>
      <c r="BH74" s="77"/>
      <c r="BI74" s="77"/>
    </row>
    <row r="75" spans="1:61" ht="15">
      <c r="A75" s="62" t="s">
        <v>249</v>
      </c>
      <c r="B75" s="62" t="s">
        <v>299</v>
      </c>
      <c r="C75" s="63"/>
      <c r="D75" s="64"/>
      <c r="E75" s="65"/>
      <c r="F75" s="66"/>
      <c r="G75" s="63"/>
      <c r="H75" s="67"/>
      <c r="I75" s="68"/>
      <c r="J75" s="68"/>
      <c r="K75" s="32" t="s">
        <v>65</v>
      </c>
      <c r="L75" s="75">
        <v>75</v>
      </c>
      <c r="M75" s="75"/>
      <c r="N75" s="70"/>
      <c r="O75" s="77" t="s">
        <v>571</v>
      </c>
      <c r="P75" s="79">
        <v>41732.45340277778</v>
      </c>
      <c r="Q75" s="77" t="s">
        <v>633</v>
      </c>
      <c r="R75" s="77">
        <v>1</v>
      </c>
      <c r="S75" s="77">
        <v>0</v>
      </c>
      <c r="T75" s="77">
        <v>0</v>
      </c>
      <c r="U75" s="77">
        <v>0</v>
      </c>
      <c r="V75" s="77"/>
      <c r="W75" s="77"/>
      <c r="X75" s="80" t="str">
        <f>HYPERLINK("http://www.inovies.com/inovies_news.php")</f>
        <v>http://www.inovies.com/inovies_news.php</v>
      </c>
      <c r="Y75" s="77" t="s">
        <v>1982</v>
      </c>
      <c r="Z75" s="77" t="s">
        <v>299</v>
      </c>
      <c r="AA75" s="77"/>
      <c r="AB75" s="77"/>
      <c r="AC75" s="81" t="s">
        <v>2712</v>
      </c>
      <c r="AD75" s="77" t="s">
        <v>2756</v>
      </c>
      <c r="AE75" s="80" t="str">
        <f>HYPERLINK("https://twitter.com/rameshdudala/status/451673691865100288")</f>
        <v>https://twitter.com/rameshdudala/status/451673691865100288</v>
      </c>
      <c r="AF75" s="79">
        <v>41732.45340277778</v>
      </c>
      <c r="AG75" s="85">
        <v>41732</v>
      </c>
      <c r="AH75" s="81" t="s">
        <v>2823</v>
      </c>
      <c r="AI75" s="77" t="b">
        <v>0</v>
      </c>
      <c r="AJ75" s="77"/>
      <c r="AK75" s="77"/>
      <c r="AL75" s="77"/>
      <c r="AM75" s="77"/>
      <c r="AN75" s="77"/>
      <c r="AO75" s="77"/>
      <c r="AP75" s="77"/>
      <c r="AQ75" s="77"/>
      <c r="AR75" s="77"/>
      <c r="AS75" s="77"/>
      <c r="AT75" s="77"/>
      <c r="AU75" s="77"/>
      <c r="AV75" s="80" t="str">
        <f>HYPERLINK("https://pbs.twimg.com/profile_images/3151993004/9e73269faab0ce782dd7dce36b95c1f8_normal.jpeg")</f>
        <v>https://pbs.twimg.com/profile_images/3151993004/9e73269faab0ce782dd7dce36b95c1f8_normal.jpeg</v>
      </c>
      <c r="AW75" s="81" t="s">
        <v>4567</v>
      </c>
      <c r="AX75" s="81" t="s">
        <v>4567</v>
      </c>
      <c r="AY75" s="77"/>
      <c r="AZ75" s="81" t="s">
        <v>5773</v>
      </c>
      <c r="BA75" s="81" t="s">
        <v>5773</v>
      </c>
      <c r="BB75" s="81" t="s">
        <v>5773</v>
      </c>
      <c r="BC75" s="81" t="s">
        <v>4567</v>
      </c>
      <c r="BD75" s="77">
        <v>226829792</v>
      </c>
      <c r="BE75" s="77"/>
      <c r="BF75" s="77"/>
      <c r="BG75" s="77"/>
      <c r="BH75" s="77"/>
      <c r="BI75" s="77"/>
    </row>
    <row r="76" spans="1:61" ht="15">
      <c r="A76" s="62" t="s">
        <v>249</v>
      </c>
      <c r="B76" s="62" t="s">
        <v>299</v>
      </c>
      <c r="C76" s="63"/>
      <c r="D76" s="64"/>
      <c r="E76" s="65"/>
      <c r="F76" s="66"/>
      <c r="G76" s="63"/>
      <c r="H76" s="67"/>
      <c r="I76" s="68"/>
      <c r="J76" s="68"/>
      <c r="K76" s="32" t="s">
        <v>65</v>
      </c>
      <c r="L76" s="75">
        <v>76</v>
      </c>
      <c r="M76" s="75"/>
      <c r="N76" s="70"/>
      <c r="O76" s="77" t="s">
        <v>571</v>
      </c>
      <c r="P76" s="79">
        <v>41732.441516203704</v>
      </c>
      <c r="Q76" s="77" t="s">
        <v>634</v>
      </c>
      <c r="R76" s="77">
        <v>1</v>
      </c>
      <c r="S76" s="77">
        <v>0</v>
      </c>
      <c r="T76" s="77">
        <v>0</v>
      </c>
      <c r="U76" s="77">
        <v>0</v>
      </c>
      <c r="V76" s="77"/>
      <c r="W76" s="77"/>
      <c r="X76" s="80" t="str">
        <f>HYPERLINK("http://www.inovies.com/inovies_news.php?id=6")</f>
        <v>http://www.inovies.com/inovies_news.php?id=6</v>
      </c>
      <c r="Y76" s="77" t="s">
        <v>1982</v>
      </c>
      <c r="Z76" s="77" t="s">
        <v>299</v>
      </c>
      <c r="AA76" s="77"/>
      <c r="AB76" s="77"/>
      <c r="AC76" s="81" t="s">
        <v>2712</v>
      </c>
      <c r="AD76" s="77" t="s">
        <v>2751</v>
      </c>
      <c r="AE76" s="80" t="str">
        <f>HYPERLINK("https://twitter.com/rameshdudala/status/451669385250226177")</f>
        <v>https://twitter.com/rameshdudala/status/451669385250226177</v>
      </c>
      <c r="AF76" s="79">
        <v>41732.441516203704</v>
      </c>
      <c r="AG76" s="85">
        <v>41732</v>
      </c>
      <c r="AH76" s="81" t="s">
        <v>2824</v>
      </c>
      <c r="AI76" s="77" t="b">
        <v>0</v>
      </c>
      <c r="AJ76" s="77"/>
      <c r="AK76" s="77"/>
      <c r="AL76" s="77"/>
      <c r="AM76" s="77"/>
      <c r="AN76" s="77"/>
      <c r="AO76" s="77"/>
      <c r="AP76" s="77"/>
      <c r="AQ76" s="77"/>
      <c r="AR76" s="77"/>
      <c r="AS76" s="77"/>
      <c r="AT76" s="77"/>
      <c r="AU76" s="77"/>
      <c r="AV76" s="80" t="str">
        <f>HYPERLINK("https://pbs.twimg.com/profile_images/3151993004/9e73269faab0ce782dd7dce36b95c1f8_normal.jpeg")</f>
        <v>https://pbs.twimg.com/profile_images/3151993004/9e73269faab0ce782dd7dce36b95c1f8_normal.jpeg</v>
      </c>
      <c r="AW76" s="81" t="s">
        <v>4568</v>
      </c>
      <c r="AX76" s="81" t="s">
        <v>4568</v>
      </c>
      <c r="AY76" s="77"/>
      <c r="AZ76" s="81" t="s">
        <v>5773</v>
      </c>
      <c r="BA76" s="81" t="s">
        <v>5773</v>
      </c>
      <c r="BB76" s="81" t="s">
        <v>5773</v>
      </c>
      <c r="BC76" s="81" t="s">
        <v>4568</v>
      </c>
      <c r="BD76" s="77">
        <v>226829792</v>
      </c>
      <c r="BE76" s="77"/>
      <c r="BF76" s="77"/>
      <c r="BG76" s="77"/>
      <c r="BH76" s="77"/>
      <c r="BI76" s="77"/>
    </row>
    <row r="77" spans="1:61" ht="15">
      <c r="A77" s="62" t="s">
        <v>249</v>
      </c>
      <c r="B77" s="62" t="s">
        <v>299</v>
      </c>
      <c r="C77" s="63"/>
      <c r="D77" s="64"/>
      <c r="E77" s="65"/>
      <c r="F77" s="66"/>
      <c r="G77" s="63"/>
      <c r="H77" s="67"/>
      <c r="I77" s="68"/>
      <c r="J77" s="68"/>
      <c r="K77" s="32" t="s">
        <v>65</v>
      </c>
      <c r="L77" s="75">
        <v>77</v>
      </c>
      <c r="M77" s="75"/>
      <c r="N77" s="70"/>
      <c r="O77" s="77" t="s">
        <v>571</v>
      </c>
      <c r="P77" s="79">
        <v>41732.44113425926</v>
      </c>
      <c r="Q77" s="77" t="s">
        <v>635</v>
      </c>
      <c r="R77" s="77">
        <v>1</v>
      </c>
      <c r="S77" s="77">
        <v>0</v>
      </c>
      <c r="T77" s="77">
        <v>0</v>
      </c>
      <c r="U77" s="77">
        <v>0</v>
      </c>
      <c r="V77" s="77"/>
      <c r="W77" s="77"/>
      <c r="X77" s="80" t="str">
        <f>HYPERLINK("http://www.inovies.com/inovies_news.php?id=22")</f>
        <v>http://www.inovies.com/inovies_news.php?id=22</v>
      </c>
      <c r="Y77" s="77" t="s">
        <v>1982</v>
      </c>
      <c r="Z77" s="77" t="s">
        <v>299</v>
      </c>
      <c r="AA77" s="77"/>
      <c r="AB77" s="77"/>
      <c r="AC77" s="81" t="s">
        <v>2712</v>
      </c>
      <c r="AD77" s="77" t="s">
        <v>2751</v>
      </c>
      <c r="AE77" s="80" t="str">
        <f>HYPERLINK("https://twitter.com/rameshdudala/status/451669244032200704")</f>
        <v>https://twitter.com/rameshdudala/status/451669244032200704</v>
      </c>
      <c r="AF77" s="79">
        <v>41732.44113425926</v>
      </c>
      <c r="AG77" s="85">
        <v>41732</v>
      </c>
      <c r="AH77" s="81" t="s">
        <v>2825</v>
      </c>
      <c r="AI77" s="77" t="b">
        <v>0</v>
      </c>
      <c r="AJ77" s="77"/>
      <c r="AK77" s="77"/>
      <c r="AL77" s="77"/>
      <c r="AM77" s="77"/>
      <c r="AN77" s="77"/>
      <c r="AO77" s="77"/>
      <c r="AP77" s="77"/>
      <c r="AQ77" s="77"/>
      <c r="AR77" s="77"/>
      <c r="AS77" s="77"/>
      <c r="AT77" s="77"/>
      <c r="AU77" s="77"/>
      <c r="AV77" s="80" t="str">
        <f>HYPERLINK("https://pbs.twimg.com/profile_images/3151993004/9e73269faab0ce782dd7dce36b95c1f8_normal.jpeg")</f>
        <v>https://pbs.twimg.com/profile_images/3151993004/9e73269faab0ce782dd7dce36b95c1f8_normal.jpeg</v>
      </c>
      <c r="AW77" s="81" t="s">
        <v>4569</v>
      </c>
      <c r="AX77" s="81" t="s">
        <v>4569</v>
      </c>
      <c r="AY77" s="77"/>
      <c r="AZ77" s="81" t="s">
        <v>5773</v>
      </c>
      <c r="BA77" s="81" t="s">
        <v>5773</v>
      </c>
      <c r="BB77" s="81" t="s">
        <v>5773</v>
      </c>
      <c r="BC77" s="81" t="s">
        <v>4569</v>
      </c>
      <c r="BD77" s="77">
        <v>226829792</v>
      </c>
      <c r="BE77" s="77"/>
      <c r="BF77" s="77"/>
      <c r="BG77" s="77"/>
      <c r="BH77" s="77"/>
      <c r="BI77" s="77"/>
    </row>
    <row r="78" spans="1:61" ht="15">
      <c r="A78" s="62" t="s">
        <v>249</v>
      </c>
      <c r="B78" s="62" t="s">
        <v>299</v>
      </c>
      <c r="C78" s="63"/>
      <c r="D78" s="64"/>
      <c r="E78" s="65"/>
      <c r="F78" s="66"/>
      <c r="G78" s="63"/>
      <c r="H78" s="67"/>
      <c r="I78" s="68"/>
      <c r="J78" s="68"/>
      <c r="K78" s="32" t="s">
        <v>65</v>
      </c>
      <c r="L78" s="75">
        <v>78</v>
      </c>
      <c r="M78" s="75"/>
      <c r="N78" s="70"/>
      <c r="O78" s="77" t="s">
        <v>571</v>
      </c>
      <c r="P78" s="79">
        <v>41732.44024305556</v>
      </c>
      <c r="Q78" s="77" t="s">
        <v>636</v>
      </c>
      <c r="R78" s="77">
        <v>1</v>
      </c>
      <c r="S78" s="77">
        <v>0</v>
      </c>
      <c r="T78" s="77">
        <v>0</v>
      </c>
      <c r="U78" s="77">
        <v>0</v>
      </c>
      <c r="V78" s="77"/>
      <c r="W78" s="77"/>
      <c r="X78" s="80" t="str">
        <f>HYPERLINK("http://www.inovies.com/inovies_news.php?id=17")</f>
        <v>http://www.inovies.com/inovies_news.php?id=17</v>
      </c>
      <c r="Y78" s="77" t="s">
        <v>1982</v>
      </c>
      <c r="Z78" s="77" t="s">
        <v>299</v>
      </c>
      <c r="AA78" s="77"/>
      <c r="AB78" s="77"/>
      <c r="AC78" s="81" t="s">
        <v>2712</v>
      </c>
      <c r="AD78" s="77" t="s">
        <v>2751</v>
      </c>
      <c r="AE78" s="80" t="str">
        <f>HYPERLINK("https://twitter.com/rameshdudala/status/451668921297281024")</f>
        <v>https://twitter.com/rameshdudala/status/451668921297281024</v>
      </c>
      <c r="AF78" s="79">
        <v>41732.44024305556</v>
      </c>
      <c r="AG78" s="85">
        <v>41732</v>
      </c>
      <c r="AH78" s="81" t="s">
        <v>2826</v>
      </c>
      <c r="AI78" s="77" t="b">
        <v>0</v>
      </c>
      <c r="AJ78" s="77"/>
      <c r="AK78" s="77"/>
      <c r="AL78" s="77"/>
      <c r="AM78" s="77"/>
      <c r="AN78" s="77"/>
      <c r="AO78" s="77"/>
      <c r="AP78" s="77"/>
      <c r="AQ78" s="77"/>
      <c r="AR78" s="77"/>
      <c r="AS78" s="77"/>
      <c r="AT78" s="77"/>
      <c r="AU78" s="77"/>
      <c r="AV78" s="80" t="str">
        <f>HYPERLINK("https://pbs.twimg.com/profile_images/3151993004/9e73269faab0ce782dd7dce36b95c1f8_normal.jpeg")</f>
        <v>https://pbs.twimg.com/profile_images/3151993004/9e73269faab0ce782dd7dce36b95c1f8_normal.jpeg</v>
      </c>
      <c r="AW78" s="81" t="s">
        <v>4570</v>
      </c>
      <c r="AX78" s="81" t="s">
        <v>4570</v>
      </c>
      <c r="AY78" s="77"/>
      <c r="AZ78" s="81" t="s">
        <v>5773</v>
      </c>
      <c r="BA78" s="81" t="s">
        <v>5773</v>
      </c>
      <c r="BB78" s="81" t="s">
        <v>5773</v>
      </c>
      <c r="BC78" s="81" t="s">
        <v>4570</v>
      </c>
      <c r="BD78" s="77">
        <v>226829792</v>
      </c>
      <c r="BE78" s="77"/>
      <c r="BF78" s="77"/>
      <c r="BG78" s="77"/>
      <c r="BH78" s="77"/>
      <c r="BI78" s="77"/>
    </row>
    <row r="79" spans="1:61" ht="15">
      <c r="A79" s="62" t="s">
        <v>249</v>
      </c>
      <c r="B79" s="62" t="s">
        <v>299</v>
      </c>
      <c r="C79" s="63"/>
      <c r="D79" s="64"/>
      <c r="E79" s="65"/>
      <c r="F79" s="66"/>
      <c r="G79" s="63"/>
      <c r="H79" s="67"/>
      <c r="I79" s="68"/>
      <c r="J79" s="68"/>
      <c r="K79" s="32" t="s">
        <v>65</v>
      </c>
      <c r="L79" s="75">
        <v>79</v>
      </c>
      <c r="M79" s="75"/>
      <c r="N79" s="70"/>
      <c r="O79" s="77" t="s">
        <v>571</v>
      </c>
      <c r="P79" s="79">
        <v>41732.43922453704</v>
      </c>
      <c r="Q79" s="77" t="s">
        <v>637</v>
      </c>
      <c r="R79" s="77">
        <v>1</v>
      </c>
      <c r="S79" s="77">
        <v>0</v>
      </c>
      <c r="T79" s="77">
        <v>0</v>
      </c>
      <c r="U79" s="77">
        <v>0</v>
      </c>
      <c r="V79" s="77"/>
      <c r="W79" s="77"/>
      <c r="X79" s="77"/>
      <c r="Y79" s="77"/>
      <c r="Z79" s="77" t="s">
        <v>299</v>
      </c>
      <c r="AA79" s="77"/>
      <c r="AB79" s="77"/>
      <c r="AC79" s="81" t="s">
        <v>2712</v>
      </c>
      <c r="AD79" s="77" t="s">
        <v>2751</v>
      </c>
      <c r="AE79" s="80" t="str">
        <f>HYPERLINK("https://twitter.com/rameshdudala/status/451668555604299776")</f>
        <v>https://twitter.com/rameshdudala/status/451668555604299776</v>
      </c>
      <c r="AF79" s="79">
        <v>41732.43922453704</v>
      </c>
      <c r="AG79" s="85">
        <v>41732</v>
      </c>
      <c r="AH79" s="81" t="s">
        <v>2827</v>
      </c>
      <c r="AI79" s="77"/>
      <c r="AJ79" s="77"/>
      <c r="AK79" s="77"/>
      <c r="AL79" s="77"/>
      <c r="AM79" s="77"/>
      <c r="AN79" s="77"/>
      <c r="AO79" s="77"/>
      <c r="AP79" s="77"/>
      <c r="AQ79" s="77"/>
      <c r="AR79" s="77"/>
      <c r="AS79" s="77"/>
      <c r="AT79" s="77"/>
      <c r="AU79" s="77"/>
      <c r="AV79" s="80" t="str">
        <f>HYPERLINK("https://pbs.twimg.com/profile_images/3151993004/9e73269faab0ce782dd7dce36b95c1f8_normal.jpeg")</f>
        <v>https://pbs.twimg.com/profile_images/3151993004/9e73269faab0ce782dd7dce36b95c1f8_normal.jpeg</v>
      </c>
      <c r="AW79" s="81" t="s">
        <v>4571</v>
      </c>
      <c r="AX79" s="81" t="s">
        <v>4571</v>
      </c>
      <c r="AY79" s="77"/>
      <c r="AZ79" s="81" t="s">
        <v>5773</v>
      </c>
      <c r="BA79" s="81" t="s">
        <v>5773</v>
      </c>
      <c r="BB79" s="81" t="s">
        <v>5773</v>
      </c>
      <c r="BC79" s="81" t="s">
        <v>4571</v>
      </c>
      <c r="BD79" s="77">
        <v>226829792</v>
      </c>
      <c r="BE79" s="77"/>
      <c r="BF79" s="77"/>
      <c r="BG79" s="77"/>
      <c r="BH79" s="77"/>
      <c r="BI79" s="77"/>
    </row>
    <row r="80" spans="1:61" ht="15">
      <c r="A80" s="62" t="s">
        <v>249</v>
      </c>
      <c r="B80" s="62" t="s">
        <v>299</v>
      </c>
      <c r="C80" s="63"/>
      <c r="D80" s="64"/>
      <c r="E80" s="65"/>
      <c r="F80" s="66"/>
      <c r="G80" s="63"/>
      <c r="H80" s="67"/>
      <c r="I80" s="68"/>
      <c r="J80" s="68"/>
      <c r="K80" s="32" t="s">
        <v>65</v>
      </c>
      <c r="L80" s="75">
        <v>80</v>
      </c>
      <c r="M80" s="75"/>
      <c r="N80" s="70"/>
      <c r="O80" s="77" t="s">
        <v>571</v>
      </c>
      <c r="P80" s="79">
        <v>41732.437685185185</v>
      </c>
      <c r="Q80" s="77" t="s">
        <v>638</v>
      </c>
      <c r="R80" s="77">
        <v>1</v>
      </c>
      <c r="S80" s="77">
        <v>0</v>
      </c>
      <c r="T80" s="77">
        <v>0</v>
      </c>
      <c r="U80" s="77">
        <v>0</v>
      </c>
      <c r="V80" s="77"/>
      <c r="W80" s="77"/>
      <c r="X80" s="80" t="str">
        <f>HYPERLINK("http://www.inovies.com/inovies_news.php?id=13")</f>
        <v>http://www.inovies.com/inovies_news.php?id=13</v>
      </c>
      <c r="Y80" s="77" t="s">
        <v>1982</v>
      </c>
      <c r="Z80" s="77" t="s">
        <v>299</v>
      </c>
      <c r="AA80" s="77"/>
      <c r="AB80" s="77"/>
      <c r="AC80" s="81" t="s">
        <v>2712</v>
      </c>
      <c r="AD80" s="77" t="s">
        <v>2751</v>
      </c>
      <c r="AE80" s="80" t="str">
        <f>HYPERLINK("https://twitter.com/rameshdudala/status/451667994674876416")</f>
        <v>https://twitter.com/rameshdudala/status/451667994674876416</v>
      </c>
      <c r="AF80" s="79">
        <v>41732.437685185185</v>
      </c>
      <c r="AG80" s="85">
        <v>41732</v>
      </c>
      <c r="AH80" s="81" t="s">
        <v>2828</v>
      </c>
      <c r="AI80" s="77" t="b">
        <v>0</v>
      </c>
      <c r="AJ80" s="77"/>
      <c r="AK80" s="77"/>
      <c r="AL80" s="77"/>
      <c r="AM80" s="77"/>
      <c r="AN80" s="77"/>
      <c r="AO80" s="77"/>
      <c r="AP80" s="77"/>
      <c r="AQ80" s="77"/>
      <c r="AR80" s="77"/>
      <c r="AS80" s="77"/>
      <c r="AT80" s="77"/>
      <c r="AU80" s="77"/>
      <c r="AV80" s="80" t="str">
        <f>HYPERLINK("https://pbs.twimg.com/profile_images/3151993004/9e73269faab0ce782dd7dce36b95c1f8_normal.jpeg")</f>
        <v>https://pbs.twimg.com/profile_images/3151993004/9e73269faab0ce782dd7dce36b95c1f8_normal.jpeg</v>
      </c>
      <c r="AW80" s="81" t="s">
        <v>4572</v>
      </c>
      <c r="AX80" s="81" t="s">
        <v>4572</v>
      </c>
      <c r="AY80" s="77"/>
      <c r="AZ80" s="81" t="s">
        <v>5773</v>
      </c>
      <c r="BA80" s="81" t="s">
        <v>5773</v>
      </c>
      <c r="BB80" s="81" t="s">
        <v>5773</v>
      </c>
      <c r="BC80" s="81" t="s">
        <v>4572</v>
      </c>
      <c r="BD80" s="77">
        <v>226829792</v>
      </c>
      <c r="BE80" s="77"/>
      <c r="BF80" s="77"/>
      <c r="BG80" s="77"/>
      <c r="BH80" s="77"/>
      <c r="BI80" s="77"/>
    </row>
    <row r="81" spans="1:61" ht="15">
      <c r="A81" s="62" t="s">
        <v>249</v>
      </c>
      <c r="B81" s="62" t="s">
        <v>299</v>
      </c>
      <c r="C81" s="63"/>
      <c r="D81" s="64"/>
      <c r="E81" s="65"/>
      <c r="F81" s="66"/>
      <c r="G81" s="63"/>
      <c r="H81" s="67"/>
      <c r="I81" s="68"/>
      <c r="J81" s="68"/>
      <c r="K81" s="32" t="s">
        <v>65</v>
      </c>
      <c r="L81" s="75">
        <v>81</v>
      </c>
      <c r="M81" s="75"/>
      <c r="N81" s="70"/>
      <c r="O81" s="77" t="s">
        <v>571</v>
      </c>
      <c r="P81" s="79">
        <v>41732.43547453704</v>
      </c>
      <c r="Q81" s="77" t="s">
        <v>639</v>
      </c>
      <c r="R81" s="77">
        <v>1</v>
      </c>
      <c r="S81" s="77">
        <v>0</v>
      </c>
      <c r="T81" s="77">
        <v>0</v>
      </c>
      <c r="U81" s="77">
        <v>0</v>
      </c>
      <c r="V81" s="77"/>
      <c r="W81" s="77"/>
      <c r="X81" s="80" t="str">
        <f>HYPERLINK("http://www.inovies.com/inovies_news.php?id=20")</f>
        <v>http://www.inovies.com/inovies_news.php?id=20</v>
      </c>
      <c r="Y81" s="77" t="s">
        <v>1982</v>
      </c>
      <c r="Z81" s="77" t="s">
        <v>299</v>
      </c>
      <c r="AA81" s="77"/>
      <c r="AB81" s="77"/>
      <c r="AC81" s="81" t="s">
        <v>2712</v>
      </c>
      <c r="AD81" s="77" t="s">
        <v>2751</v>
      </c>
      <c r="AE81" s="80" t="str">
        <f>HYPERLINK("https://twitter.com/rameshdudala/status/451667193063698433")</f>
        <v>https://twitter.com/rameshdudala/status/451667193063698433</v>
      </c>
      <c r="AF81" s="79">
        <v>41732.43547453704</v>
      </c>
      <c r="AG81" s="85">
        <v>41732</v>
      </c>
      <c r="AH81" s="81" t="s">
        <v>2786</v>
      </c>
      <c r="AI81" s="77" t="b">
        <v>0</v>
      </c>
      <c r="AJ81" s="77"/>
      <c r="AK81" s="77"/>
      <c r="AL81" s="77"/>
      <c r="AM81" s="77"/>
      <c r="AN81" s="77"/>
      <c r="AO81" s="77"/>
      <c r="AP81" s="77"/>
      <c r="AQ81" s="77"/>
      <c r="AR81" s="77"/>
      <c r="AS81" s="77"/>
      <c r="AT81" s="77"/>
      <c r="AU81" s="77"/>
      <c r="AV81" s="80" t="str">
        <f>HYPERLINK("https://pbs.twimg.com/profile_images/3151993004/9e73269faab0ce782dd7dce36b95c1f8_normal.jpeg")</f>
        <v>https://pbs.twimg.com/profile_images/3151993004/9e73269faab0ce782dd7dce36b95c1f8_normal.jpeg</v>
      </c>
      <c r="AW81" s="81" t="s">
        <v>4573</v>
      </c>
      <c r="AX81" s="81" t="s">
        <v>4573</v>
      </c>
      <c r="AY81" s="77"/>
      <c r="AZ81" s="81" t="s">
        <v>5773</v>
      </c>
      <c r="BA81" s="81" t="s">
        <v>5773</v>
      </c>
      <c r="BB81" s="81" t="s">
        <v>5773</v>
      </c>
      <c r="BC81" s="81" t="s">
        <v>4573</v>
      </c>
      <c r="BD81" s="77">
        <v>226829792</v>
      </c>
      <c r="BE81" s="77"/>
      <c r="BF81" s="77"/>
      <c r="BG81" s="77"/>
      <c r="BH81" s="77"/>
      <c r="BI81" s="77"/>
    </row>
    <row r="82" spans="1:61" ht="15">
      <c r="A82" s="62" t="s">
        <v>249</v>
      </c>
      <c r="B82" s="62" t="s">
        <v>299</v>
      </c>
      <c r="C82" s="63"/>
      <c r="D82" s="64"/>
      <c r="E82" s="65"/>
      <c r="F82" s="66"/>
      <c r="G82" s="63"/>
      <c r="H82" s="67"/>
      <c r="I82" s="68"/>
      <c r="J82" s="68"/>
      <c r="K82" s="32" t="s">
        <v>65</v>
      </c>
      <c r="L82" s="75">
        <v>82</v>
      </c>
      <c r="M82" s="75"/>
      <c r="N82" s="70"/>
      <c r="O82" s="77" t="s">
        <v>571</v>
      </c>
      <c r="P82" s="79">
        <v>41732.43208333333</v>
      </c>
      <c r="Q82" s="77" t="s">
        <v>640</v>
      </c>
      <c r="R82" s="77">
        <v>1</v>
      </c>
      <c r="S82" s="77">
        <v>0</v>
      </c>
      <c r="T82" s="77">
        <v>0</v>
      </c>
      <c r="U82" s="77">
        <v>0</v>
      </c>
      <c r="V82" s="77"/>
      <c r="W82" s="77"/>
      <c r="X82" s="80" t="str">
        <f>HYPERLINK("http://www.inovies.com/inovies_news.php?id=14")</f>
        <v>http://www.inovies.com/inovies_news.php?id=14</v>
      </c>
      <c r="Y82" s="77" t="s">
        <v>1982</v>
      </c>
      <c r="Z82" s="77" t="s">
        <v>299</v>
      </c>
      <c r="AA82" s="77"/>
      <c r="AB82" s="77"/>
      <c r="AC82" s="81" t="s">
        <v>2712</v>
      </c>
      <c r="AD82" s="77" t="s">
        <v>2751</v>
      </c>
      <c r="AE82" s="80" t="str">
        <f>HYPERLINK("https://twitter.com/rameshdudala/status/451665966208782336")</f>
        <v>https://twitter.com/rameshdudala/status/451665966208782336</v>
      </c>
      <c r="AF82" s="79">
        <v>41732.43208333333</v>
      </c>
      <c r="AG82" s="85">
        <v>41732</v>
      </c>
      <c r="AH82" s="81" t="s">
        <v>2829</v>
      </c>
      <c r="AI82" s="77" t="b">
        <v>0</v>
      </c>
      <c r="AJ82" s="77"/>
      <c r="AK82" s="77"/>
      <c r="AL82" s="77"/>
      <c r="AM82" s="77"/>
      <c r="AN82" s="77"/>
      <c r="AO82" s="77"/>
      <c r="AP82" s="77"/>
      <c r="AQ82" s="77"/>
      <c r="AR82" s="77"/>
      <c r="AS82" s="77"/>
      <c r="AT82" s="77"/>
      <c r="AU82" s="77"/>
      <c r="AV82" s="80" t="str">
        <f>HYPERLINK("https://pbs.twimg.com/profile_images/3151993004/9e73269faab0ce782dd7dce36b95c1f8_normal.jpeg")</f>
        <v>https://pbs.twimg.com/profile_images/3151993004/9e73269faab0ce782dd7dce36b95c1f8_normal.jpeg</v>
      </c>
      <c r="AW82" s="81" t="s">
        <v>4574</v>
      </c>
      <c r="AX82" s="81" t="s">
        <v>4574</v>
      </c>
      <c r="AY82" s="77"/>
      <c r="AZ82" s="81" t="s">
        <v>5773</v>
      </c>
      <c r="BA82" s="81" t="s">
        <v>5773</v>
      </c>
      <c r="BB82" s="81" t="s">
        <v>5773</v>
      </c>
      <c r="BC82" s="81" t="s">
        <v>4574</v>
      </c>
      <c r="BD82" s="77">
        <v>226829792</v>
      </c>
      <c r="BE82" s="77"/>
      <c r="BF82" s="77"/>
      <c r="BG82" s="77"/>
      <c r="BH82" s="77"/>
      <c r="BI82" s="77"/>
    </row>
    <row r="83" spans="1:61" ht="15">
      <c r="A83" s="62" t="s">
        <v>249</v>
      </c>
      <c r="B83" s="62" t="s">
        <v>299</v>
      </c>
      <c r="C83" s="63"/>
      <c r="D83" s="64"/>
      <c r="E83" s="65"/>
      <c r="F83" s="66"/>
      <c r="G83" s="63"/>
      <c r="H83" s="67"/>
      <c r="I83" s="68"/>
      <c r="J83" s="68"/>
      <c r="K83" s="32" t="s">
        <v>65</v>
      </c>
      <c r="L83" s="75">
        <v>83</v>
      </c>
      <c r="M83" s="75"/>
      <c r="N83" s="70"/>
      <c r="O83" s="77" t="s">
        <v>571</v>
      </c>
      <c r="P83" s="79">
        <v>41732.426469907405</v>
      </c>
      <c r="Q83" s="77" t="s">
        <v>641</v>
      </c>
      <c r="R83" s="77">
        <v>1</v>
      </c>
      <c r="S83" s="77">
        <v>0</v>
      </c>
      <c r="T83" s="77">
        <v>0</v>
      </c>
      <c r="U83" s="77">
        <v>0</v>
      </c>
      <c r="V83" s="77"/>
      <c r="W83" s="77"/>
      <c r="X83" s="77"/>
      <c r="Y83" s="77"/>
      <c r="Z83" s="77" t="s">
        <v>299</v>
      </c>
      <c r="AA83" s="77"/>
      <c r="AB83" s="77"/>
      <c r="AC83" s="81" t="s">
        <v>2712</v>
      </c>
      <c r="AD83" s="77" t="s">
        <v>2751</v>
      </c>
      <c r="AE83" s="80" t="str">
        <f>HYPERLINK("https://twitter.com/rameshdudala/status/451663933716180992")</f>
        <v>https://twitter.com/rameshdudala/status/451663933716180992</v>
      </c>
      <c r="AF83" s="79">
        <v>41732.426469907405</v>
      </c>
      <c r="AG83" s="85">
        <v>41732</v>
      </c>
      <c r="AH83" s="81" t="s">
        <v>2830</v>
      </c>
      <c r="AI83" s="77"/>
      <c r="AJ83" s="77"/>
      <c r="AK83" s="77"/>
      <c r="AL83" s="77"/>
      <c r="AM83" s="77"/>
      <c r="AN83" s="77"/>
      <c r="AO83" s="77"/>
      <c r="AP83" s="77"/>
      <c r="AQ83" s="77"/>
      <c r="AR83" s="77"/>
      <c r="AS83" s="77"/>
      <c r="AT83" s="77"/>
      <c r="AU83" s="77"/>
      <c r="AV83" s="80" t="str">
        <f>HYPERLINK("https://pbs.twimg.com/profile_images/3151993004/9e73269faab0ce782dd7dce36b95c1f8_normal.jpeg")</f>
        <v>https://pbs.twimg.com/profile_images/3151993004/9e73269faab0ce782dd7dce36b95c1f8_normal.jpeg</v>
      </c>
      <c r="AW83" s="81" t="s">
        <v>4575</v>
      </c>
      <c r="AX83" s="81" t="s">
        <v>4575</v>
      </c>
      <c r="AY83" s="77"/>
      <c r="AZ83" s="81" t="s">
        <v>5773</v>
      </c>
      <c r="BA83" s="81" t="s">
        <v>5773</v>
      </c>
      <c r="BB83" s="81" t="s">
        <v>5773</v>
      </c>
      <c r="BC83" s="81" t="s">
        <v>4575</v>
      </c>
      <c r="BD83" s="77">
        <v>226829792</v>
      </c>
      <c r="BE83" s="77"/>
      <c r="BF83" s="77"/>
      <c r="BG83" s="77"/>
      <c r="BH83" s="77"/>
      <c r="BI83" s="77"/>
    </row>
    <row r="84" spans="1:61" ht="15">
      <c r="A84" s="62" t="s">
        <v>249</v>
      </c>
      <c r="B84" s="62" t="s">
        <v>299</v>
      </c>
      <c r="C84" s="63"/>
      <c r="D84" s="64"/>
      <c r="E84" s="65"/>
      <c r="F84" s="66"/>
      <c r="G84" s="63"/>
      <c r="H84" s="67"/>
      <c r="I84" s="68"/>
      <c r="J84" s="68"/>
      <c r="K84" s="32" t="s">
        <v>65</v>
      </c>
      <c r="L84" s="75">
        <v>84</v>
      </c>
      <c r="M84" s="75"/>
      <c r="N84" s="70"/>
      <c r="O84" s="77" t="s">
        <v>571</v>
      </c>
      <c r="P84" s="79">
        <v>41732.3703125</v>
      </c>
      <c r="Q84" s="77" t="s">
        <v>642</v>
      </c>
      <c r="R84" s="77">
        <v>1</v>
      </c>
      <c r="S84" s="77">
        <v>0</v>
      </c>
      <c r="T84" s="77">
        <v>0</v>
      </c>
      <c r="U84" s="77">
        <v>0</v>
      </c>
      <c r="V84" s="77"/>
      <c r="W84" s="77"/>
      <c r="X84" s="80" t="str">
        <f>HYPERLINK("http://inovies.com/inovies_news.php?id=21")</f>
        <v>http://inovies.com/inovies_news.php?id=21</v>
      </c>
      <c r="Y84" s="77" t="s">
        <v>1982</v>
      </c>
      <c r="Z84" s="77" t="s">
        <v>299</v>
      </c>
      <c r="AA84" s="77"/>
      <c r="AB84" s="77"/>
      <c r="AC84" s="81" t="s">
        <v>2712</v>
      </c>
      <c r="AD84" s="77" t="s">
        <v>2751</v>
      </c>
      <c r="AE84" s="80" t="str">
        <f>HYPERLINK("https://twitter.com/rameshdudala/status/451643582038806528")</f>
        <v>https://twitter.com/rameshdudala/status/451643582038806528</v>
      </c>
      <c r="AF84" s="79">
        <v>41732.3703125</v>
      </c>
      <c r="AG84" s="85">
        <v>41732</v>
      </c>
      <c r="AH84" s="81" t="s">
        <v>2831</v>
      </c>
      <c r="AI84" s="77" t="b">
        <v>0</v>
      </c>
      <c r="AJ84" s="77"/>
      <c r="AK84" s="77"/>
      <c r="AL84" s="77"/>
      <c r="AM84" s="77"/>
      <c r="AN84" s="77"/>
      <c r="AO84" s="77"/>
      <c r="AP84" s="77"/>
      <c r="AQ84" s="77"/>
      <c r="AR84" s="77"/>
      <c r="AS84" s="77"/>
      <c r="AT84" s="77"/>
      <c r="AU84" s="77"/>
      <c r="AV84" s="80" t="str">
        <f>HYPERLINK("https://pbs.twimg.com/profile_images/3151993004/9e73269faab0ce782dd7dce36b95c1f8_normal.jpeg")</f>
        <v>https://pbs.twimg.com/profile_images/3151993004/9e73269faab0ce782dd7dce36b95c1f8_normal.jpeg</v>
      </c>
      <c r="AW84" s="81" t="s">
        <v>4576</v>
      </c>
      <c r="AX84" s="81" t="s">
        <v>4576</v>
      </c>
      <c r="AY84" s="77"/>
      <c r="AZ84" s="81" t="s">
        <v>5773</v>
      </c>
      <c r="BA84" s="81" t="s">
        <v>5773</v>
      </c>
      <c r="BB84" s="81" t="s">
        <v>5773</v>
      </c>
      <c r="BC84" s="81" t="s">
        <v>4576</v>
      </c>
      <c r="BD84" s="77">
        <v>226829792</v>
      </c>
      <c r="BE84" s="77"/>
      <c r="BF84" s="77"/>
      <c r="BG84" s="77"/>
      <c r="BH84" s="77"/>
      <c r="BI84" s="77"/>
    </row>
    <row r="85" spans="1:61" ht="15">
      <c r="A85" s="62" t="s">
        <v>249</v>
      </c>
      <c r="B85" s="62" t="s">
        <v>299</v>
      </c>
      <c r="C85" s="63"/>
      <c r="D85" s="64"/>
      <c r="E85" s="65"/>
      <c r="F85" s="66"/>
      <c r="G85" s="63"/>
      <c r="H85" s="67"/>
      <c r="I85" s="68"/>
      <c r="J85" s="68"/>
      <c r="K85" s="32" t="s">
        <v>65</v>
      </c>
      <c r="L85" s="75">
        <v>85</v>
      </c>
      <c r="M85" s="75"/>
      <c r="N85" s="70"/>
      <c r="O85" s="77" t="s">
        <v>571</v>
      </c>
      <c r="P85" s="79">
        <v>41732.36993055556</v>
      </c>
      <c r="Q85" s="77" t="s">
        <v>612</v>
      </c>
      <c r="R85" s="77">
        <v>1</v>
      </c>
      <c r="S85" s="77">
        <v>0</v>
      </c>
      <c r="T85" s="77">
        <v>0</v>
      </c>
      <c r="U85" s="77">
        <v>0</v>
      </c>
      <c r="V85" s="77"/>
      <c r="W85" s="77"/>
      <c r="X85" s="80" t="str">
        <f>HYPERLINK("http://inovies.com/inovies_news.php?id=18")</f>
        <v>http://inovies.com/inovies_news.php?id=18</v>
      </c>
      <c r="Y85" s="77" t="s">
        <v>1982</v>
      </c>
      <c r="Z85" s="77" t="s">
        <v>299</v>
      </c>
      <c r="AA85" s="77"/>
      <c r="AB85" s="77"/>
      <c r="AC85" s="81" t="s">
        <v>2712</v>
      </c>
      <c r="AD85" s="77" t="s">
        <v>2751</v>
      </c>
      <c r="AE85" s="80" t="str">
        <f>HYPERLINK("https://twitter.com/rameshdudala/status/451643442527870976")</f>
        <v>https://twitter.com/rameshdudala/status/451643442527870976</v>
      </c>
      <c r="AF85" s="79">
        <v>41732.36993055556</v>
      </c>
      <c r="AG85" s="85">
        <v>41732</v>
      </c>
      <c r="AH85" s="81" t="s">
        <v>2832</v>
      </c>
      <c r="AI85" s="77" t="b">
        <v>0</v>
      </c>
      <c r="AJ85" s="77"/>
      <c r="AK85" s="77"/>
      <c r="AL85" s="77"/>
      <c r="AM85" s="77"/>
      <c r="AN85" s="77"/>
      <c r="AO85" s="77"/>
      <c r="AP85" s="77"/>
      <c r="AQ85" s="77"/>
      <c r="AR85" s="77"/>
      <c r="AS85" s="77"/>
      <c r="AT85" s="77"/>
      <c r="AU85" s="77"/>
      <c r="AV85" s="80" t="str">
        <f>HYPERLINK("https://pbs.twimg.com/profile_images/3151993004/9e73269faab0ce782dd7dce36b95c1f8_normal.jpeg")</f>
        <v>https://pbs.twimg.com/profile_images/3151993004/9e73269faab0ce782dd7dce36b95c1f8_normal.jpeg</v>
      </c>
      <c r="AW85" s="81" t="s">
        <v>4577</v>
      </c>
      <c r="AX85" s="81" t="s">
        <v>4577</v>
      </c>
      <c r="AY85" s="77"/>
      <c r="AZ85" s="81" t="s">
        <v>5773</v>
      </c>
      <c r="BA85" s="81" t="s">
        <v>5773</v>
      </c>
      <c r="BB85" s="81" t="s">
        <v>5773</v>
      </c>
      <c r="BC85" s="81" t="s">
        <v>4577</v>
      </c>
      <c r="BD85" s="77">
        <v>226829792</v>
      </c>
      <c r="BE85" s="77"/>
      <c r="BF85" s="77"/>
      <c r="BG85" s="77"/>
      <c r="BH85" s="77"/>
      <c r="BI85" s="77"/>
    </row>
    <row r="86" spans="1:61" ht="15">
      <c r="A86" s="62" t="s">
        <v>249</v>
      </c>
      <c r="B86" s="62" t="s">
        <v>249</v>
      </c>
      <c r="C86" s="63"/>
      <c r="D86" s="64"/>
      <c r="E86" s="65"/>
      <c r="F86" s="66"/>
      <c r="G86" s="63"/>
      <c r="H86" s="67"/>
      <c r="I86" s="68"/>
      <c r="J86" s="68"/>
      <c r="K86" s="32" t="s">
        <v>65</v>
      </c>
      <c r="L86" s="75">
        <v>86</v>
      </c>
      <c r="M86" s="75"/>
      <c r="N86" s="70"/>
      <c r="O86" s="77" t="s">
        <v>572</v>
      </c>
      <c r="P86" s="79">
        <v>41731.57046296296</v>
      </c>
      <c r="Q86" s="77" t="s">
        <v>643</v>
      </c>
      <c r="R86" s="77">
        <v>1</v>
      </c>
      <c r="S86" s="77">
        <v>0</v>
      </c>
      <c r="T86" s="77">
        <v>0</v>
      </c>
      <c r="U86" s="77">
        <v>0</v>
      </c>
      <c r="V86" s="77"/>
      <c r="W86" s="77"/>
      <c r="X86" s="77"/>
      <c r="Y86" s="77"/>
      <c r="Z86" s="77" t="s">
        <v>299</v>
      </c>
      <c r="AA86" s="77"/>
      <c r="AB86" s="77"/>
      <c r="AC86" s="81" t="s">
        <v>2705</v>
      </c>
      <c r="AD86" s="77" t="s">
        <v>2751</v>
      </c>
      <c r="AE86" s="80" t="str">
        <f>HYPERLINK("https://twitter.com/rameshdudala/status/451353724523659264")</f>
        <v>https://twitter.com/rameshdudala/status/451353724523659264</v>
      </c>
      <c r="AF86" s="79">
        <v>41731.57046296296</v>
      </c>
      <c r="AG86" s="85">
        <v>41731</v>
      </c>
      <c r="AH86" s="81" t="s">
        <v>2833</v>
      </c>
      <c r="AI86" s="77"/>
      <c r="AJ86" s="77"/>
      <c r="AK86" s="77"/>
      <c r="AL86" s="77"/>
      <c r="AM86" s="77"/>
      <c r="AN86" s="77"/>
      <c r="AO86" s="77"/>
      <c r="AP86" s="77"/>
      <c r="AQ86" s="77"/>
      <c r="AR86" s="77"/>
      <c r="AS86" s="77"/>
      <c r="AT86" s="77"/>
      <c r="AU86" s="77"/>
      <c r="AV86" s="80" t="str">
        <f>HYPERLINK("https://pbs.twimg.com/profile_images/3151993004/9e73269faab0ce782dd7dce36b95c1f8_normal.jpeg")</f>
        <v>https://pbs.twimg.com/profile_images/3151993004/9e73269faab0ce782dd7dce36b95c1f8_normal.jpeg</v>
      </c>
      <c r="AW86" s="81" t="s">
        <v>4578</v>
      </c>
      <c r="AX86" s="81" t="s">
        <v>4544</v>
      </c>
      <c r="AY86" s="81" t="s">
        <v>5727</v>
      </c>
      <c r="AZ86" s="81" t="s">
        <v>4544</v>
      </c>
      <c r="BA86" s="81" t="s">
        <v>5773</v>
      </c>
      <c r="BB86" s="81" t="s">
        <v>5773</v>
      </c>
      <c r="BC86" s="81" t="s">
        <v>4544</v>
      </c>
      <c r="BD86" s="77">
        <v>226829792</v>
      </c>
      <c r="BE86" s="77"/>
      <c r="BF86" s="77"/>
      <c r="BG86" s="77"/>
      <c r="BH86" s="77"/>
      <c r="BI86" s="77"/>
    </row>
    <row r="87" spans="1:61" ht="15">
      <c r="A87" s="62" t="s">
        <v>250</v>
      </c>
      <c r="B87" s="62" t="s">
        <v>250</v>
      </c>
      <c r="C87" s="63"/>
      <c r="D87" s="64"/>
      <c r="E87" s="65"/>
      <c r="F87" s="66"/>
      <c r="G87" s="63"/>
      <c r="H87" s="67"/>
      <c r="I87" s="68"/>
      <c r="J87" s="68"/>
      <c r="K87" s="32" t="s">
        <v>65</v>
      </c>
      <c r="L87" s="75">
        <v>87</v>
      </c>
      <c r="M87" s="75"/>
      <c r="N87" s="70"/>
      <c r="O87" s="77" t="s">
        <v>179</v>
      </c>
      <c r="P87" s="79">
        <v>43712.27211805555</v>
      </c>
      <c r="Q87" s="77" t="s">
        <v>644</v>
      </c>
      <c r="R87" s="77">
        <v>1</v>
      </c>
      <c r="S87" s="77">
        <v>3</v>
      </c>
      <c r="T87" s="77">
        <v>0</v>
      </c>
      <c r="U87" s="77">
        <v>0</v>
      </c>
      <c r="V87" s="77"/>
      <c r="W87" s="81" t="s">
        <v>1717</v>
      </c>
      <c r="X87" s="80" t="str">
        <f>HYPERLINK("https://www.inovies.com/digital-marketing-company/")</f>
        <v>https://www.inovies.com/digital-marketing-company/</v>
      </c>
      <c r="Y87" s="77" t="s">
        <v>1982</v>
      </c>
      <c r="Z87" s="77"/>
      <c r="AA87" s="77" t="s">
        <v>2106</v>
      </c>
      <c r="AB87" s="77" t="s">
        <v>2696</v>
      </c>
      <c r="AC87" s="81" t="s">
        <v>2707</v>
      </c>
      <c r="AD87" s="77" t="s">
        <v>2751</v>
      </c>
      <c r="AE87" s="80" t="str">
        <f>HYPERLINK("https://twitter.com/mahasri25080194/status/1169135969708204032")</f>
        <v>https://twitter.com/mahasri25080194/status/1169135969708204032</v>
      </c>
      <c r="AF87" s="79">
        <v>43712.27211805555</v>
      </c>
      <c r="AG87" s="85">
        <v>43712</v>
      </c>
      <c r="AH87" s="81" t="s">
        <v>2834</v>
      </c>
      <c r="AI87" s="77" t="b">
        <v>0</v>
      </c>
      <c r="AJ87" s="77"/>
      <c r="AK87" s="77"/>
      <c r="AL87" s="77"/>
      <c r="AM87" s="77"/>
      <c r="AN87" s="77"/>
      <c r="AO87" s="77"/>
      <c r="AP87" s="77"/>
      <c r="AQ87" s="77" t="s">
        <v>3924</v>
      </c>
      <c r="AR87" s="77"/>
      <c r="AS87" s="77"/>
      <c r="AT87" s="77"/>
      <c r="AU87" s="77"/>
      <c r="AV87" s="80" t="str">
        <f>HYPERLINK("https://pbs.twimg.com/media/EDma9tvXUAIcWHF.jpg")</f>
        <v>https://pbs.twimg.com/media/EDma9tvXUAIcWHF.jpg</v>
      </c>
      <c r="AW87" s="81" t="s">
        <v>4579</v>
      </c>
      <c r="AX87" s="81" t="s">
        <v>4579</v>
      </c>
      <c r="AY87" s="77"/>
      <c r="AZ87" s="81" t="s">
        <v>5773</v>
      </c>
      <c r="BA87" s="81" t="s">
        <v>5773</v>
      </c>
      <c r="BB87" s="81" t="s">
        <v>5773</v>
      </c>
      <c r="BC87" s="81" t="s">
        <v>4579</v>
      </c>
      <c r="BD87" s="81" t="s">
        <v>5793</v>
      </c>
      <c r="BE87" s="77"/>
      <c r="BF87" s="77"/>
      <c r="BG87" s="77"/>
      <c r="BH87" s="77"/>
      <c r="BI87" s="77"/>
    </row>
    <row r="88" spans="1:61" ht="15">
      <c r="A88" s="62" t="s">
        <v>250</v>
      </c>
      <c r="B88" s="62" t="s">
        <v>250</v>
      </c>
      <c r="C88" s="63"/>
      <c r="D88" s="64"/>
      <c r="E88" s="65"/>
      <c r="F88" s="66"/>
      <c r="G88" s="63"/>
      <c r="H88" s="67"/>
      <c r="I88" s="68"/>
      <c r="J88" s="68"/>
      <c r="K88" s="32" t="s">
        <v>65</v>
      </c>
      <c r="L88" s="75">
        <v>88</v>
      </c>
      <c r="M88" s="75"/>
      <c r="N88" s="70"/>
      <c r="O88" s="77" t="s">
        <v>179</v>
      </c>
      <c r="P88" s="79">
        <v>43707.356886574074</v>
      </c>
      <c r="Q88" s="77" t="s">
        <v>645</v>
      </c>
      <c r="R88" s="77">
        <v>0</v>
      </c>
      <c r="S88" s="77">
        <v>0</v>
      </c>
      <c r="T88" s="77">
        <v>0</v>
      </c>
      <c r="U88" s="77">
        <v>0</v>
      </c>
      <c r="V88" s="77"/>
      <c r="W88" s="77"/>
      <c r="X88" s="80" t="str">
        <f>HYPERLINK("https://www.freehostforum.com//forum/web-hosting-forum-web-hosting-web-host-hosting-managed-hosting-shared-hosting/web-hosting-forum/605984-inovies-digital-marketing-agency%C2%A0in-hyderabad#post605984")</f>
        <v>https://www.freehostforum.com//forum/web-hosting-forum-web-hosting-web-host-hosting-managed-hosting-shared-hosting/web-hosting-forum/605984-inovies-digital-marketing-agency%C2%A0in-hyderabad#post605984</v>
      </c>
      <c r="Y88" s="77" t="s">
        <v>1983</v>
      </c>
      <c r="Z88" s="77"/>
      <c r="AA88" s="77"/>
      <c r="AB88" s="77"/>
      <c r="AC88" s="81" t="s">
        <v>2705</v>
      </c>
      <c r="AD88" s="77" t="s">
        <v>2751</v>
      </c>
      <c r="AE88" s="80" t="str">
        <f>HYPERLINK("https://twitter.com/mahasri25080194/status/1167354749902966784")</f>
        <v>https://twitter.com/mahasri25080194/status/1167354749902966784</v>
      </c>
      <c r="AF88" s="79">
        <v>43707.356886574074</v>
      </c>
      <c r="AG88" s="85">
        <v>43707</v>
      </c>
      <c r="AH88" s="81" t="s">
        <v>2835</v>
      </c>
      <c r="AI88" s="77" t="b">
        <v>0</v>
      </c>
      <c r="AJ88" s="77"/>
      <c r="AK88" s="77"/>
      <c r="AL88" s="77"/>
      <c r="AM88" s="77"/>
      <c r="AN88" s="77"/>
      <c r="AO88" s="77"/>
      <c r="AP88" s="77"/>
      <c r="AQ88" s="77"/>
      <c r="AR88" s="77"/>
      <c r="AS88" s="77"/>
      <c r="AT88" s="77"/>
      <c r="AU88" s="77"/>
      <c r="AV88" s="80" t="str">
        <f>HYPERLINK("https://pbs.twimg.com/profile_images/1164488558058409984/rNvgE-GL_normal.jpg")</f>
        <v>https://pbs.twimg.com/profile_images/1164488558058409984/rNvgE-GL_normal.jpg</v>
      </c>
      <c r="AW88" s="81" t="s">
        <v>4580</v>
      </c>
      <c r="AX88" s="81" t="s">
        <v>4580</v>
      </c>
      <c r="AY88" s="77"/>
      <c r="AZ88" s="81" t="s">
        <v>5773</v>
      </c>
      <c r="BA88" s="81" t="s">
        <v>5773</v>
      </c>
      <c r="BB88" s="81" t="s">
        <v>5773</v>
      </c>
      <c r="BC88" s="81" t="s">
        <v>4580</v>
      </c>
      <c r="BD88" s="81" t="s">
        <v>5793</v>
      </c>
      <c r="BE88" s="77"/>
      <c r="BF88" s="77"/>
      <c r="BG88" s="77"/>
      <c r="BH88" s="77"/>
      <c r="BI88" s="77"/>
    </row>
    <row r="89" spans="1:61" ht="15">
      <c r="A89" s="62" t="s">
        <v>250</v>
      </c>
      <c r="B89" s="62" t="s">
        <v>250</v>
      </c>
      <c r="C89" s="63"/>
      <c r="D89" s="64"/>
      <c r="E89" s="65"/>
      <c r="F89" s="66"/>
      <c r="G89" s="63"/>
      <c r="H89" s="67"/>
      <c r="I89" s="68"/>
      <c r="J89" s="68"/>
      <c r="K89" s="32" t="s">
        <v>65</v>
      </c>
      <c r="L89" s="75">
        <v>89</v>
      </c>
      <c r="M89" s="75"/>
      <c r="N89" s="70"/>
      <c r="O89" s="77" t="s">
        <v>179</v>
      </c>
      <c r="P89" s="79">
        <v>43703.28234953704</v>
      </c>
      <c r="Q89" s="77" t="s">
        <v>646</v>
      </c>
      <c r="R89" s="77">
        <v>0</v>
      </c>
      <c r="S89" s="77">
        <v>0</v>
      </c>
      <c r="T89" s="77">
        <v>0</v>
      </c>
      <c r="U89" s="77">
        <v>0</v>
      </c>
      <c r="V89" s="77"/>
      <c r="W89" s="81" t="s">
        <v>1718</v>
      </c>
      <c r="X89" s="80" t="str">
        <f>HYPERLINK("http://bit.ly/2NlE0Qu")</f>
        <v>http://bit.ly/2NlE0Qu</v>
      </c>
      <c r="Y89" s="77" t="s">
        <v>1984</v>
      </c>
      <c r="Z89" s="77"/>
      <c r="AA89" s="77"/>
      <c r="AB89" s="77"/>
      <c r="AC89" s="81" t="s">
        <v>2707</v>
      </c>
      <c r="AD89" s="77" t="s">
        <v>2751</v>
      </c>
      <c r="AE89" s="80" t="str">
        <f>HYPERLINK("https://twitter.com/mahasri25080194/status/1165878188305567744")</f>
        <v>https://twitter.com/mahasri25080194/status/1165878188305567744</v>
      </c>
      <c r="AF89" s="79">
        <v>43703.28234953704</v>
      </c>
      <c r="AG89" s="85">
        <v>43703</v>
      </c>
      <c r="AH89" s="81" t="s">
        <v>2836</v>
      </c>
      <c r="AI89" s="77" t="b">
        <v>0</v>
      </c>
      <c r="AJ89" s="77"/>
      <c r="AK89" s="77"/>
      <c r="AL89" s="77"/>
      <c r="AM89" s="77"/>
      <c r="AN89" s="77"/>
      <c r="AO89" s="77"/>
      <c r="AP89" s="77"/>
      <c r="AQ89" s="77"/>
      <c r="AR89" s="77"/>
      <c r="AS89" s="77"/>
      <c r="AT89" s="77"/>
      <c r="AU89" s="77"/>
      <c r="AV89" s="80" t="str">
        <f>HYPERLINK("https://pbs.twimg.com/profile_images/1164488558058409984/rNvgE-GL_normal.jpg")</f>
        <v>https://pbs.twimg.com/profile_images/1164488558058409984/rNvgE-GL_normal.jpg</v>
      </c>
      <c r="AW89" s="81" t="s">
        <v>4581</v>
      </c>
      <c r="AX89" s="81" t="s">
        <v>4581</v>
      </c>
      <c r="AY89" s="77"/>
      <c r="AZ89" s="81" t="s">
        <v>5773</v>
      </c>
      <c r="BA89" s="81" t="s">
        <v>5773</v>
      </c>
      <c r="BB89" s="81" t="s">
        <v>5773</v>
      </c>
      <c r="BC89" s="81" t="s">
        <v>4581</v>
      </c>
      <c r="BD89" s="81" t="s">
        <v>5793</v>
      </c>
      <c r="BE89" s="77"/>
      <c r="BF89" s="77"/>
      <c r="BG89" s="77"/>
      <c r="BH89" s="77"/>
      <c r="BI89" s="77"/>
    </row>
    <row r="90" spans="1:61" ht="15">
      <c r="A90" s="62" t="s">
        <v>250</v>
      </c>
      <c r="B90" s="62" t="s">
        <v>250</v>
      </c>
      <c r="C90" s="63"/>
      <c r="D90" s="64"/>
      <c r="E90" s="65"/>
      <c r="F90" s="66"/>
      <c r="G90" s="63"/>
      <c r="H90" s="67"/>
      <c r="I90" s="68"/>
      <c r="J90" s="68"/>
      <c r="K90" s="32" t="s">
        <v>65</v>
      </c>
      <c r="L90" s="75">
        <v>90</v>
      </c>
      <c r="M90" s="75"/>
      <c r="N90" s="70"/>
      <c r="O90" s="77" t="s">
        <v>179</v>
      </c>
      <c r="P90" s="79">
        <v>43699.43991898148</v>
      </c>
      <c r="Q90" s="77" t="s">
        <v>647</v>
      </c>
      <c r="R90" s="77">
        <v>0</v>
      </c>
      <c r="S90" s="77">
        <v>0</v>
      </c>
      <c r="T90" s="77">
        <v>0</v>
      </c>
      <c r="U90" s="77">
        <v>0</v>
      </c>
      <c r="V90" s="77"/>
      <c r="W90" s="77"/>
      <c r="X90" s="80" t="str">
        <f>HYPERLINK("https://app.bitly.com/Bj8k6mNLbHH/bitlinks/2NlE0Qu")</f>
        <v>https://app.bitly.com/Bj8k6mNLbHH/bitlinks/2NlE0Qu</v>
      </c>
      <c r="Y90" s="77" t="s">
        <v>1985</v>
      </c>
      <c r="Z90" s="77"/>
      <c r="AA90" s="77" t="s">
        <v>2107</v>
      </c>
      <c r="AB90" s="77" t="s">
        <v>2696</v>
      </c>
      <c r="AC90" s="81" t="s">
        <v>2707</v>
      </c>
      <c r="AD90" s="77" t="s">
        <v>2751</v>
      </c>
      <c r="AE90" s="80" t="str">
        <f>HYPERLINK("https://twitter.com/mahasri25080194/status/1164485735958769665")</f>
        <v>https://twitter.com/mahasri25080194/status/1164485735958769665</v>
      </c>
      <c r="AF90" s="79">
        <v>43699.43991898148</v>
      </c>
      <c r="AG90" s="85">
        <v>43699</v>
      </c>
      <c r="AH90" s="81" t="s">
        <v>2837</v>
      </c>
      <c r="AI90" s="77" t="b">
        <v>0</v>
      </c>
      <c r="AJ90" s="77"/>
      <c r="AK90" s="77"/>
      <c r="AL90" s="77"/>
      <c r="AM90" s="77"/>
      <c r="AN90" s="77"/>
      <c r="AO90" s="77"/>
      <c r="AP90" s="77"/>
      <c r="AQ90" s="77" t="s">
        <v>3925</v>
      </c>
      <c r="AR90" s="77"/>
      <c r="AS90" s="77"/>
      <c r="AT90" s="77"/>
      <c r="AU90" s="77"/>
      <c r="AV90" s="80" t="str">
        <f>HYPERLINK("https://pbs.twimg.com/media/ECkVmDLUwAAVf52.jpg")</f>
        <v>https://pbs.twimg.com/media/ECkVmDLUwAAVf52.jpg</v>
      </c>
      <c r="AW90" s="81" t="s">
        <v>4582</v>
      </c>
      <c r="AX90" s="81" t="s">
        <v>4582</v>
      </c>
      <c r="AY90" s="77"/>
      <c r="AZ90" s="81" t="s">
        <v>5773</v>
      </c>
      <c r="BA90" s="81" t="s">
        <v>5773</v>
      </c>
      <c r="BB90" s="81" t="s">
        <v>5773</v>
      </c>
      <c r="BC90" s="81" t="s">
        <v>4582</v>
      </c>
      <c r="BD90" s="81" t="s">
        <v>5793</v>
      </c>
      <c r="BE90" s="77"/>
      <c r="BF90" s="77"/>
      <c r="BG90" s="77"/>
      <c r="BH90" s="77"/>
      <c r="BI90" s="77"/>
    </row>
    <row r="91" spans="1:61" ht="15">
      <c r="A91" s="62" t="s">
        <v>251</v>
      </c>
      <c r="B91" s="62" t="s">
        <v>251</v>
      </c>
      <c r="C91" s="63"/>
      <c r="D91" s="64"/>
      <c r="E91" s="65"/>
      <c r="F91" s="66"/>
      <c r="G91" s="63"/>
      <c r="H91" s="67"/>
      <c r="I91" s="68"/>
      <c r="J91" s="68"/>
      <c r="K91" s="32" t="s">
        <v>65</v>
      </c>
      <c r="L91" s="75">
        <v>91</v>
      </c>
      <c r="M91" s="75"/>
      <c r="N91" s="70"/>
      <c r="O91" s="77" t="s">
        <v>571</v>
      </c>
      <c r="P91" s="79">
        <v>43020.52777777778</v>
      </c>
      <c r="Q91" s="77" t="s">
        <v>648</v>
      </c>
      <c r="R91" s="77">
        <v>0</v>
      </c>
      <c r="S91" s="77">
        <v>0</v>
      </c>
      <c r="T91" s="77">
        <v>0</v>
      </c>
      <c r="U91" s="77">
        <v>0</v>
      </c>
      <c r="V91" s="77"/>
      <c r="W91" s="81" t="s">
        <v>1719</v>
      </c>
      <c r="X91" s="80" t="str">
        <f>HYPERLINK("https://goo.gl/ozkQCA")</f>
        <v>https://goo.gl/ozkQCA</v>
      </c>
      <c r="Y91" s="77" t="s">
        <v>1975</v>
      </c>
      <c r="Z91" s="77" t="s">
        <v>2064</v>
      </c>
      <c r="AA91" s="77" t="s">
        <v>2108</v>
      </c>
      <c r="AB91" s="77" t="s">
        <v>2696</v>
      </c>
      <c r="AC91" s="81" t="s">
        <v>2713</v>
      </c>
      <c r="AD91" s="77" t="s">
        <v>2751</v>
      </c>
      <c r="AE91" s="80" t="str">
        <f>HYPERLINK("https://twitter.com/goodfirms/status/918456215386038272")</f>
        <v>https://twitter.com/goodfirms/status/918456215386038272</v>
      </c>
      <c r="AF91" s="79">
        <v>43020.52777777778</v>
      </c>
      <c r="AG91" s="85">
        <v>43020</v>
      </c>
      <c r="AH91" s="81" t="s">
        <v>2838</v>
      </c>
      <c r="AI91" s="77" t="b">
        <v>0</v>
      </c>
      <c r="AJ91" s="77"/>
      <c r="AK91" s="77"/>
      <c r="AL91" s="77"/>
      <c r="AM91" s="77"/>
      <c r="AN91" s="77"/>
      <c r="AO91" s="77"/>
      <c r="AP91" s="77"/>
      <c r="AQ91" s="77" t="s">
        <v>3926</v>
      </c>
      <c r="AR91" s="77"/>
      <c r="AS91" s="77"/>
      <c r="AT91" s="77"/>
      <c r="AU91" s="77"/>
      <c r="AV91" s="80" t="str">
        <f>HYPERLINK("https://pbs.twimg.com/media/DL727WvVoAAFkjO.jpg")</f>
        <v>https://pbs.twimg.com/media/DL727WvVoAAFkjO.jpg</v>
      </c>
      <c r="AW91" s="81" t="s">
        <v>4583</v>
      </c>
      <c r="AX91" s="81" t="s">
        <v>4583</v>
      </c>
      <c r="AY91" s="77"/>
      <c r="AZ91" s="81" t="s">
        <v>5773</v>
      </c>
      <c r="BA91" s="81" t="s">
        <v>5773</v>
      </c>
      <c r="BB91" s="81" t="s">
        <v>5773</v>
      </c>
      <c r="BC91" s="81" t="s">
        <v>4583</v>
      </c>
      <c r="BD91" s="77">
        <v>3300294446</v>
      </c>
      <c r="BE91" s="77"/>
      <c r="BF91" s="77"/>
      <c r="BG91" s="77"/>
      <c r="BH91" s="77"/>
      <c r="BI91" s="77"/>
    </row>
    <row r="92" spans="1:61" ht="15">
      <c r="A92" s="62" t="s">
        <v>251</v>
      </c>
      <c r="B92" s="62" t="s">
        <v>299</v>
      </c>
      <c r="C92" s="63"/>
      <c r="D92" s="64"/>
      <c r="E92" s="65"/>
      <c r="F92" s="66"/>
      <c r="G92" s="63"/>
      <c r="H92" s="67"/>
      <c r="I92" s="68"/>
      <c r="J92" s="68"/>
      <c r="K92" s="32" t="s">
        <v>65</v>
      </c>
      <c r="L92" s="75">
        <v>92</v>
      </c>
      <c r="M92" s="75"/>
      <c r="N92" s="70"/>
      <c r="O92" s="77" t="s">
        <v>571</v>
      </c>
      <c r="P92" s="79">
        <v>43020.52777777778</v>
      </c>
      <c r="Q92" s="77" t="s">
        <v>648</v>
      </c>
      <c r="R92" s="77">
        <v>0</v>
      </c>
      <c r="S92" s="77">
        <v>0</v>
      </c>
      <c r="T92" s="77">
        <v>0</v>
      </c>
      <c r="U92" s="77">
        <v>0</v>
      </c>
      <c r="V92" s="77"/>
      <c r="W92" s="81" t="s">
        <v>1719</v>
      </c>
      <c r="X92" s="80" t="str">
        <f>HYPERLINK("https://goo.gl/ozkQCA")</f>
        <v>https://goo.gl/ozkQCA</v>
      </c>
      <c r="Y92" s="77" t="s">
        <v>1975</v>
      </c>
      <c r="Z92" s="77" t="s">
        <v>2064</v>
      </c>
      <c r="AA92" s="77" t="s">
        <v>2108</v>
      </c>
      <c r="AB92" s="77" t="s">
        <v>2696</v>
      </c>
      <c r="AC92" s="81" t="s">
        <v>2713</v>
      </c>
      <c r="AD92" s="77" t="s">
        <v>2751</v>
      </c>
      <c r="AE92" s="80" t="str">
        <f>HYPERLINK("https://twitter.com/goodfirms/status/918456215386038272")</f>
        <v>https://twitter.com/goodfirms/status/918456215386038272</v>
      </c>
      <c r="AF92" s="79">
        <v>43020.52777777778</v>
      </c>
      <c r="AG92" s="85">
        <v>43020</v>
      </c>
      <c r="AH92" s="81" t="s">
        <v>2838</v>
      </c>
      <c r="AI92" s="77" t="b">
        <v>0</v>
      </c>
      <c r="AJ92" s="77"/>
      <c r="AK92" s="77"/>
      <c r="AL92" s="77"/>
      <c r="AM92" s="77"/>
      <c r="AN92" s="77"/>
      <c r="AO92" s="77"/>
      <c r="AP92" s="77"/>
      <c r="AQ92" s="77" t="s">
        <v>3926</v>
      </c>
      <c r="AR92" s="77"/>
      <c r="AS92" s="77"/>
      <c r="AT92" s="77"/>
      <c r="AU92" s="77"/>
      <c r="AV92" s="80" t="str">
        <f>HYPERLINK("https://pbs.twimg.com/media/DL727WvVoAAFkjO.jpg")</f>
        <v>https://pbs.twimg.com/media/DL727WvVoAAFkjO.jpg</v>
      </c>
      <c r="AW92" s="81" t="s">
        <v>4583</v>
      </c>
      <c r="AX92" s="81" t="s">
        <v>4583</v>
      </c>
      <c r="AY92" s="77"/>
      <c r="AZ92" s="81" t="s">
        <v>5773</v>
      </c>
      <c r="BA92" s="81" t="s">
        <v>5773</v>
      </c>
      <c r="BB92" s="81" t="s">
        <v>5773</v>
      </c>
      <c r="BC92" s="81" t="s">
        <v>4583</v>
      </c>
      <c r="BD92" s="77">
        <v>3300294446</v>
      </c>
      <c r="BE92" s="77"/>
      <c r="BF92" s="77"/>
      <c r="BG92" s="77"/>
      <c r="BH92" s="77"/>
      <c r="BI92" s="77"/>
    </row>
    <row r="93" spans="1:61" ht="15">
      <c r="A93" s="62" t="s">
        <v>252</v>
      </c>
      <c r="B93" s="62" t="s">
        <v>299</v>
      </c>
      <c r="C93" s="63"/>
      <c r="D93" s="64"/>
      <c r="E93" s="65"/>
      <c r="F93" s="66"/>
      <c r="G93" s="63"/>
      <c r="H93" s="67"/>
      <c r="I93" s="68"/>
      <c r="J93" s="68"/>
      <c r="K93" s="32" t="s">
        <v>65</v>
      </c>
      <c r="L93" s="75">
        <v>93</v>
      </c>
      <c r="M93" s="75"/>
      <c r="N93" s="70"/>
      <c r="O93" s="77" t="s">
        <v>572</v>
      </c>
      <c r="P93" s="79">
        <v>43457.61571759259</v>
      </c>
      <c r="Q93" s="77" t="s">
        <v>649</v>
      </c>
      <c r="R93" s="77">
        <v>0</v>
      </c>
      <c r="S93" s="77">
        <v>0</v>
      </c>
      <c r="T93" s="77">
        <v>0</v>
      </c>
      <c r="U93" s="77">
        <v>0</v>
      </c>
      <c r="V93" s="77"/>
      <c r="W93" s="77"/>
      <c r="X93" s="77"/>
      <c r="Y93" s="77"/>
      <c r="Z93" s="77" t="s">
        <v>299</v>
      </c>
      <c r="AA93" s="77"/>
      <c r="AB93" s="77"/>
      <c r="AC93" s="81" t="s">
        <v>2701</v>
      </c>
      <c r="AD93" s="77" t="s">
        <v>2757</v>
      </c>
      <c r="AE93" s="80" t="str">
        <f>HYPERLINK("https://twitter.com/sumanthch/status/1076851580677218304")</f>
        <v>https://twitter.com/sumanthch/status/1076851580677218304</v>
      </c>
      <c r="AF93" s="79">
        <v>43457.61571759259</v>
      </c>
      <c r="AG93" s="85">
        <v>43457</v>
      </c>
      <c r="AH93" s="81" t="s">
        <v>2839</v>
      </c>
      <c r="AI93" s="77"/>
      <c r="AJ93" s="77"/>
      <c r="AK93" s="77"/>
      <c r="AL93" s="77"/>
      <c r="AM93" s="77"/>
      <c r="AN93" s="77"/>
      <c r="AO93" s="77"/>
      <c r="AP93" s="77"/>
      <c r="AQ93" s="77"/>
      <c r="AR93" s="77"/>
      <c r="AS93" s="77"/>
      <c r="AT93" s="77"/>
      <c r="AU93" s="77"/>
      <c r="AV93" s="80" t="str">
        <f>HYPERLINK("https://pbs.twimg.com/profile_images/1610277897662771203/qqkeWNv9_normal.jpg")</f>
        <v>https://pbs.twimg.com/profile_images/1610277897662771203/qqkeWNv9_normal.jpg</v>
      </c>
      <c r="AW93" s="81" t="s">
        <v>4584</v>
      </c>
      <c r="AX93" s="81" t="s">
        <v>5589</v>
      </c>
      <c r="AY93" s="81" t="s">
        <v>5721</v>
      </c>
      <c r="AZ93" s="81" t="s">
        <v>5589</v>
      </c>
      <c r="BA93" s="81" t="s">
        <v>5773</v>
      </c>
      <c r="BB93" s="81" t="s">
        <v>5773</v>
      </c>
      <c r="BC93" s="81" t="s">
        <v>5589</v>
      </c>
      <c r="BD93" s="77">
        <v>49252261</v>
      </c>
      <c r="BE93" s="77"/>
      <c r="BF93" s="77"/>
      <c r="BG93" s="77"/>
      <c r="BH93" s="77"/>
      <c r="BI93" s="77"/>
    </row>
    <row r="94" spans="1:61" ht="15">
      <c r="A94" s="62" t="s">
        <v>253</v>
      </c>
      <c r="B94" s="62" t="s">
        <v>441</v>
      </c>
      <c r="C94" s="63"/>
      <c r="D94" s="64"/>
      <c r="E94" s="65"/>
      <c r="F94" s="66"/>
      <c r="G94" s="63"/>
      <c r="H94" s="67"/>
      <c r="I94" s="68"/>
      <c r="J94" s="68"/>
      <c r="K94" s="32" t="s">
        <v>65</v>
      </c>
      <c r="L94" s="75">
        <v>94</v>
      </c>
      <c r="M94" s="75"/>
      <c r="N94" s="70"/>
      <c r="O94" s="77" t="s">
        <v>571</v>
      </c>
      <c r="P94" s="79">
        <v>43185.38915509259</v>
      </c>
      <c r="Q94" s="77" t="s">
        <v>650</v>
      </c>
      <c r="R94" s="77">
        <v>1</v>
      </c>
      <c r="S94" s="77">
        <v>3</v>
      </c>
      <c r="T94" s="77">
        <v>0</v>
      </c>
      <c r="U94" s="77">
        <v>0</v>
      </c>
      <c r="V94" s="77"/>
      <c r="W94" s="81" t="s">
        <v>1720</v>
      </c>
      <c r="X94" s="77"/>
      <c r="Y94" s="77"/>
      <c r="Z94" s="77" t="s">
        <v>2065</v>
      </c>
      <c r="AA94" s="77"/>
      <c r="AB94" s="77"/>
      <c r="AC94" s="81" t="s">
        <v>2714</v>
      </c>
      <c r="AD94" s="77" t="s">
        <v>2751</v>
      </c>
      <c r="AE94" s="80" t="str">
        <f>HYPERLINK("https://twitter.com/fcmtaryn/status/978199976126943232")</f>
        <v>https://twitter.com/fcmtaryn/status/978199976126943232</v>
      </c>
      <c r="AF94" s="79">
        <v>43185.38915509259</v>
      </c>
      <c r="AG94" s="85">
        <v>43185</v>
      </c>
      <c r="AH94" s="81" t="s">
        <v>2840</v>
      </c>
      <c r="AI94" s="77"/>
      <c r="AJ94" s="77"/>
      <c r="AK94" s="77"/>
      <c r="AL94" s="77"/>
      <c r="AM94" s="77"/>
      <c r="AN94" s="77"/>
      <c r="AO94" s="77"/>
      <c r="AP94" s="77"/>
      <c r="AQ94" s="77"/>
      <c r="AR94" s="77"/>
      <c r="AS94" s="77"/>
      <c r="AT94" s="77"/>
      <c r="AU94" s="77"/>
      <c r="AV94" s="80" t="str">
        <f>HYPERLINK("https://pbs.twimg.com/profile_images/1096798373053677568/JEx-BSQM_normal.png")</f>
        <v>https://pbs.twimg.com/profile_images/1096798373053677568/JEx-BSQM_normal.png</v>
      </c>
      <c r="AW94" s="81" t="s">
        <v>4585</v>
      </c>
      <c r="AX94" s="81" t="s">
        <v>4585</v>
      </c>
      <c r="AY94" s="77"/>
      <c r="AZ94" s="81" t="s">
        <v>5773</v>
      </c>
      <c r="BA94" s="81" t="s">
        <v>5773</v>
      </c>
      <c r="BB94" s="81" t="s">
        <v>5773</v>
      </c>
      <c r="BC94" s="81" t="s">
        <v>4585</v>
      </c>
      <c r="BD94" s="77">
        <v>273018943</v>
      </c>
      <c r="BE94" s="77"/>
      <c r="BF94" s="77"/>
      <c r="BG94" s="77"/>
      <c r="BH94" s="77"/>
      <c r="BI94" s="77"/>
    </row>
    <row r="95" spans="1:61" ht="15">
      <c r="A95" s="62" t="s">
        <v>253</v>
      </c>
      <c r="B95" s="62" t="s">
        <v>442</v>
      </c>
      <c r="C95" s="63"/>
      <c r="D95" s="64"/>
      <c r="E95" s="65"/>
      <c r="F95" s="66"/>
      <c r="G95" s="63"/>
      <c r="H95" s="67"/>
      <c r="I95" s="68"/>
      <c r="J95" s="68"/>
      <c r="K95" s="32" t="s">
        <v>65</v>
      </c>
      <c r="L95" s="75">
        <v>95</v>
      </c>
      <c r="M95" s="75"/>
      <c r="N95" s="70"/>
      <c r="O95" s="77" t="s">
        <v>571</v>
      </c>
      <c r="P95" s="79">
        <v>43185.38915509259</v>
      </c>
      <c r="Q95" s="77" t="s">
        <v>650</v>
      </c>
      <c r="R95" s="77">
        <v>1</v>
      </c>
      <c r="S95" s="77">
        <v>3</v>
      </c>
      <c r="T95" s="77">
        <v>0</v>
      </c>
      <c r="U95" s="77">
        <v>0</v>
      </c>
      <c r="V95" s="77"/>
      <c r="W95" s="81" t="s">
        <v>1720</v>
      </c>
      <c r="X95" s="77"/>
      <c r="Y95" s="77"/>
      <c r="Z95" s="77" t="s">
        <v>2065</v>
      </c>
      <c r="AA95" s="77"/>
      <c r="AB95" s="77"/>
      <c r="AC95" s="81" t="s">
        <v>2714</v>
      </c>
      <c r="AD95" s="77" t="s">
        <v>2751</v>
      </c>
      <c r="AE95" s="80" t="str">
        <f>HYPERLINK("https://twitter.com/fcmtaryn/status/978199976126943232")</f>
        <v>https://twitter.com/fcmtaryn/status/978199976126943232</v>
      </c>
      <c r="AF95" s="79">
        <v>43185.38915509259</v>
      </c>
      <c r="AG95" s="85">
        <v>43185</v>
      </c>
      <c r="AH95" s="81" t="s">
        <v>2840</v>
      </c>
      <c r="AI95" s="77"/>
      <c r="AJ95" s="77"/>
      <c r="AK95" s="77"/>
      <c r="AL95" s="77"/>
      <c r="AM95" s="77"/>
      <c r="AN95" s="77"/>
      <c r="AO95" s="77"/>
      <c r="AP95" s="77"/>
      <c r="AQ95" s="77"/>
      <c r="AR95" s="77"/>
      <c r="AS95" s="77"/>
      <c r="AT95" s="77"/>
      <c r="AU95" s="77"/>
      <c r="AV95" s="80" t="str">
        <f>HYPERLINK("https://pbs.twimg.com/profile_images/1096798373053677568/JEx-BSQM_normal.png")</f>
        <v>https://pbs.twimg.com/profile_images/1096798373053677568/JEx-BSQM_normal.png</v>
      </c>
      <c r="AW95" s="81" t="s">
        <v>4585</v>
      </c>
      <c r="AX95" s="81" t="s">
        <v>4585</v>
      </c>
      <c r="AY95" s="77"/>
      <c r="AZ95" s="81" t="s">
        <v>5773</v>
      </c>
      <c r="BA95" s="81" t="s">
        <v>5773</v>
      </c>
      <c r="BB95" s="81" t="s">
        <v>5773</v>
      </c>
      <c r="BC95" s="81" t="s">
        <v>4585</v>
      </c>
      <c r="BD95" s="77">
        <v>273018943</v>
      </c>
      <c r="BE95" s="77"/>
      <c r="BF95" s="77"/>
      <c r="BG95" s="77"/>
      <c r="BH95" s="77"/>
      <c r="BI95" s="77"/>
    </row>
    <row r="96" spans="1:61" ht="15">
      <c r="A96" s="62" t="s">
        <v>253</v>
      </c>
      <c r="B96" s="62" t="s">
        <v>443</v>
      </c>
      <c r="C96" s="63"/>
      <c r="D96" s="64"/>
      <c r="E96" s="65"/>
      <c r="F96" s="66"/>
      <c r="G96" s="63"/>
      <c r="H96" s="67"/>
      <c r="I96" s="68"/>
      <c r="J96" s="68"/>
      <c r="K96" s="32" t="s">
        <v>65</v>
      </c>
      <c r="L96" s="75">
        <v>96</v>
      </c>
      <c r="M96" s="75"/>
      <c r="N96" s="70"/>
      <c r="O96" s="77" t="s">
        <v>571</v>
      </c>
      <c r="P96" s="79">
        <v>43185.38915509259</v>
      </c>
      <c r="Q96" s="77" t="s">
        <v>650</v>
      </c>
      <c r="R96" s="77">
        <v>1</v>
      </c>
      <c r="S96" s="77">
        <v>3</v>
      </c>
      <c r="T96" s="77">
        <v>0</v>
      </c>
      <c r="U96" s="77">
        <v>0</v>
      </c>
      <c r="V96" s="77"/>
      <c r="W96" s="81" t="s">
        <v>1720</v>
      </c>
      <c r="X96" s="77"/>
      <c r="Y96" s="77"/>
      <c r="Z96" s="77" t="s">
        <v>2065</v>
      </c>
      <c r="AA96" s="77"/>
      <c r="AB96" s="77"/>
      <c r="AC96" s="81" t="s">
        <v>2714</v>
      </c>
      <c r="AD96" s="77" t="s">
        <v>2751</v>
      </c>
      <c r="AE96" s="80" t="str">
        <f>HYPERLINK("https://twitter.com/fcmtaryn/status/978199976126943232")</f>
        <v>https://twitter.com/fcmtaryn/status/978199976126943232</v>
      </c>
      <c r="AF96" s="79">
        <v>43185.38915509259</v>
      </c>
      <c r="AG96" s="85">
        <v>43185</v>
      </c>
      <c r="AH96" s="81" t="s">
        <v>2840</v>
      </c>
      <c r="AI96" s="77"/>
      <c r="AJ96" s="77"/>
      <c r="AK96" s="77"/>
      <c r="AL96" s="77"/>
      <c r="AM96" s="77"/>
      <c r="AN96" s="77"/>
      <c r="AO96" s="77"/>
      <c r="AP96" s="77"/>
      <c r="AQ96" s="77"/>
      <c r="AR96" s="77"/>
      <c r="AS96" s="77"/>
      <c r="AT96" s="77"/>
      <c r="AU96" s="77"/>
      <c r="AV96" s="80" t="str">
        <f>HYPERLINK("https://pbs.twimg.com/profile_images/1096798373053677568/JEx-BSQM_normal.png")</f>
        <v>https://pbs.twimg.com/profile_images/1096798373053677568/JEx-BSQM_normal.png</v>
      </c>
      <c r="AW96" s="81" t="s">
        <v>4585</v>
      </c>
      <c r="AX96" s="81" t="s">
        <v>4585</v>
      </c>
      <c r="AY96" s="77"/>
      <c r="AZ96" s="81" t="s">
        <v>5773</v>
      </c>
      <c r="BA96" s="81" t="s">
        <v>5773</v>
      </c>
      <c r="BB96" s="81" t="s">
        <v>5773</v>
      </c>
      <c r="BC96" s="81" t="s">
        <v>4585</v>
      </c>
      <c r="BD96" s="77">
        <v>273018943</v>
      </c>
      <c r="BE96" s="77"/>
      <c r="BF96" s="77"/>
      <c r="BG96" s="77"/>
      <c r="BH96" s="77"/>
      <c r="BI96" s="77"/>
    </row>
    <row r="97" spans="1:61" ht="15">
      <c r="A97" s="62" t="s">
        <v>254</v>
      </c>
      <c r="B97" s="62" t="s">
        <v>254</v>
      </c>
      <c r="C97" s="63"/>
      <c r="D97" s="64"/>
      <c r="E97" s="65"/>
      <c r="F97" s="66"/>
      <c r="G97" s="63"/>
      <c r="H97" s="67"/>
      <c r="I97" s="68"/>
      <c r="J97" s="68"/>
      <c r="K97" s="32" t="s">
        <v>65</v>
      </c>
      <c r="L97" s="75">
        <v>97</v>
      </c>
      <c r="M97" s="75"/>
      <c r="N97" s="70"/>
      <c r="O97" s="77" t="s">
        <v>179</v>
      </c>
      <c r="P97" s="79">
        <v>40666.63028935185</v>
      </c>
      <c r="Q97" s="77" t="s">
        <v>651</v>
      </c>
      <c r="R97" s="77">
        <v>0</v>
      </c>
      <c r="S97" s="77">
        <v>0</v>
      </c>
      <c r="T97" s="77">
        <v>0</v>
      </c>
      <c r="U97" s="77">
        <v>0</v>
      </c>
      <c r="V97" s="77"/>
      <c r="W97" s="77"/>
      <c r="X97" s="77"/>
      <c r="Y97" s="77"/>
      <c r="Z97" s="77"/>
      <c r="AA97" s="77"/>
      <c r="AB97" s="77"/>
      <c r="AC97" s="81" t="s">
        <v>2702</v>
      </c>
      <c r="AD97" s="77" t="s">
        <v>2751</v>
      </c>
      <c r="AE97" s="80" t="str">
        <f>HYPERLINK("https://twitter.com/bizitflint/status/65432330768093184")</f>
        <v>https://twitter.com/bizitflint/status/65432330768093184</v>
      </c>
      <c r="AF97" s="79">
        <v>40666.63028935185</v>
      </c>
      <c r="AG97" s="85">
        <v>40666</v>
      </c>
      <c r="AH97" s="81" t="s">
        <v>2841</v>
      </c>
      <c r="AI97" s="77"/>
      <c r="AJ97" s="77"/>
      <c r="AK97" s="77"/>
      <c r="AL97" s="77"/>
      <c r="AM97" s="77"/>
      <c r="AN97" s="77"/>
      <c r="AO97" s="77"/>
      <c r="AP97" s="77"/>
      <c r="AQ97" s="77"/>
      <c r="AR97" s="77"/>
      <c r="AS97" s="77"/>
      <c r="AT97" s="77"/>
      <c r="AU97" s="77"/>
      <c r="AV97" s="80" t="str">
        <f>HYPERLINK("https://pbs.twimg.com/profile_images/597563789/29781_100x100_normal.jpg")</f>
        <v>https://pbs.twimg.com/profile_images/597563789/29781_100x100_normal.jpg</v>
      </c>
      <c r="AW97" s="81" t="s">
        <v>4586</v>
      </c>
      <c r="AX97" s="81" t="s">
        <v>4586</v>
      </c>
      <c r="AY97" s="77"/>
      <c r="AZ97" s="81" t="s">
        <v>5773</v>
      </c>
      <c r="BA97" s="81" t="s">
        <v>5773</v>
      </c>
      <c r="BB97" s="81" t="s">
        <v>5773</v>
      </c>
      <c r="BC97" s="81" t="s">
        <v>4586</v>
      </c>
      <c r="BD97" s="77">
        <v>100074593</v>
      </c>
      <c r="BE97" s="77"/>
      <c r="BF97" s="77"/>
      <c r="BG97" s="77"/>
      <c r="BH97" s="77"/>
      <c r="BI97" s="77"/>
    </row>
    <row r="98" spans="1:61" ht="15">
      <c r="A98" s="62" t="s">
        <v>255</v>
      </c>
      <c r="B98" s="62" t="s">
        <v>299</v>
      </c>
      <c r="C98" s="63"/>
      <c r="D98" s="64"/>
      <c r="E98" s="65"/>
      <c r="F98" s="66"/>
      <c r="G98" s="63"/>
      <c r="H98" s="67"/>
      <c r="I98" s="68"/>
      <c r="J98" s="68"/>
      <c r="K98" s="32" t="s">
        <v>65</v>
      </c>
      <c r="L98" s="75">
        <v>98</v>
      </c>
      <c r="M98" s="75"/>
      <c r="N98" s="70"/>
      <c r="O98" s="77" t="s">
        <v>571</v>
      </c>
      <c r="P98" s="79">
        <v>41774.629328703704</v>
      </c>
      <c r="Q98" s="77" t="s">
        <v>652</v>
      </c>
      <c r="R98" s="77">
        <v>0</v>
      </c>
      <c r="S98" s="77">
        <v>2</v>
      </c>
      <c r="T98" s="77">
        <v>0</v>
      </c>
      <c r="U98" s="77">
        <v>0</v>
      </c>
      <c r="V98" s="77"/>
      <c r="W98" s="77"/>
      <c r="X98" s="80" t="str">
        <f>HYPERLINK("http://www.inovies.com/news.php")</f>
        <v>http://www.inovies.com/news.php</v>
      </c>
      <c r="Y98" s="77" t="s">
        <v>1982</v>
      </c>
      <c r="Z98" s="77" t="s">
        <v>299</v>
      </c>
      <c r="AA98" s="77"/>
      <c r="AB98" s="77"/>
      <c r="AC98" s="81" t="s">
        <v>2712</v>
      </c>
      <c r="AD98" s="77" t="s">
        <v>2751</v>
      </c>
      <c r="AE98" s="80" t="str">
        <f>HYPERLINK("https://twitter.com/mackphason/status/466957735418802179")</f>
        <v>https://twitter.com/mackphason/status/466957735418802179</v>
      </c>
      <c r="AF98" s="79">
        <v>41774.629328703704</v>
      </c>
      <c r="AG98" s="85">
        <v>41774</v>
      </c>
      <c r="AH98" s="81" t="s">
        <v>2842</v>
      </c>
      <c r="AI98" s="77" t="b">
        <v>0</v>
      </c>
      <c r="AJ98" s="77"/>
      <c r="AK98" s="77"/>
      <c r="AL98" s="77"/>
      <c r="AM98" s="77"/>
      <c r="AN98" s="77"/>
      <c r="AO98" s="77"/>
      <c r="AP98" s="77"/>
      <c r="AQ98" s="77"/>
      <c r="AR98" s="77"/>
      <c r="AS98" s="77"/>
      <c r="AT98" s="77"/>
      <c r="AU98" s="77"/>
      <c r="AV98" s="80" t="str">
        <f>HYPERLINK("https://pbs.twimg.com/profile_images/1682857379946287105/VI5Itl1O_normal.jpg")</f>
        <v>https://pbs.twimg.com/profile_images/1682857379946287105/VI5Itl1O_normal.jpg</v>
      </c>
      <c r="AW98" s="81" t="s">
        <v>4587</v>
      </c>
      <c r="AX98" s="81" t="s">
        <v>4587</v>
      </c>
      <c r="AY98" s="77"/>
      <c r="AZ98" s="81" t="s">
        <v>5773</v>
      </c>
      <c r="BA98" s="81" t="s">
        <v>5773</v>
      </c>
      <c r="BB98" s="81" t="s">
        <v>5773</v>
      </c>
      <c r="BC98" s="81" t="s">
        <v>4587</v>
      </c>
      <c r="BD98" s="77">
        <v>430610967</v>
      </c>
      <c r="BE98" s="77"/>
      <c r="BF98" s="77"/>
      <c r="BG98" s="77"/>
      <c r="BH98" s="77"/>
      <c r="BI98" s="77"/>
    </row>
    <row r="99" spans="1:61" ht="15">
      <c r="A99" s="62" t="s">
        <v>256</v>
      </c>
      <c r="B99" s="62" t="s">
        <v>256</v>
      </c>
      <c r="C99" s="63"/>
      <c r="D99" s="64"/>
      <c r="E99" s="65"/>
      <c r="F99" s="66"/>
      <c r="G99" s="63"/>
      <c r="H99" s="67"/>
      <c r="I99" s="68"/>
      <c r="J99" s="68"/>
      <c r="K99" s="32" t="s">
        <v>65</v>
      </c>
      <c r="L99" s="75">
        <v>99</v>
      </c>
      <c r="M99" s="75"/>
      <c r="N99" s="70"/>
      <c r="O99" s="77" t="s">
        <v>179</v>
      </c>
      <c r="P99" s="79">
        <v>42080.345601851855</v>
      </c>
      <c r="Q99" s="77" t="s">
        <v>653</v>
      </c>
      <c r="R99" s="77">
        <v>0</v>
      </c>
      <c r="S99" s="77">
        <v>0</v>
      </c>
      <c r="T99" s="77">
        <v>0</v>
      </c>
      <c r="U99" s="77">
        <v>0</v>
      </c>
      <c r="V99" s="77"/>
      <c r="W99" s="81" t="s">
        <v>1721</v>
      </c>
      <c r="X99" s="80" t="str">
        <f>HYPERLINK("http://tinyurl.com/lu764oq")</f>
        <v>http://tinyurl.com/lu764oq</v>
      </c>
      <c r="Y99" s="77" t="s">
        <v>1986</v>
      </c>
      <c r="Z99" s="77"/>
      <c r="AA99" s="77"/>
      <c r="AB99" s="77"/>
      <c r="AC99" s="81" t="s">
        <v>2715</v>
      </c>
      <c r="AD99" s="77" t="s">
        <v>2751</v>
      </c>
      <c r="AE99" s="80" t="str">
        <f>HYPERLINK("https://twitter.com/whichwdc/status/577745605465894912")</f>
        <v>https://twitter.com/whichwdc/status/577745605465894912</v>
      </c>
      <c r="AF99" s="79">
        <v>42080.345601851855</v>
      </c>
      <c r="AG99" s="85">
        <v>42080</v>
      </c>
      <c r="AH99" s="81" t="s">
        <v>2843</v>
      </c>
      <c r="AI99" s="77" t="b">
        <v>0</v>
      </c>
      <c r="AJ99" s="77"/>
      <c r="AK99" s="77"/>
      <c r="AL99" s="77"/>
      <c r="AM99" s="77"/>
      <c r="AN99" s="77"/>
      <c r="AO99" s="77"/>
      <c r="AP99" s="77"/>
      <c r="AQ99" s="77"/>
      <c r="AR99" s="77"/>
      <c r="AS99" s="77"/>
      <c r="AT99" s="77"/>
      <c r="AU99" s="77"/>
      <c r="AV99" s="80" t="str">
        <f>HYPERLINK("https://pbs.twimg.com/profile_images/640909451218808832/dw1F3MIB_normal.jpg")</f>
        <v>https://pbs.twimg.com/profile_images/640909451218808832/dw1F3MIB_normal.jpg</v>
      </c>
      <c r="AW99" s="81" t="s">
        <v>4588</v>
      </c>
      <c r="AX99" s="81" t="s">
        <v>4588</v>
      </c>
      <c r="AY99" s="77"/>
      <c r="AZ99" s="81" t="s">
        <v>5773</v>
      </c>
      <c r="BA99" s="81" t="s">
        <v>5773</v>
      </c>
      <c r="BB99" s="81" t="s">
        <v>5773</v>
      </c>
      <c r="BC99" s="81" t="s">
        <v>4588</v>
      </c>
      <c r="BD99" s="77">
        <v>10100372</v>
      </c>
      <c r="BE99" s="77"/>
      <c r="BF99" s="77"/>
      <c r="BG99" s="77"/>
      <c r="BH99" s="77"/>
      <c r="BI99" s="77"/>
    </row>
    <row r="100" spans="1:61" ht="15">
      <c r="A100" s="62" t="s">
        <v>256</v>
      </c>
      <c r="B100" s="62" t="s">
        <v>256</v>
      </c>
      <c r="C100" s="63"/>
      <c r="D100" s="64"/>
      <c r="E100" s="65"/>
      <c r="F100" s="66"/>
      <c r="G100" s="63"/>
      <c r="H100" s="67"/>
      <c r="I100" s="68"/>
      <c r="J100" s="68"/>
      <c r="K100" s="32" t="s">
        <v>65</v>
      </c>
      <c r="L100" s="75">
        <v>100</v>
      </c>
      <c r="M100" s="75"/>
      <c r="N100" s="70"/>
      <c r="O100" s="77" t="s">
        <v>179</v>
      </c>
      <c r="P100" s="79">
        <v>42080.34407407408</v>
      </c>
      <c r="Q100" s="77" t="s">
        <v>654</v>
      </c>
      <c r="R100" s="77">
        <v>0</v>
      </c>
      <c r="S100" s="77">
        <v>0</v>
      </c>
      <c r="T100" s="77">
        <v>0</v>
      </c>
      <c r="U100" s="77">
        <v>0</v>
      </c>
      <c r="V100" s="77"/>
      <c r="W100" s="81" t="s">
        <v>1722</v>
      </c>
      <c r="X100" s="80" t="str">
        <f>HYPERLINK("http://tinyurl.com/lu764oq")</f>
        <v>http://tinyurl.com/lu764oq</v>
      </c>
      <c r="Y100" s="77" t="s">
        <v>1986</v>
      </c>
      <c r="Z100" s="77"/>
      <c r="AA100" s="77"/>
      <c r="AB100" s="77"/>
      <c r="AC100" s="81" t="s">
        <v>2715</v>
      </c>
      <c r="AD100" s="77" t="s">
        <v>2751</v>
      </c>
      <c r="AE100" s="80" t="str">
        <f>HYPERLINK("https://twitter.com/whichwdc/status/577745048265224193")</f>
        <v>https://twitter.com/whichwdc/status/577745048265224193</v>
      </c>
      <c r="AF100" s="79">
        <v>42080.34407407408</v>
      </c>
      <c r="AG100" s="85">
        <v>42080</v>
      </c>
      <c r="AH100" s="81" t="s">
        <v>2844</v>
      </c>
      <c r="AI100" s="77" t="b">
        <v>0</v>
      </c>
      <c r="AJ100" s="77"/>
      <c r="AK100" s="77"/>
      <c r="AL100" s="77"/>
      <c r="AM100" s="77"/>
      <c r="AN100" s="77"/>
      <c r="AO100" s="77"/>
      <c r="AP100" s="77"/>
      <c r="AQ100" s="77"/>
      <c r="AR100" s="77"/>
      <c r="AS100" s="77"/>
      <c r="AT100" s="77"/>
      <c r="AU100" s="77"/>
      <c r="AV100" s="80" t="str">
        <f>HYPERLINK("https://pbs.twimg.com/profile_images/640909451218808832/dw1F3MIB_normal.jpg")</f>
        <v>https://pbs.twimg.com/profile_images/640909451218808832/dw1F3MIB_normal.jpg</v>
      </c>
      <c r="AW100" s="81" t="s">
        <v>4589</v>
      </c>
      <c r="AX100" s="81" t="s">
        <v>4589</v>
      </c>
      <c r="AY100" s="77"/>
      <c r="AZ100" s="81" t="s">
        <v>5773</v>
      </c>
      <c r="BA100" s="81" t="s">
        <v>5773</v>
      </c>
      <c r="BB100" s="81" t="s">
        <v>5773</v>
      </c>
      <c r="BC100" s="81" t="s">
        <v>4589</v>
      </c>
      <c r="BD100" s="77">
        <v>10100372</v>
      </c>
      <c r="BE100" s="77"/>
      <c r="BF100" s="77"/>
      <c r="BG100" s="77"/>
      <c r="BH100" s="77"/>
      <c r="BI100" s="77"/>
    </row>
    <row r="101" spans="1:61" ht="15">
      <c r="A101" s="62" t="s">
        <v>256</v>
      </c>
      <c r="B101" s="62" t="s">
        <v>256</v>
      </c>
      <c r="C101" s="63"/>
      <c r="D101" s="64"/>
      <c r="E101" s="65"/>
      <c r="F101" s="66"/>
      <c r="G101" s="63"/>
      <c r="H101" s="67"/>
      <c r="I101" s="68"/>
      <c r="J101" s="68"/>
      <c r="K101" s="32" t="s">
        <v>65</v>
      </c>
      <c r="L101" s="75">
        <v>101</v>
      </c>
      <c r="M101" s="75"/>
      <c r="N101" s="70"/>
      <c r="O101" s="77" t="s">
        <v>179</v>
      </c>
      <c r="P101" s="79">
        <v>42080.341828703706</v>
      </c>
      <c r="Q101" s="77" t="s">
        <v>655</v>
      </c>
      <c r="R101" s="77">
        <v>0</v>
      </c>
      <c r="S101" s="77">
        <v>0</v>
      </c>
      <c r="T101" s="77">
        <v>0</v>
      </c>
      <c r="U101" s="77">
        <v>0</v>
      </c>
      <c r="V101" s="77"/>
      <c r="W101" s="81" t="s">
        <v>1722</v>
      </c>
      <c r="X101" s="80" t="str">
        <f>HYPERLINK("http://tinyurl.com/lu764oq")</f>
        <v>http://tinyurl.com/lu764oq</v>
      </c>
      <c r="Y101" s="77" t="s">
        <v>1986</v>
      </c>
      <c r="Z101" s="77"/>
      <c r="AA101" s="77"/>
      <c r="AB101" s="77"/>
      <c r="AC101" s="81" t="s">
        <v>2715</v>
      </c>
      <c r="AD101" s="77" t="s">
        <v>2751</v>
      </c>
      <c r="AE101" s="80" t="str">
        <f>HYPERLINK("https://twitter.com/whichwdc/status/577744236579287040")</f>
        <v>https://twitter.com/whichwdc/status/577744236579287040</v>
      </c>
      <c r="AF101" s="79">
        <v>42080.341828703706</v>
      </c>
      <c r="AG101" s="85">
        <v>42080</v>
      </c>
      <c r="AH101" s="81" t="s">
        <v>2845</v>
      </c>
      <c r="AI101" s="77" t="b">
        <v>0</v>
      </c>
      <c r="AJ101" s="77"/>
      <c r="AK101" s="77"/>
      <c r="AL101" s="77"/>
      <c r="AM101" s="77"/>
      <c r="AN101" s="77"/>
      <c r="AO101" s="77"/>
      <c r="AP101" s="77"/>
      <c r="AQ101" s="77"/>
      <c r="AR101" s="77"/>
      <c r="AS101" s="77"/>
      <c r="AT101" s="77"/>
      <c r="AU101" s="77"/>
      <c r="AV101" s="80" t="str">
        <f>HYPERLINK("https://pbs.twimg.com/profile_images/640909451218808832/dw1F3MIB_normal.jpg")</f>
        <v>https://pbs.twimg.com/profile_images/640909451218808832/dw1F3MIB_normal.jpg</v>
      </c>
      <c r="AW101" s="81" t="s">
        <v>4590</v>
      </c>
      <c r="AX101" s="81" t="s">
        <v>4590</v>
      </c>
      <c r="AY101" s="77"/>
      <c r="AZ101" s="81" t="s">
        <v>5773</v>
      </c>
      <c r="BA101" s="81" t="s">
        <v>5773</v>
      </c>
      <c r="BB101" s="81" t="s">
        <v>5773</v>
      </c>
      <c r="BC101" s="81" t="s">
        <v>4590</v>
      </c>
      <c r="BD101" s="77">
        <v>10100372</v>
      </c>
      <c r="BE101" s="77"/>
      <c r="BF101" s="77"/>
      <c r="BG101" s="77"/>
      <c r="BH101" s="77"/>
      <c r="BI101" s="77"/>
    </row>
    <row r="102" spans="1:61" ht="15">
      <c r="A102" s="62" t="s">
        <v>256</v>
      </c>
      <c r="B102" s="62" t="s">
        <v>256</v>
      </c>
      <c r="C102" s="63"/>
      <c r="D102" s="64"/>
      <c r="E102" s="65"/>
      <c r="F102" s="66"/>
      <c r="G102" s="63"/>
      <c r="H102" s="67"/>
      <c r="I102" s="68"/>
      <c r="J102" s="68"/>
      <c r="K102" s="32" t="s">
        <v>65</v>
      </c>
      <c r="L102" s="75">
        <v>102</v>
      </c>
      <c r="M102" s="75"/>
      <c r="N102" s="70"/>
      <c r="O102" s="77" t="s">
        <v>179</v>
      </c>
      <c r="P102" s="79">
        <v>42080.33751157407</v>
      </c>
      <c r="Q102" s="77" t="s">
        <v>656</v>
      </c>
      <c r="R102" s="77">
        <v>0</v>
      </c>
      <c r="S102" s="77">
        <v>0</v>
      </c>
      <c r="T102" s="77">
        <v>0</v>
      </c>
      <c r="U102" s="77">
        <v>0</v>
      </c>
      <c r="V102" s="77"/>
      <c r="W102" s="77"/>
      <c r="X102" s="80" t="str">
        <f>HYPERLINK("http://tinyurl.com/k7ztz4m")</f>
        <v>http://tinyurl.com/k7ztz4m</v>
      </c>
      <c r="Y102" s="77" t="s">
        <v>1986</v>
      </c>
      <c r="Z102" s="77"/>
      <c r="AA102" s="77"/>
      <c r="AB102" s="77"/>
      <c r="AC102" s="81" t="s">
        <v>2715</v>
      </c>
      <c r="AD102" s="77" t="s">
        <v>2751</v>
      </c>
      <c r="AE102" s="80" t="str">
        <f>HYPERLINK("https://twitter.com/whichwdc/status/577742670556188672")</f>
        <v>https://twitter.com/whichwdc/status/577742670556188672</v>
      </c>
      <c r="AF102" s="79">
        <v>42080.33751157407</v>
      </c>
      <c r="AG102" s="85">
        <v>42080</v>
      </c>
      <c r="AH102" s="81" t="s">
        <v>2846</v>
      </c>
      <c r="AI102" s="77" t="b">
        <v>0</v>
      </c>
      <c r="AJ102" s="77"/>
      <c r="AK102" s="77"/>
      <c r="AL102" s="77"/>
      <c r="AM102" s="77"/>
      <c r="AN102" s="77"/>
      <c r="AO102" s="77"/>
      <c r="AP102" s="77"/>
      <c r="AQ102" s="77"/>
      <c r="AR102" s="77"/>
      <c r="AS102" s="77"/>
      <c r="AT102" s="77"/>
      <c r="AU102" s="77"/>
      <c r="AV102" s="80" t="str">
        <f>HYPERLINK("https://pbs.twimg.com/profile_images/640909451218808832/dw1F3MIB_normal.jpg")</f>
        <v>https://pbs.twimg.com/profile_images/640909451218808832/dw1F3MIB_normal.jpg</v>
      </c>
      <c r="AW102" s="81" t="s">
        <v>4591</v>
      </c>
      <c r="AX102" s="81" t="s">
        <v>4591</v>
      </c>
      <c r="AY102" s="77"/>
      <c r="AZ102" s="81" t="s">
        <v>5773</v>
      </c>
      <c r="BA102" s="81" t="s">
        <v>5773</v>
      </c>
      <c r="BB102" s="81" t="s">
        <v>5773</v>
      </c>
      <c r="BC102" s="81" t="s">
        <v>4591</v>
      </c>
      <c r="BD102" s="77">
        <v>10100372</v>
      </c>
      <c r="BE102" s="77"/>
      <c r="BF102" s="77"/>
      <c r="BG102" s="77"/>
      <c r="BH102" s="77"/>
      <c r="BI102" s="77"/>
    </row>
    <row r="103" spans="1:61" ht="15">
      <c r="A103" s="62" t="s">
        <v>256</v>
      </c>
      <c r="B103" s="62" t="s">
        <v>256</v>
      </c>
      <c r="C103" s="63"/>
      <c r="D103" s="64"/>
      <c r="E103" s="65"/>
      <c r="F103" s="66"/>
      <c r="G103" s="63"/>
      <c r="H103" s="67"/>
      <c r="I103" s="68"/>
      <c r="J103" s="68"/>
      <c r="K103" s="32" t="s">
        <v>65</v>
      </c>
      <c r="L103" s="75">
        <v>103</v>
      </c>
      <c r="M103" s="75"/>
      <c r="N103" s="70"/>
      <c r="O103" s="77" t="s">
        <v>179</v>
      </c>
      <c r="P103" s="79">
        <v>42080.33363425926</v>
      </c>
      <c r="Q103" s="77" t="s">
        <v>657</v>
      </c>
      <c r="R103" s="77">
        <v>0</v>
      </c>
      <c r="S103" s="77">
        <v>0</v>
      </c>
      <c r="T103" s="77">
        <v>0</v>
      </c>
      <c r="U103" s="77">
        <v>0</v>
      </c>
      <c r="V103" s="77"/>
      <c r="W103" s="81" t="s">
        <v>1723</v>
      </c>
      <c r="X103" s="80" t="str">
        <f>HYPERLINK("http://tinyurl.com/k7ztz4m")</f>
        <v>http://tinyurl.com/k7ztz4m</v>
      </c>
      <c r="Y103" s="77" t="s">
        <v>1986</v>
      </c>
      <c r="Z103" s="77"/>
      <c r="AA103" s="77"/>
      <c r="AB103" s="77"/>
      <c r="AC103" s="81" t="s">
        <v>2715</v>
      </c>
      <c r="AD103" s="77" t="s">
        <v>2751</v>
      </c>
      <c r="AE103" s="80" t="str">
        <f>HYPERLINK("https://twitter.com/whichwdc/status/577741266903023616")</f>
        <v>https://twitter.com/whichwdc/status/577741266903023616</v>
      </c>
      <c r="AF103" s="79">
        <v>42080.33363425926</v>
      </c>
      <c r="AG103" s="85">
        <v>42080</v>
      </c>
      <c r="AH103" s="81" t="s">
        <v>2847</v>
      </c>
      <c r="AI103" s="77" t="b">
        <v>0</v>
      </c>
      <c r="AJ103" s="77"/>
      <c r="AK103" s="77"/>
      <c r="AL103" s="77"/>
      <c r="AM103" s="77"/>
      <c r="AN103" s="77"/>
      <c r="AO103" s="77"/>
      <c r="AP103" s="77"/>
      <c r="AQ103" s="77"/>
      <c r="AR103" s="77"/>
      <c r="AS103" s="77"/>
      <c r="AT103" s="77"/>
      <c r="AU103" s="77"/>
      <c r="AV103" s="80" t="str">
        <f>HYPERLINK("https://pbs.twimg.com/profile_images/640909451218808832/dw1F3MIB_normal.jpg")</f>
        <v>https://pbs.twimg.com/profile_images/640909451218808832/dw1F3MIB_normal.jpg</v>
      </c>
      <c r="AW103" s="81" t="s">
        <v>4592</v>
      </c>
      <c r="AX103" s="81" t="s">
        <v>4592</v>
      </c>
      <c r="AY103" s="77"/>
      <c r="AZ103" s="81" t="s">
        <v>5773</v>
      </c>
      <c r="BA103" s="81" t="s">
        <v>5773</v>
      </c>
      <c r="BB103" s="81" t="s">
        <v>5773</v>
      </c>
      <c r="BC103" s="81" t="s">
        <v>4592</v>
      </c>
      <c r="BD103" s="77">
        <v>10100372</v>
      </c>
      <c r="BE103" s="77"/>
      <c r="BF103" s="77"/>
      <c r="BG103" s="77"/>
      <c r="BH103" s="77"/>
      <c r="BI103" s="77"/>
    </row>
    <row r="104" spans="1:61" ht="15">
      <c r="A104" s="62" t="s">
        <v>257</v>
      </c>
      <c r="B104" s="62" t="s">
        <v>299</v>
      </c>
      <c r="C104" s="63"/>
      <c r="D104" s="64"/>
      <c r="E104" s="65"/>
      <c r="F104" s="66"/>
      <c r="G104" s="63"/>
      <c r="H104" s="67"/>
      <c r="I104" s="68"/>
      <c r="J104" s="68"/>
      <c r="K104" s="32" t="s">
        <v>65</v>
      </c>
      <c r="L104" s="75">
        <v>104</v>
      </c>
      <c r="M104" s="75"/>
      <c r="N104" s="70"/>
      <c r="O104" s="77" t="s">
        <v>576</v>
      </c>
      <c r="P104" s="79">
        <v>45278.003599537034</v>
      </c>
      <c r="Q104" s="77" t="s">
        <v>658</v>
      </c>
      <c r="R104" s="77">
        <v>0</v>
      </c>
      <c r="S104" s="77">
        <v>0</v>
      </c>
      <c r="T104" s="77">
        <v>0</v>
      </c>
      <c r="U104" s="77">
        <v>0</v>
      </c>
      <c r="V104" s="77">
        <v>86</v>
      </c>
      <c r="W104" s="77"/>
      <c r="X104" s="80" t="str">
        <f>HYPERLINK("https://x.com/its_me_Mahii/status/1736510131028783379?s=20")</f>
        <v>https://x.com/its_me_Mahii/status/1736510131028783379?s=20</v>
      </c>
      <c r="Y104" s="77" t="s">
        <v>1987</v>
      </c>
      <c r="Z104" s="77" t="s">
        <v>299</v>
      </c>
      <c r="AA104" s="77"/>
      <c r="AB104" s="77"/>
      <c r="AC104" s="81" t="s">
        <v>2707</v>
      </c>
      <c r="AD104" s="77" t="s">
        <v>2758</v>
      </c>
      <c r="AE104" s="80" t="str">
        <f>HYPERLINK("https://twitter.com/mulasailaja/status/1736538059645104273")</f>
        <v>https://twitter.com/mulasailaja/status/1736538059645104273</v>
      </c>
      <c r="AF104" s="79">
        <v>45278.003599537034</v>
      </c>
      <c r="AG104" s="85">
        <v>45278</v>
      </c>
      <c r="AH104" s="81" t="s">
        <v>2848</v>
      </c>
      <c r="AI104" s="77" t="b">
        <v>0</v>
      </c>
      <c r="AJ104" s="77"/>
      <c r="AK104" s="77"/>
      <c r="AL104" s="77"/>
      <c r="AM104" s="77"/>
      <c r="AN104" s="77"/>
      <c r="AO104" s="77"/>
      <c r="AP104" s="77"/>
      <c r="AQ104" s="77"/>
      <c r="AR104" s="77"/>
      <c r="AS104" s="77"/>
      <c r="AT104" s="77"/>
      <c r="AU104" s="77"/>
      <c r="AV104" s="80" t="str">
        <f>HYPERLINK("https://pbs.twimg.com/profile_images/1717367629248184320/awDVcG-x_normal.jpg")</f>
        <v>https://pbs.twimg.com/profile_images/1717367629248184320/awDVcG-x_normal.jpg</v>
      </c>
      <c r="AW104" s="81" t="s">
        <v>4593</v>
      </c>
      <c r="AX104" s="81" t="s">
        <v>5265</v>
      </c>
      <c r="AY104" s="81" t="s">
        <v>5721</v>
      </c>
      <c r="AZ104" s="81" t="s">
        <v>5265</v>
      </c>
      <c r="BA104" s="81" t="s">
        <v>5020</v>
      </c>
      <c r="BB104" s="81" t="s">
        <v>5773</v>
      </c>
      <c r="BC104" s="81" t="s">
        <v>5265</v>
      </c>
      <c r="BD104" s="81" t="s">
        <v>5794</v>
      </c>
      <c r="BE104" s="77"/>
      <c r="BF104" s="77"/>
      <c r="BG104" s="77"/>
      <c r="BH104" s="77"/>
      <c r="BI104" s="77"/>
    </row>
    <row r="105" spans="1:61" ht="15">
      <c r="A105" s="62" t="s">
        <v>257</v>
      </c>
      <c r="B105" s="62" t="s">
        <v>402</v>
      </c>
      <c r="C105" s="63"/>
      <c r="D105" s="64"/>
      <c r="E105" s="65"/>
      <c r="F105" s="66"/>
      <c r="G105" s="63"/>
      <c r="H105" s="67"/>
      <c r="I105" s="68"/>
      <c r="J105" s="68"/>
      <c r="K105" s="32" t="s">
        <v>65</v>
      </c>
      <c r="L105" s="75">
        <v>105</v>
      </c>
      <c r="M105" s="75"/>
      <c r="N105" s="70"/>
      <c r="O105" s="77" t="s">
        <v>575</v>
      </c>
      <c r="P105" s="79">
        <v>45278.003599537034</v>
      </c>
      <c r="Q105" s="77" t="s">
        <v>658</v>
      </c>
      <c r="R105" s="77">
        <v>0</v>
      </c>
      <c r="S105" s="77">
        <v>0</v>
      </c>
      <c r="T105" s="77">
        <v>0</v>
      </c>
      <c r="U105" s="77">
        <v>0</v>
      </c>
      <c r="V105" s="77">
        <v>86</v>
      </c>
      <c r="W105" s="77"/>
      <c r="X105" s="80" t="str">
        <f>HYPERLINK("https://x.com/its_me_Mahii/status/1736510131028783379?s=20")</f>
        <v>https://x.com/its_me_Mahii/status/1736510131028783379?s=20</v>
      </c>
      <c r="Y105" s="77" t="s">
        <v>1987</v>
      </c>
      <c r="Z105" s="77" t="s">
        <v>299</v>
      </c>
      <c r="AA105" s="77"/>
      <c r="AB105" s="77"/>
      <c r="AC105" s="81" t="s">
        <v>2707</v>
      </c>
      <c r="AD105" s="77" t="s">
        <v>2758</v>
      </c>
      <c r="AE105" s="80" t="str">
        <f>HYPERLINK("https://twitter.com/mulasailaja/status/1736538059645104273")</f>
        <v>https://twitter.com/mulasailaja/status/1736538059645104273</v>
      </c>
      <c r="AF105" s="79">
        <v>45278.003599537034</v>
      </c>
      <c r="AG105" s="85">
        <v>45278</v>
      </c>
      <c r="AH105" s="81" t="s">
        <v>2848</v>
      </c>
      <c r="AI105" s="77" t="b">
        <v>0</v>
      </c>
      <c r="AJ105" s="77"/>
      <c r="AK105" s="77"/>
      <c r="AL105" s="77"/>
      <c r="AM105" s="77"/>
      <c r="AN105" s="77"/>
      <c r="AO105" s="77"/>
      <c r="AP105" s="77"/>
      <c r="AQ105" s="77"/>
      <c r="AR105" s="77"/>
      <c r="AS105" s="77"/>
      <c r="AT105" s="77"/>
      <c r="AU105" s="77"/>
      <c r="AV105" s="80" t="str">
        <f>HYPERLINK("https://pbs.twimg.com/profile_images/1717367629248184320/awDVcG-x_normal.jpg")</f>
        <v>https://pbs.twimg.com/profile_images/1717367629248184320/awDVcG-x_normal.jpg</v>
      </c>
      <c r="AW105" s="81" t="s">
        <v>4593</v>
      </c>
      <c r="AX105" s="81" t="s">
        <v>5265</v>
      </c>
      <c r="AY105" s="81" t="s">
        <v>5721</v>
      </c>
      <c r="AZ105" s="81" t="s">
        <v>5265</v>
      </c>
      <c r="BA105" s="81" t="s">
        <v>5020</v>
      </c>
      <c r="BB105" s="81" t="s">
        <v>5773</v>
      </c>
      <c r="BC105" s="81" t="s">
        <v>5265</v>
      </c>
      <c r="BD105" s="81" t="s">
        <v>5794</v>
      </c>
      <c r="BE105" s="77"/>
      <c r="BF105" s="77"/>
      <c r="BG105" s="77"/>
      <c r="BH105" s="77"/>
      <c r="BI105" s="77"/>
    </row>
    <row r="106" spans="1:61" ht="15">
      <c r="A106" s="62" t="s">
        <v>257</v>
      </c>
      <c r="B106" s="62" t="s">
        <v>299</v>
      </c>
      <c r="C106" s="63"/>
      <c r="D106" s="64"/>
      <c r="E106" s="65"/>
      <c r="F106" s="66"/>
      <c r="G106" s="63"/>
      <c r="H106" s="67"/>
      <c r="I106" s="68"/>
      <c r="J106" s="68"/>
      <c r="K106" s="32" t="s">
        <v>65</v>
      </c>
      <c r="L106" s="75">
        <v>106</v>
      </c>
      <c r="M106" s="75"/>
      <c r="N106" s="70"/>
      <c r="O106" s="77" t="s">
        <v>572</v>
      </c>
      <c r="P106" s="79">
        <v>45278.003599537034</v>
      </c>
      <c r="Q106" s="77" t="s">
        <v>658</v>
      </c>
      <c r="R106" s="77">
        <v>0</v>
      </c>
      <c r="S106" s="77">
        <v>0</v>
      </c>
      <c r="T106" s="77">
        <v>0</v>
      </c>
      <c r="U106" s="77">
        <v>0</v>
      </c>
      <c r="V106" s="77">
        <v>86</v>
      </c>
      <c r="W106" s="77"/>
      <c r="X106" s="80" t="str">
        <f>HYPERLINK("https://x.com/its_me_Mahii/status/1736510131028783379?s=20")</f>
        <v>https://x.com/its_me_Mahii/status/1736510131028783379?s=20</v>
      </c>
      <c r="Y106" s="77" t="s">
        <v>1987</v>
      </c>
      <c r="Z106" s="77" t="s">
        <v>299</v>
      </c>
      <c r="AA106" s="77"/>
      <c r="AB106" s="77"/>
      <c r="AC106" s="81" t="s">
        <v>2707</v>
      </c>
      <c r="AD106" s="77" t="s">
        <v>2758</v>
      </c>
      <c r="AE106" s="80" t="str">
        <f>HYPERLINK("https://twitter.com/mulasailaja/status/1736538059645104273")</f>
        <v>https://twitter.com/mulasailaja/status/1736538059645104273</v>
      </c>
      <c r="AF106" s="79">
        <v>45278.003599537034</v>
      </c>
      <c r="AG106" s="85">
        <v>45278</v>
      </c>
      <c r="AH106" s="81" t="s">
        <v>2848</v>
      </c>
      <c r="AI106" s="77" t="b">
        <v>0</v>
      </c>
      <c r="AJ106" s="77"/>
      <c r="AK106" s="77"/>
      <c r="AL106" s="77"/>
      <c r="AM106" s="77"/>
      <c r="AN106" s="77"/>
      <c r="AO106" s="77"/>
      <c r="AP106" s="77"/>
      <c r="AQ106" s="77"/>
      <c r="AR106" s="77"/>
      <c r="AS106" s="77"/>
      <c r="AT106" s="77"/>
      <c r="AU106" s="77"/>
      <c r="AV106" s="80" t="str">
        <f>HYPERLINK("https://pbs.twimg.com/profile_images/1717367629248184320/awDVcG-x_normal.jpg")</f>
        <v>https://pbs.twimg.com/profile_images/1717367629248184320/awDVcG-x_normal.jpg</v>
      </c>
      <c r="AW106" s="81" t="s">
        <v>4593</v>
      </c>
      <c r="AX106" s="81" t="s">
        <v>5265</v>
      </c>
      <c r="AY106" s="81" t="s">
        <v>5721</v>
      </c>
      <c r="AZ106" s="81" t="s">
        <v>5265</v>
      </c>
      <c r="BA106" s="81" t="s">
        <v>5020</v>
      </c>
      <c r="BB106" s="81" t="s">
        <v>5773</v>
      </c>
      <c r="BC106" s="81" t="s">
        <v>5265</v>
      </c>
      <c r="BD106" s="81" t="s">
        <v>5794</v>
      </c>
      <c r="BE106" s="77"/>
      <c r="BF106" s="77"/>
      <c r="BG106" s="77"/>
      <c r="BH106" s="77"/>
      <c r="BI106" s="77"/>
    </row>
    <row r="107" spans="1:61" ht="15">
      <c r="A107" s="62" t="s">
        <v>258</v>
      </c>
      <c r="B107" s="62" t="s">
        <v>258</v>
      </c>
      <c r="C107" s="63"/>
      <c r="D107" s="64"/>
      <c r="E107" s="65"/>
      <c r="F107" s="66"/>
      <c r="G107" s="63"/>
      <c r="H107" s="67"/>
      <c r="I107" s="68"/>
      <c r="J107" s="68"/>
      <c r="K107" s="32" t="s">
        <v>65</v>
      </c>
      <c r="L107" s="75">
        <v>107</v>
      </c>
      <c r="M107" s="75"/>
      <c r="N107" s="70"/>
      <c r="O107" s="77" t="s">
        <v>179</v>
      </c>
      <c r="P107" s="79">
        <v>42180.05604166666</v>
      </c>
      <c r="Q107" s="77" t="s">
        <v>659</v>
      </c>
      <c r="R107" s="77">
        <v>0</v>
      </c>
      <c r="S107" s="77">
        <v>0</v>
      </c>
      <c r="T107" s="77">
        <v>3</v>
      </c>
      <c r="U107" s="77">
        <v>0</v>
      </c>
      <c r="V107" s="77"/>
      <c r="W107" s="77"/>
      <c r="X107" s="77"/>
      <c r="Y107" s="77"/>
      <c r="Z107" s="77"/>
      <c r="AA107" s="77"/>
      <c r="AB107" s="77"/>
      <c r="AC107" s="81" t="s">
        <v>2704</v>
      </c>
      <c r="AD107" s="77" t="s">
        <v>2751</v>
      </c>
      <c r="AE107" s="80" t="str">
        <f>HYPERLINK("https://twitter.com/superrjoint/status/613879457963585536")</f>
        <v>https://twitter.com/superrjoint/status/613879457963585536</v>
      </c>
      <c r="AF107" s="79">
        <v>42180.05604166666</v>
      </c>
      <c r="AG107" s="85">
        <v>42180</v>
      </c>
      <c r="AH107" s="81" t="s">
        <v>2849</v>
      </c>
      <c r="AI107" s="77"/>
      <c r="AJ107" s="77"/>
      <c r="AK107" s="77"/>
      <c r="AL107" s="77"/>
      <c r="AM107" s="77"/>
      <c r="AN107" s="77"/>
      <c r="AO107" s="77"/>
      <c r="AP107" s="77"/>
      <c r="AQ107" s="77"/>
      <c r="AR107" s="77"/>
      <c r="AS107" s="77"/>
      <c r="AT107" s="77"/>
      <c r="AU107" s="77"/>
      <c r="AV107" s="80" t="str">
        <f>HYPERLINK("https://pbs.twimg.com/profile_images/1705850705288802304/wWZjD3UH_normal.jpg")</f>
        <v>https://pbs.twimg.com/profile_images/1705850705288802304/wWZjD3UH_normal.jpg</v>
      </c>
      <c r="AW107" s="81" t="s">
        <v>4594</v>
      </c>
      <c r="AX107" s="81" t="s">
        <v>4594</v>
      </c>
      <c r="AY107" s="77"/>
      <c r="AZ107" s="81" t="s">
        <v>5773</v>
      </c>
      <c r="BA107" s="81" t="s">
        <v>5773</v>
      </c>
      <c r="BB107" s="81" t="s">
        <v>5773</v>
      </c>
      <c r="BC107" s="81" t="s">
        <v>4594</v>
      </c>
      <c r="BD107" s="77">
        <v>1863146666</v>
      </c>
      <c r="BE107" s="77"/>
      <c r="BF107" s="77"/>
      <c r="BG107" s="77"/>
      <c r="BH107" s="77"/>
      <c r="BI107" s="77"/>
    </row>
    <row r="108" spans="1:61" ht="15">
      <c r="A108" s="62" t="s">
        <v>259</v>
      </c>
      <c r="B108" s="62" t="s">
        <v>259</v>
      </c>
      <c r="C108" s="63"/>
      <c r="D108" s="64"/>
      <c r="E108" s="65"/>
      <c r="F108" s="66"/>
      <c r="G108" s="63"/>
      <c r="H108" s="67"/>
      <c r="I108" s="68"/>
      <c r="J108" s="68"/>
      <c r="K108" s="32" t="s">
        <v>65</v>
      </c>
      <c r="L108" s="75">
        <v>108</v>
      </c>
      <c r="M108" s="75"/>
      <c r="N108" s="70"/>
      <c r="O108" s="77" t="s">
        <v>179</v>
      </c>
      <c r="P108" s="79">
        <v>41432.50833333333</v>
      </c>
      <c r="Q108" s="77" t="s">
        <v>660</v>
      </c>
      <c r="R108" s="77">
        <v>0</v>
      </c>
      <c r="S108" s="77">
        <v>0</v>
      </c>
      <c r="T108" s="77">
        <v>0</v>
      </c>
      <c r="U108" s="77">
        <v>0</v>
      </c>
      <c r="V108" s="77"/>
      <c r="W108" s="77"/>
      <c r="X108" s="80" t="str">
        <f>HYPERLINK("http://fb.me/2Gm62A7h0")</f>
        <v>http://fb.me/2Gm62A7h0</v>
      </c>
      <c r="Y108" s="77" t="s">
        <v>1988</v>
      </c>
      <c r="Z108" s="77"/>
      <c r="AA108" s="77"/>
      <c r="AB108" s="77"/>
      <c r="AC108" s="81" t="s">
        <v>2716</v>
      </c>
      <c r="AD108" s="77" t="s">
        <v>2751</v>
      </c>
      <c r="AE108" s="80" t="str">
        <f>HYPERLINK("https://twitter.com/ameetchaudhry/status/342977238460936192")</f>
        <v>https://twitter.com/ameetchaudhry/status/342977238460936192</v>
      </c>
      <c r="AF108" s="79">
        <v>41432.50833333333</v>
      </c>
      <c r="AG108" s="85">
        <v>41432</v>
      </c>
      <c r="AH108" s="81" t="s">
        <v>2850</v>
      </c>
      <c r="AI108" s="77" t="b">
        <v>0</v>
      </c>
      <c r="AJ108" s="77"/>
      <c r="AK108" s="77"/>
      <c r="AL108" s="77"/>
      <c r="AM108" s="77"/>
      <c r="AN108" s="77"/>
      <c r="AO108" s="77"/>
      <c r="AP108" s="77"/>
      <c r="AQ108" s="77"/>
      <c r="AR108" s="77"/>
      <c r="AS108" s="77"/>
      <c r="AT108" s="77"/>
      <c r="AU108" s="77"/>
      <c r="AV108" s="80" t="str">
        <f>HYPERLINK("https://pbs.twimg.com/profile_images/1389763525422182400/t6X4IGCV_normal.jpg")</f>
        <v>https://pbs.twimg.com/profile_images/1389763525422182400/t6X4IGCV_normal.jpg</v>
      </c>
      <c r="AW108" s="81" t="s">
        <v>4595</v>
      </c>
      <c r="AX108" s="81" t="s">
        <v>4595</v>
      </c>
      <c r="AY108" s="77"/>
      <c r="AZ108" s="81" t="s">
        <v>5773</v>
      </c>
      <c r="BA108" s="81" t="s">
        <v>5773</v>
      </c>
      <c r="BB108" s="81" t="s">
        <v>5773</v>
      </c>
      <c r="BC108" s="81" t="s">
        <v>4595</v>
      </c>
      <c r="BD108" s="77">
        <v>95203652</v>
      </c>
      <c r="BE108" s="77"/>
      <c r="BF108" s="77"/>
      <c r="BG108" s="77"/>
      <c r="BH108" s="77"/>
      <c r="BI108" s="77"/>
    </row>
    <row r="109" spans="1:61" ht="15">
      <c r="A109" s="62" t="s">
        <v>260</v>
      </c>
      <c r="B109" s="62" t="s">
        <v>260</v>
      </c>
      <c r="C109" s="63"/>
      <c r="D109" s="64"/>
      <c r="E109" s="65"/>
      <c r="F109" s="66"/>
      <c r="G109" s="63"/>
      <c r="H109" s="67"/>
      <c r="I109" s="68"/>
      <c r="J109" s="68"/>
      <c r="K109" s="32" t="s">
        <v>65</v>
      </c>
      <c r="L109" s="75">
        <v>109</v>
      </c>
      <c r="M109" s="75"/>
      <c r="N109" s="70"/>
      <c r="O109" s="77" t="s">
        <v>179</v>
      </c>
      <c r="P109" s="79">
        <v>42955.3190625</v>
      </c>
      <c r="Q109" s="77" t="s">
        <v>661</v>
      </c>
      <c r="R109" s="77">
        <v>0</v>
      </c>
      <c r="S109" s="77">
        <v>0</v>
      </c>
      <c r="T109" s="77">
        <v>0</v>
      </c>
      <c r="U109" s="77">
        <v>0</v>
      </c>
      <c r="V109" s="77"/>
      <c r="W109" s="77"/>
      <c r="X109" s="80" t="str">
        <f>HYPERLINK("http://ift.tt/2q3fHez")</f>
        <v>http://ift.tt/2q3fHez</v>
      </c>
      <c r="Y109" s="77" t="s">
        <v>1989</v>
      </c>
      <c r="Z109" s="77"/>
      <c r="AA109" s="77"/>
      <c r="AB109" s="77"/>
      <c r="AC109" s="81" t="s">
        <v>2710</v>
      </c>
      <c r="AD109" s="77" t="s">
        <v>2751</v>
      </c>
      <c r="AE109" s="80" t="str">
        <f>HYPERLINK("https://twitter.com/pantherassoc/status/894825366476533761")</f>
        <v>https://twitter.com/pantherassoc/status/894825366476533761</v>
      </c>
      <c r="AF109" s="79">
        <v>42955.3190625</v>
      </c>
      <c r="AG109" s="85">
        <v>42955</v>
      </c>
      <c r="AH109" s="81" t="s">
        <v>2851</v>
      </c>
      <c r="AI109" s="77" t="b">
        <v>0</v>
      </c>
      <c r="AJ109" s="77"/>
      <c r="AK109" s="77"/>
      <c r="AL109" s="77"/>
      <c r="AM109" s="77"/>
      <c r="AN109" s="77"/>
      <c r="AO109" s="77"/>
      <c r="AP109" s="77"/>
      <c r="AQ109" s="77"/>
      <c r="AR109" s="77"/>
      <c r="AS109" s="77"/>
      <c r="AT109" s="77"/>
      <c r="AU109" s="77"/>
      <c r="AV109" s="80" t="str">
        <f>HYPERLINK("https://pbs.twimg.com/profile_images/828404593428144128/Z3cYcmlO_normal.jpg")</f>
        <v>https://pbs.twimg.com/profile_images/828404593428144128/Z3cYcmlO_normal.jpg</v>
      </c>
      <c r="AW109" s="81" t="s">
        <v>4596</v>
      </c>
      <c r="AX109" s="81" t="s">
        <v>4596</v>
      </c>
      <c r="AY109" s="77"/>
      <c r="AZ109" s="81" t="s">
        <v>5773</v>
      </c>
      <c r="BA109" s="81" t="s">
        <v>5773</v>
      </c>
      <c r="BB109" s="81" t="s">
        <v>5773</v>
      </c>
      <c r="BC109" s="81" t="s">
        <v>4596</v>
      </c>
      <c r="BD109" s="81" t="s">
        <v>5795</v>
      </c>
      <c r="BE109" s="77"/>
      <c r="BF109" s="77"/>
      <c r="BG109" s="77"/>
      <c r="BH109" s="77"/>
      <c r="BI109" s="77"/>
    </row>
    <row r="110" spans="1:61" ht="15">
      <c r="A110" s="62" t="s">
        <v>261</v>
      </c>
      <c r="B110" s="62" t="s">
        <v>444</v>
      </c>
      <c r="C110" s="63"/>
      <c r="D110" s="64"/>
      <c r="E110" s="65"/>
      <c r="F110" s="66"/>
      <c r="G110" s="63"/>
      <c r="H110" s="67"/>
      <c r="I110" s="68"/>
      <c r="J110" s="68"/>
      <c r="K110" s="32" t="s">
        <v>65</v>
      </c>
      <c r="L110" s="75">
        <v>110</v>
      </c>
      <c r="M110" s="75"/>
      <c r="N110" s="70"/>
      <c r="O110" s="77" t="s">
        <v>571</v>
      </c>
      <c r="P110" s="79">
        <v>44291.41986111111</v>
      </c>
      <c r="Q110" s="77" t="s">
        <v>662</v>
      </c>
      <c r="R110" s="77">
        <v>2</v>
      </c>
      <c r="S110" s="77">
        <v>4</v>
      </c>
      <c r="T110" s="77">
        <v>0</v>
      </c>
      <c r="U110" s="77">
        <v>0</v>
      </c>
      <c r="V110" s="77"/>
      <c r="W110" s="81" t="s">
        <v>1724</v>
      </c>
      <c r="X110" s="80" t="str">
        <f>HYPERLINK("https://bit.ly/39b0qy9")</f>
        <v>https://bit.ly/39b0qy9</v>
      </c>
      <c r="Y110" s="77" t="s">
        <v>1984</v>
      </c>
      <c r="Z110" s="77" t="s">
        <v>2066</v>
      </c>
      <c r="AA110" s="77" t="s">
        <v>2109</v>
      </c>
      <c r="AB110" s="77" t="s">
        <v>2696</v>
      </c>
      <c r="AC110" s="81" t="s">
        <v>2707</v>
      </c>
      <c r="AD110" s="77" t="s">
        <v>2751</v>
      </c>
      <c r="AE110" s="80" t="str">
        <f>HYPERLINK("https://twitter.com/topdevelopersco/status/1379012085619728388")</f>
        <v>https://twitter.com/topdevelopersco/status/1379012085619728388</v>
      </c>
      <c r="AF110" s="79">
        <v>44291.41986111111</v>
      </c>
      <c r="AG110" s="85">
        <v>44291</v>
      </c>
      <c r="AH110" s="81" t="s">
        <v>2852</v>
      </c>
      <c r="AI110" s="77" t="b">
        <v>0</v>
      </c>
      <c r="AJ110" s="77"/>
      <c r="AK110" s="77"/>
      <c r="AL110" s="77"/>
      <c r="AM110" s="77"/>
      <c r="AN110" s="77"/>
      <c r="AO110" s="77"/>
      <c r="AP110" s="77"/>
      <c r="AQ110" s="77" t="s">
        <v>3927</v>
      </c>
      <c r="AR110" s="77"/>
      <c r="AS110" s="77"/>
      <c r="AT110" s="77"/>
      <c r="AU110" s="77"/>
      <c r="AV110" s="80" t="str">
        <f>HYPERLINK("https://pbs.twimg.com/media/EyM8LFOVoAMSFqr.png")</f>
        <v>https://pbs.twimg.com/media/EyM8LFOVoAMSFqr.png</v>
      </c>
      <c r="AW110" s="81" t="s">
        <v>4597</v>
      </c>
      <c r="AX110" s="81" t="s">
        <v>4597</v>
      </c>
      <c r="AY110" s="77"/>
      <c r="AZ110" s="81" t="s">
        <v>5773</v>
      </c>
      <c r="BA110" s="81" t="s">
        <v>5773</v>
      </c>
      <c r="BB110" s="81" t="s">
        <v>5773</v>
      </c>
      <c r="BC110" s="81" t="s">
        <v>4597</v>
      </c>
      <c r="BD110" s="81" t="s">
        <v>5763</v>
      </c>
      <c r="BE110" s="77"/>
      <c r="BF110" s="77"/>
      <c r="BG110" s="77"/>
      <c r="BH110" s="77"/>
      <c r="BI110" s="77"/>
    </row>
    <row r="111" spans="1:61" ht="15">
      <c r="A111" s="62" t="s">
        <v>261</v>
      </c>
      <c r="B111" s="62" t="s">
        <v>445</v>
      </c>
      <c r="C111" s="63"/>
      <c r="D111" s="64"/>
      <c r="E111" s="65"/>
      <c r="F111" s="66"/>
      <c r="G111" s="63"/>
      <c r="H111" s="67"/>
      <c r="I111" s="68"/>
      <c r="J111" s="68"/>
      <c r="K111" s="32" t="s">
        <v>65</v>
      </c>
      <c r="L111" s="75">
        <v>111</v>
      </c>
      <c r="M111" s="75"/>
      <c r="N111" s="70"/>
      <c r="O111" s="77" t="s">
        <v>571</v>
      </c>
      <c r="P111" s="79">
        <v>44291.41986111111</v>
      </c>
      <c r="Q111" s="77" t="s">
        <v>662</v>
      </c>
      <c r="R111" s="77">
        <v>2</v>
      </c>
      <c r="S111" s="77">
        <v>4</v>
      </c>
      <c r="T111" s="77">
        <v>0</v>
      </c>
      <c r="U111" s="77">
        <v>0</v>
      </c>
      <c r="V111" s="77"/>
      <c r="W111" s="81" t="s">
        <v>1724</v>
      </c>
      <c r="X111" s="80" t="str">
        <f>HYPERLINK("https://bit.ly/39b0qy9")</f>
        <v>https://bit.ly/39b0qy9</v>
      </c>
      <c r="Y111" s="77" t="s">
        <v>1984</v>
      </c>
      <c r="Z111" s="77" t="s">
        <v>2066</v>
      </c>
      <c r="AA111" s="77" t="s">
        <v>2109</v>
      </c>
      <c r="AB111" s="77" t="s">
        <v>2696</v>
      </c>
      <c r="AC111" s="81" t="s">
        <v>2707</v>
      </c>
      <c r="AD111" s="77" t="s">
        <v>2751</v>
      </c>
      <c r="AE111" s="80" t="str">
        <f>HYPERLINK("https://twitter.com/topdevelopersco/status/1379012085619728388")</f>
        <v>https://twitter.com/topdevelopersco/status/1379012085619728388</v>
      </c>
      <c r="AF111" s="79">
        <v>44291.41986111111</v>
      </c>
      <c r="AG111" s="85">
        <v>44291</v>
      </c>
      <c r="AH111" s="81" t="s">
        <v>2852</v>
      </c>
      <c r="AI111" s="77" t="b">
        <v>0</v>
      </c>
      <c r="AJ111" s="77"/>
      <c r="AK111" s="77"/>
      <c r="AL111" s="77"/>
      <c r="AM111" s="77"/>
      <c r="AN111" s="77"/>
      <c r="AO111" s="77"/>
      <c r="AP111" s="77"/>
      <c r="AQ111" s="77" t="s">
        <v>3927</v>
      </c>
      <c r="AR111" s="77"/>
      <c r="AS111" s="77"/>
      <c r="AT111" s="77"/>
      <c r="AU111" s="77"/>
      <c r="AV111" s="80" t="str">
        <f>HYPERLINK("https://pbs.twimg.com/media/EyM8LFOVoAMSFqr.png")</f>
        <v>https://pbs.twimg.com/media/EyM8LFOVoAMSFqr.png</v>
      </c>
      <c r="AW111" s="81" t="s">
        <v>4597</v>
      </c>
      <c r="AX111" s="81" t="s">
        <v>4597</v>
      </c>
      <c r="AY111" s="77"/>
      <c r="AZ111" s="81" t="s">
        <v>5773</v>
      </c>
      <c r="BA111" s="81" t="s">
        <v>5773</v>
      </c>
      <c r="BB111" s="81" t="s">
        <v>5773</v>
      </c>
      <c r="BC111" s="81" t="s">
        <v>4597</v>
      </c>
      <c r="BD111" s="81" t="s">
        <v>5763</v>
      </c>
      <c r="BE111" s="77"/>
      <c r="BF111" s="77"/>
      <c r="BG111" s="77"/>
      <c r="BH111" s="77"/>
      <c r="BI111" s="77"/>
    </row>
    <row r="112" spans="1:61" ht="15">
      <c r="A112" s="62" t="s">
        <v>261</v>
      </c>
      <c r="B112" s="62" t="s">
        <v>446</v>
      </c>
      <c r="C112" s="63"/>
      <c r="D112" s="64"/>
      <c r="E112" s="65"/>
      <c r="F112" s="66"/>
      <c r="G112" s="63"/>
      <c r="H112" s="67"/>
      <c r="I112" s="68"/>
      <c r="J112" s="68"/>
      <c r="K112" s="32" t="s">
        <v>65</v>
      </c>
      <c r="L112" s="75">
        <v>112</v>
      </c>
      <c r="M112" s="75"/>
      <c r="N112" s="70"/>
      <c r="O112" s="77" t="s">
        <v>571</v>
      </c>
      <c r="P112" s="79">
        <v>44291.41986111111</v>
      </c>
      <c r="Q112" s="77" t="s">
        <v>662</v>
      </c>
      <c r="R112" s="77">
        <v>2</v>
      </c>
      <c r="S112" s="77">
        <v>4</v>
      </c>
      <c r="T112" s="77">
        <v>0</v>
      </c>
      <c r="U112" s="77">
        <v>0</v>
      </c>
      <c r="V112" s="77"/>
      <c r="W112" s="81" t="s">
        <v>1724</v>
      </c>
      <c r="X112" s="80" t="str">
        <f>HYPERLINK("https://bit.ly/39b0qy9")</f>
        <v>https://bit.ly/39b0qy9</v>
      </c>
      <c r="Y112" s="77" t="s">
        <v>1984</v>
      </c>
      <c r="Z112" s="77" t="s">
        <v>2066</v>
      </c>
      <c r="AA112" s="77" t="s">
        <v>2109</v>
      </c>
      <c r="AB112" s="77" t="s">
        <v>2696</v>
      </c>
      <c r="AC112" s="81" t="s">
        <v>2707</v>
      </c>
      <c r="AD112" s="77" t="s">
        <v>2751</v>
      </c>
      <c r="AE112" s="80" t="str">
        <f>HYPERLINK("https://twitter.com/topdevelopersco/status/1379012085619728388")</f>
        <v>https://twitter.com/topdevelopersco/status/1379012085619728388</v>
      </c>
      <c r="AF112" s="79">
        <v>44291.41986111111</v>
      </c>
      <c r="AG112" s="85">
        <v>44291</v>
      </c>
      <c r="AH112" s="81" t="s">
        <v>2852</v>
      </c>
      <c r="AI112" s="77" t="b">
        <v>0</v>
      </c>
      <c r="AJ112" s="77"/>
      <c r="AK112" s="77"/>
      <c r="AL112" s="77"/>
      <c r="AM112" s="77"/>
      <c r="AN112" s="77"/>
      <c r="AO112" s="77"/>
      <c r="AP112" s="77"/>
      <c r="AQ112" s="77" t="s">
        <v>3927</v>
      </c>
      <c r="AR112" s="77"/>
      <c r="AS112" s="77"/>
      <c r="AT112" s="77"/>
      <c r="AU112" s="77"/>
      <c r="AV112" s="80" t="str">
        <f>HYPERLINK("https://pbs.twimg.com/media/EyM8LFOVoAMSFqr.png")</f>
        <v>https://pbs.twimg.com/media/EyM8LFOVoAMSFqr.png</v>
      </c>
      <c r="AW112" s="81" t="s">
        <v>4597</v>
      </c>
      <c r="AX112" s="81" t="s">
        <v>4597</v>
      </c>
      <c r="AY112" s="77"/>
      <c r="AZ112" s="81" t="s">
        <v>5773</v>
      </c>
      <c r="BA112" s="81" t="s">
        <v>5773</v>
      </c>
      <c r="BB112" s="81" t="s">
        <v>5773</v>
      </c>
      <c r="BC112" s="81" t="s">
        <v>4597</v>
      </c>
      <c r="BD112" s="81" t="s">
        <v>5763</v>
      </c>
      <c r="BE112" s="77"/>
      <c r="BF112" s="77"/>
      <c r="BG112" s="77"/>
      <c r="BH112" s="77"/>
      <c r="BI112" s="77"/>
    </row>
    <row r="113" spans="1:61" ht="15">
      <c r="A113" s="62" t="s">
        <v>261</v>
      </c>
      <c r="B113" s="62" t="s">
        <v>447</v>
      </c>
      <c r="C113" s="63"/>
      <c r="D113" s="64"/>
      <c r="E113" s="65"/>
      <c r="F113" s="66"/>
      <c r="G113" s="63"/>
      <c r="H113" s="67"/>
      <c r="I113" s="68"/>
      <c r="J113" s="68"/>
      <c r="K113" s="32" t="s">
        <v>65</v>
      </c>
      <c r="L113" s="75">
        <v>113</v>
      </c>
      <c r="M113" s="75"/>
      <c r="N113" s="70"/>
      <c r="O113" s="77" t="s">
        <v>571</v>
      </c>
      <c r="P113" s="79">
        <v>44291.41986111111</v>
      </c>
      <c r="Q113" s="77" t="s">
        <v>662</v>
      </c>
      <c r="R113" s="77">
        <v>2</v>
      </c>
      <c r="S113" s="77">
        <v>4</v>
      </c>
      <c r="T113" s="77">
        <v>0</v>
      </c>
      <c r="U113" s="77">
        <v>0</v>
      </c>
      <c r="V113" s="77"/>
      <c r="W113" s="81" t="s">
        <v>1724</v>
      </c>
      <c r="X113" s="80" t="str">
        <f>HYPERLINK("https://bit.ly/39b0qy9")</f>
        <v>https://bit.ly/39b0qy9</v>
      </c>
      <c r="Y113" s="77" t="s">
        <v>1984</v>
      </c>
      <c r="Z113" s="77" t="s">
        <v>2066</v>
      </c>
      <c r="AA113" s="77" t="s">
        <v>2109</v>
      </c>
      <c r="AB113" s="77" t="s">
        <v>2696</v>
      </c>
      <c r="AC113" s="81" t="s">
        <v>2707</v>
      </c>
      <c r="AD113" s="77" t="s">
        <v>2751</v>
      </c>
      <c r="AE113" s="80" t="str">
        <f>HYPERLINK("https://twitter.com/topdevelopersco/status/1379012085619728388")</f>
        <v>https://twitter.com/topdevelopersco/status/1379012085619728388</v>
      </c>
      <c r="AF113" s="79">
        <v>44291.41986111111</v>
      </c>
      <c r="AG113" s="85">
        <v>44291</v>
      </c>
      <c r="AH113" s="81" t="s">
        <v>2852</v>
      </c>
      <c r="AI113" s="77" t="b">
        <v>0</v>
      </c>
      <c r="AJ113" s="77"/>
      <c r="AK113" s="77"/>
      <c r="AL113" s="77"/>
      <c r="AM113" s="77"/>
      <c r="AN113" s="77"/>
      <c r="AO113" s="77"/>
      <c r="AP113" s="77"/>
      <c r="AQ113" s="77" t="s">
        <v>3927</v>
      </c>
      <c r="AR113" s="77"/>
      <c r="AS113" s="77"/>
      <c r="AT113" s="77"/>
      <c r="AU113" s="77"/>
      <c r="AV113" s="80" t="str">
        <f>HYPERLINK("https://pbs.twimg.com/media/EyM8LFOVoAMSFqr.png")</f>
        <v>https://pbs.twimg.com/media/EyM8LFOVoAMSFqr.png</v>
      </c>
      <c r="AW113" s="81" t="s">
        <v>4597</v>
      </c>
      <c r="AX113" s="81" t="s">
        <v>4597</v>
      </c>
      <c r="AY113" s="77"/>
      <c r="AZ113" s="81" t="s">
        <v>5773</v>
      </c>
      <c r="BA113" s="81" t="s">
        <v>5773</v>
      </c>
      <c r="BB113" s="81" t="s">
        <v>5773</v>
      </c>
      <c r="BC113" s="81" t="s">
        <v>4597</v>
      </c>
      <c r="BD113" s="81" t="s">
        <v>5763</v>
      </c>
      <c r="BE113" s="77"/>
      <c r="BF113" s="77"/>
      <c r="BG113" s="77"/>
      <c r="BH113" s="77"/>
      <c r="BI113" s="77"/>
    </row>
    <row r="114" spans="1:61" ht="15">
      <c r="A114" s="62" t="s">
        <v>261</v>
      </c>
      <c r="B114" s="62" t="s">
        <v>448</v>
      </c>
      <c r="C114" s="63"/>
      <c r="D114" s="64"/>
      <c r="E114" s="65"/>
      <c r="F114" s="66"/>
      <c r="G114" s="63"/>
      <c r="H114" s="67"/>
      <c r="I114" s="68"/>
      <c r="J114" s="68"/>
      <c r="K114" s="32" t="s">
        <v>65</v>
      </c>
      <c r="L114" s="75">
        <v>114</v>
      </c>
      <c r="M114" s="75"/>
      <c r="N114" s="70"/>
      <c r="O114" s="77" t="s">
        <v>571</v>
      </c>
      <c r="P114" s="79">
        <v>44291.41986111111</v>
      </c>
      <c r="Q114" s="77" t="s">
        <v>662</v>
      </c>
      <c r="R114" s="77">
        <v>2</v>
      </c>
      <c r="S114" s="77">
        <v>4</v>
      </c>
      <c r="T114" s="77">
        <v>0</v>
      </c>
      <c r="U114" s="77">
        <v>0</v>
      </c>
      <c r="V114" s="77"/>
      <c r="W114" s="81" t="s">
        <v>1724</v>
      </c>
      <c r="X114" s="80" t="str">
        <f>HYPERLINK("https://bit.ly/39b0qy9")</f>
        <v>https://bit.ly/39b0qy9</v>
      </c>
      <c r="Y114" s="77" t="s">
        <v>1984</v>
      </c>
      <c r="Z114" s="77" t="s">
        <v>2066</v>
      </c>
      <c r="AA114" s="77" t="s">
        <v>2109</v>
      </c>
      <c r="AB114" s="77" t="s">
        <v>2696</v>
      </c>
      <c r="AC114" s="81" t="s">
        <v>2707</v>
      </c>
      <c r="AD114" s="77" t="s">
        <v>2751</v>
      </c>
      <c r="AE114" s="80" t="str">
        <f>HYPERLINK("https://twitter.com/topdevelopersco/status/1379012085619728388")</f>
        <v>https://twitter.com/topdevelopersco/status/1379012085619728388</v>
      </c>
      <c r="AF114" s="79">
        <v>44291.41986111111</v>
      </c>
      <c r="AG114" s="85">
        <v>44291</v>
      </c>
      <c r="AH114" s="81" t="s">
        <v>2852</v>
      </c>
      <c r="AI114" s="77" t="b">
        <v>0</v>
      </c>
      <c r="AJ114" s="77"/>
      <c r="AK114" s="77"/>
      <c r="AL114" s="77"/>
      <c r="AM114" s="77"/>
      <c r="AN114" s="77"/>
      <c r="AO114" s="77"/>
      <c r="AP114" s="77"/>
      <c r="AQ114" s="77" t="s">
        <v>3927</v>
      </c>
      <c r="AR114" s="77"/>
      <c r="AS114" s="77"/>
      <c r="AT114" s="77"/>
      <c r="AU114" s="77"/>
      <c r="AV114" s="80" t="str">
        <f>HYPERLINK("https://pbs.twimg.com/media/EyM8LFOVoAMSFqr.png")</f>
        <v>https://pbs.twimg.com/media/EyM8LFOVoAMSFqr.png</v>
      </c>
      <c r="AW114" s="81" t="s">
        <v>4597</v>
      </c>
      <c r="AX114" s="81" t="s">
        <v>4597</v>
      </c>
      <c r="AY114" s="77"/>
      <c r="AZ114" s="81" t="s">
        <v>5773</v>
      </c>
      <c r="BA114" s="81" t="s">
        <v>5773</v>
      </c>
      <c r="BB114" s="81" t="s">
        <v>5773</v>
      </c>
      <c r="BC114" s="81" t="s">
        <v>4597</v>
      </c>
      <c r="BD114" s="81" t="s">
        <v>5763</v>
      </c>
      <c r="BE114" s="77"/>
      <c r="BF114" s="77"/>
      <c r="BG114" s="77"/>
      <c r="BH114" s="77"/>
      <c r="BI114" s="77"/>
    </row>
    <row r="115" spans="1:61" ht="15">
      <c r="A115" s="62" t="s">
        <v>261</v>
      </c>
      <c r="B115" s="62" t="s">
        <v>449</v>
      </c>
      <c r="C115" s="63"/>
      <c r="D115" s="64"/>
      <c r="E115" s="65"/>
      <c r="F115" s="66"/>
      <c r="G115" s="63"/>
      <c r="H115" s="67"/>
      <c r="I115" s="68"/>
      <c r="J115" s="68"/>
      <c r="K115" s="32" t="s">
        <v>65</v>
      </c>
      <c r="L115" s="75">
        <v>115</v>
      </c>
      <c r="M115" s="75"/>
      <c r="N115" s="70"/>
      <c r="O115" s="77" t="s">
        <v>571</v>
      </c>
      <c r="P115" s="79">
        <v>44291.41986111111</v>
      </c>
      <c r="Q115" s="77" t="s">
        <v>662</v>
      </c>
      <c r="R115" s="77">
        <v>2</v>
      </c>
      <c r="S115" s="77">
        <v>4</v>
      </c>
      <c r="T115" s="77">
        <v>0</v>
      </c>
      <c r="U115" s="77">
        <v>0</v>
      </c>
      <c r="V115" s="77"/>
      <c r="W115" s="81" t="s">
        <v>1724</v>
      </c>
      <c r="X115" s="80" t="str">
        <f>HYPERLINK("https://bit.ly/39b0qy9")</f>
        <v>https://bit.ly/39b0qy9</v>
      </c>
      <c r="Y115" s="77" t="s">
        <v>1984</v>
      </c>
      <c r="Z115" s="77" t="s">
        <v>2066</v>
      </c>
      <c r="AA115" s="77" t="s">
        <v>2109</v>
      </c>
      <c r="AB115" s="77" t="s">
        <v>2696</v>
      </c>
      <c r="AC115" s="81" t="s">
        <v>2707</v>
      </c>
      <c r="AD115" s="77" t="s">
        <v>2751</v>
      </c>
      <c r="AE115" s="80" t="str">
        <f>HYPERLINK("https://twitter.com/topdevelopersco/status/1379012085619728388")</f>
        <v>https://twitter.com/topdevelopersco/status/1379012085619728388</v>
      </c>
      <c r="AF115" s="79">
        <v>44291.41986111111</v>
      </c>
      <c r="AG115" s="85">
        <v>44291</v>
      </c>
      <c r="AH115" s="81" t="s">
        <v>2852</v>
      </c>
      <c r="AI115" s="77" t="b">
        <v>0</v>
      </c>
      <c r="AJ115" s="77"/>
      <c r="AK115" s="77"/>
      <c r="AL115" s="77"/>
      <c r="AM115" s="77"/>
      <c r="AN115" s="77"/>
      <c r="AO115" s="77"/>
      <c r="AP115" s="77"/>
      <c r="AQ115" s="77" t="s">
        <v>3927</v>
      </c>
      <c r="AR115" s="77"/>
      <c r="AS115" s="77"/>
      <c r="AT115" s="77"/>
      <c r="AU115" s="77"/>
      <c r="AV115" s="80" t="str">
        <f>HYPERLINK("https://pbs.twimg.com/media/EyM8LFOVoAMSFqr.png")</f>
        <v>https://pbs.twimg.com/media/EyM8LFOVoAMSFqr.png</v>
      </c>
      <c r="AW115" s="81" t="s">
        <v>4597</v>
      </c>
      <c r="AX115" s="81" t="s">
        <v>4597</v>
      </c>
      <c r="AY115" s="77"/>
      <c r="AZ115" s="81" t="s">
        <v>5773</v>
      </c>
      <c r="BA115" s="81" t="s">
        <v>5773</v>
      </c>
      <c r="BB115" s="81" t="s">
        <v>5773</v>
      </c>
      <c r="BC115" s="81" t="s">
        <v>4597</v>
      </c>
      <c r="BD115" s="81" t="s">
        <v>5763</v>
      </c>
      <c r="BE115" s="77"/>
      <c r="BF115" s="77"/>
      <c r="BG115" s="77"/>
      <c r="BH115" s="77"/>
      <c r="BI115" s="77"/>
    </row>
    <row r="116" spans="1:61" ht="15">
      <c r="A116" s="62" t="s">
        <v>261</v>
      </c>
      <c r="B116" s="62" t="s">
        <v>450</v>
      </c>
      <c r="C116" s="63"/>
      <c r="D116" s="64"/>
      <c r="E116" s="65"/>
      <c r="F116" s="66"/>
      <c r="G116" s="63"/>
      <c r="H116" s="67"/>
      <c r="I116" s="68"/>
      <c r="J116" s="68"/>
      <c r="K116" s="32" t="s">
        <v>65</v>
      </c>
      <c r="L116" s="75">
        <v>116</v>
      </c>
      <c r="M116" s="75"/>
      <c r="N116" s="70"/>
      <c r="O116" s="77" t="s">
        <v>571</v>
      </c>
      <c r="P116" s="79">
        <v>44291.41986111111</v>
      </c>
      <c r="Q116" s="77" t="s">
        <v>662</v>
      </c>
      <c r="R116" s="77">
        <v>2</v>
      </c>
      <c r="S116" s="77">
        <v>4</v>
      </c>
      <c r="T116" s="77">
        <v>0</v>
      </c>
      <c r="U116" s="77">
        <v>0</v>
      </c>
      <c r="V116" s="77"/>
      <c r="W116" s="81" t="s">
        <v>1724</v>
      </c>
      <c r="X116" s="80" t="str">
        <f>HYPERLINK("https://bit.ly/39b0qy9")</f>
        <v>https://bit.ly/39b0qy9</v>
      </c>
      <c r="Y116" s="77" t="s">
        <v>1984</v>
      </c>
      <c r="Z116" s="77" t="s">
        <v>2066</v>
      </c>
      <c r="AA116" s="77" t="s">
        <v>2109</v>
      </c>
      <c r="AB116" s="77" t="s">
        <v>2696</v>
      </c>
      <c r="AC116" s="81" t="s">
        <v>2707</v>
      </c>
      <c r="AD116" s="77" t="s">
        <v>2751</v>
      </c>
      <c r="AE116" s="80" t="str">
        <f>HYPERLINK("https://twitter.com/topdevelopersco/status/1379012085619728388")</f>
        <v>https://twitter.com/topdevelopersco/status/1379012085619728388</v>
      </c>
      <c r="AF116" s="79">
        <v>44291.41986111111</v>
      </c>
      <c r="AG116" s="85">
        <v>44291</v>
      </c>
      <c r="AH116" s="81" t="s">
        <v>2852</v>
      </c>
      <c r="AI116" s="77" t="b">
        <v>0</v>
      </c>
      <c r="AJ116" s="77"/>
      <c r="AK116" s="77"/>
      <c r="AL116" s="77"/>
      <c r="AM116" s="77"/>
      <c r="AN116" s="77"/>
      <c r="AO116" s="77"/>
      <c r="AP116" s="77"/>
      <c r="AQ116" s="77" t="s">
        <v>3927</v>
      </c>
      <c r="AR116" s="77"/>
      <c r="AS116" s="77"/>
      <c r="AT116" s="77"/>
      <c r="AU116" s="77"/>
      <c r="AV116" s="80" t="str">
        <f>HYPERLINK("https://pbs.twimg.com/media/EyM8LFOVoAMSFqr.png")</f>
        <v>https://pbs.twimg.com/media/EyM8LFOVoAMSFqr.png</v>
      </c>
      <c r="AW116" s="81" t="s">
        <v>4597</v>
      </c>
      <c r="AX116" s="81" t="s">
        <v>4597</v>
      </c>
      <c r="AY116" s="77"/>
      <c r="AZ116" s="81" t="s">
        <v>5773</v>
      </c>
      <c r="BA116" s="81" t="s">
        <v>5773</v>
      </c>
      <c r="BB116" s="81" t="s">
        <v>5773</v>
      </c>
      <c r="BC116" s="81" t="s">
        <v>4597</v>
      </c>
      <c r="BD116" s="81" t="s">
        <v>5763</v>
      </c>
      <c r="BE116" s="77"/>
      <c r="BF116" s="77"/>
      <c r="BG116" s="77"/>
      <c r="BH116" s="77"/>
      <c r="BI116" s="77"/>
    </row>
    <row r="117" spans="1:61" ht="15">
      <c r="A117" s="62" t="s">
        <v>261</v>
      </c>
      <c r="B117" s="62" t="s">
        <v>450</v>
      </c>
      <c r="C117" s="63"/>
      <c r="D117" s="64"/>
      <c r="E117" s="65"/>
      <c r="F117" s="66"/>
      <c r="G117" s="63"/>
      <c r="H117" s="67"/>
      <c r="I117" s="68"/>
      <c r="J117" s="68"/>
      <c r="K117" s="32" t="s">
        <v>65</v>
      </c>
      <c r="L117" s="75">
        <v>117</v>
      </c>
      <c r="M117" s="75"/>
      <c r="N117" s="70"/>
      <c r="O117" s="77" t="s">
        <v>571</v>
      </c>
      <c r="P117" s="79">
        <v>44120.521469907406</v>
      </c>
      <c r="Q117" s="77" t="s">
        <v>663</v>
      </c>
      <c r="R117" s="77">
        <v>0</v>
      </c>
      <c r="S117" s="77">
        <v>2</v>
      </c>
      <c r="T117" s="77">
        <v>0</v>
      </c>
      <c r="U117" s="77">
        <v>0</v>
      </c>
      <c r="V117" s="77"/>
      <c r="W117" s="81" t="s">
        <v>1725</v>
      </c>
      <c r="X117" s="80" t="str">
        <f>HYPERLINK("https://bit.ly/2ItxUwZ")</f>
        <v>https://bit.ly/2ItxUwZ</v>
      </c>
      <c r="Y117" s="77" t="s">
        <v>1984</v>
      </c>
      <c r="Z117" s="77" t="s">
        <v>2067</v>
      </c>
      <c r="AA117" s="77" t="s">
        <v>2110</v>
      </c>
      <c r="AB117" s="77" t="s">
        <v>2696</v>
      </c>
      <c r="AC117" s="81" t="s">
        <v>2707</v>
      </c>
      <c r="AD117" s="77" t="s">
        <v>2751</v>
      </c>
      <c r="AE117" s="80" t="str">
        <f>HYPERLINK("https://twitter.com/topdevelopersco/status/1317080579611844611")</f>
        <v>https://twitter.com/topdevelopersco/status/1317080579611844611</v>
      </c>
      <c r="AF117" s="79">
        <v>44120.521469907406</v>
      </c>
      <c r="AG117" s="85">
        <v>44120</v>
      </c>
      <c r="AH117" s="81" t="s">
        <v>2853</v>
      </c>
      <c r="AI117" s="77" t="b">
        <v>0</v>
      </c>
      <c r="AJ117" s="77"/>
      <c r="AK117" s="77"/>
      <c r="AL117" s="77"/>
      <c r="AM117" s="77"/>
      <c r="AN117" s="77"/>
      <c r="AO117" s="77"/>
      <c r="AP117" s="77"/>
      <c r="AQ117" s="77" t="s">
        <v>3928</v>
      </c>
      <c r="AR117" s="77"/>
      <c r="AS117" s="77"/>
      <c r="AT117" s="77"/>
      <c r="AU117" s="77"/>
      <c r="AV117" s="80" t="str">
        <f>HYPERLINK("https://pbs.twimg.com/media/Ekc1zduU0AEdSKk.png")</f>
        <v>https://pbs.twimg.com/media/Ekc1zduU0AEdSKk.png</v>
      </c>
      <c r="AW117" s="81" t="s">
        <v>4598</v>
      </c>
      <c r="AX117" s="81" t="s">
        <v>4598</v>
      </c>
      <c r="AY117" s="77"/>
      <c r="AZ117" s="81" t="s">
        <v>5773</v>
      </c>
      <c r="BA117" s="81" t="s">
        <v>5773</v>
      </c>
      <c r="BB117" s="81" t="s">
        <v>5773</v>
      </c>
      <c r="BC117" s="81" t="s">
        <v>4598</v>
      </c>
      <c r="BD117" s="81" t="s">
        <v>5763</v>
      </c>
      <c r="BE117" s="77"/>
      <c r="BF117" s="77"/>
      <c r="BG117" s="77"/>
      <c r="BH117" s="77"/>
      <c r="BI117" s="77"/>
    </row>
    <row r="118" spans="1:61" ht="15">
      <c r="A118" s="62" t="s">
        <v>261</v>
      </c>
      <c r="B118" s="62" t="s">
        <v>451</v>
      </c>
      <c r="C118" s="63"/>
      <c r="D118" s="64"/>
      <c r="E118" s="65"/>
      <c r="F118" s="66"/>
      <c r="G118" s="63"/>
      <c r="H118" s="67"/>
      <c r="I118" s="68"/>
      <c r="J118" s="68"/>
      <c r="K118" s="32" t="s">
        <v>65</v>
      </c>
      <c r="L118" s="75">
        <v>118</v>
      </c>
      <c r="M118" s="75"/>
      <c r="N118" s="70"/>
      <c r="O118" s="77" t="s">
        <v>571</v>
      </c>
      <c r="P118" s="79">
        <v>44291.41986111111</v>
      </c>
      <c r="Q118" s="77" t="s">
        <v>662</v>
      </c>
      <c r="R118" s="77">
        <v>2</v>
      </c>
      <c r="S118" s="77">
        <v>4</v>
      </c>
      <c r="T118" s="77">
        <v>0</v>
      </c>
      <c r="U118" s="77">
        <v>0</v>
      </c>
      <c r="V118" s="77"/>
      <c r="W118" s="81" t="s">
        <v>1724</v>
      </c>
      <c r="X118" s="80" t="str">
        <f>HYPERLINK("https://bit.ly/39b0qy9")</f>
        <v>https://bit.ly/39b0qy9</v>
      </c>
      <c r="Y118" s="77" t="s">
        <v>1984</v>
      </c>
      <c r="Z118" s="77" t="s">
        <v>2066</v>
      </c>
      <c r="AA118" s="77" t="s">
        <v>2109</v>
      </c>
      <c r="AB118" s="77" t="s">
        <v>2696</v>
      </c>
      <c r="AC118" s="81" t="s">
        <v>2707</v>
      </c>
      <c r="AD118" s="77" t="s">
        <v>2751</v>
      </c>
      <c r="AE118" s="80" t="str">
        <f>HYPERLINK("https://twitter.com/topdevelopersco/status/1379012085619728388")</f>
        <v>https://twitter.com/topdevelopersco/status/1379012085619728388</v>
      </c>
      <c r="AF118" s="79">
        <v>44291.41986111111</v>
      </c>
      <c r="AG118" s="85">
        <v>44291</v>
      </c>
      <c r="AH118" s="81" t="s">
        <v>2852</v>
      </c>
      <c r="AI118" s="77" t="b">
        <v>0</v>
      </c>
      <c r="AJ118" s="77"/>
      <c r="AK118" s="77"/>
      <c r="AL118" s="77"/>
      <c r="AM118" s="77"/>
      <c r="AN118" s="77"/>
      <c r="AO118" s="77"/>
      <c r="AP118" s="77"/>
      <c r="AQ118" s="77" t="s">
        <v>3927</v>
      </c>
      <c r="AR118" s="77"/>
      <c r="AS118" s="77"/>
      <c r="AT118" s="77"/>
      <c r="AU118" s="77"/>
      <c r="AV118" s="80" t="str">
        <f>HYPERLINK("https://pbs.twimg.com/media/EyM8LFOVoAMSFqr.png")</f>
        <v>https://pbs.twimg.com/media/EyM8LFOVoAMSFqr.png</v>
      </c>
      <c r="AW118" s="81" t="s">
        <v>4597</v>
      </c>
      <c r="AX118" s="81" t="s">
        <v>4597</v>
      </c>
      <c r="AY118" s="77"/>
      <c r="AZ118" s="81" t="s">
        <v>5773</v>
      </c>
      <c r="BA118" s="81" t="s">
        <v>5773</v>
      </c>
      <c r="BB118" s="81" t="s">
        <v>5773</v>
      </c>
      <c r="BC118" s="81" t="s">
        <v>4597</v>
      </c>
      <c r="BD118" s="81" t="s">
        <v>5763</v>
      </c>
      <c r="BE118" s="77"/>
      <c r="BF118" s="77"/>
      <c r="BG118" s="77"/>
      <c r="BH118" s="77"/>
      <c r="BI118" s="77"/>
    </row>
    <row r="119" spans="1:61" ht="15">
      <c r="A119" s="62" t="s">
        <v>261</v>
      </c>
      <c r="B119" s="62" t="s">
        <v>451</v>
      </c>
      <c r="C119" s="63"/>
      <c r="D119" s="64"/>
      <c r="E119" s="65"/>
      <c r="F119" s="66"/>
      <c r="G119" s="63"/>
      <c r="H119" s="67"/>
      <c r="I119" s="68"/>
      <c r="J119" s="68"/>
      <c r="K119" s="32" t="s">
        <v>65</v>
      </c>
      <c r="L119" s="75">
        <v>119</v>
      </c>
      <c r="M119" s="75"/>
      <c r="N119" s="70"/>
      <c r="O119" s="77" t="s">
        <v>571</v>
      </c>
      <c r="P119" s="79">
        <v>44120.521469907406</v>
      </c>
      <c r="Q119" s="77" t="s">
        <v>663</v>
      </c>
      <c r="R119" s="77">
        <v>0</v>
      </c>
      <c r="S119" s="77">
        <v>2</v>
      </c>
      <c r="T119" s="77">
        <v>0</v>
      </c>
      <c r="U119" s="77">
        <v>0</v>
      </c>
      <c r="V119" s="77"/>
      <c r="W119" s="81" t="s">
        <v>1725</v>
      </c>
      <c r="X119" s="80" t="str">
        <f>HYPERLINK("https://bit.ly/2ItxUwZ")</f>
        <v>https://bit.ly/2ItxUwZ</v>
      </c>
      <c r="Y119" s="77" t="s">
        <v>1984</v>
      </c>
      <c r="Z119" s="77" t="s">
        <v>2067</v>
      </c>
      <c r="AA119" s="77" t="s">
        <v>2110</v>
      </c>
      <c r="AB119" s="77" t="s">
        <v>2696</v>
      </c>
      <c r="AC119" s="81" t="s">
        <v>2707</v>
      </c>
      <c r="AD119" s="77" t="s">
        <v>2751</v>
      </c>
      <c r="AE119" s="80" t="str">
        <f>HYPERLINK("https://twitter.com/topdevelopersco/status/1317080579611844611")</f>
        <v>https://twitter.com/topdevelopersco/status/1317080579611844611</v>
      </c>
      <c r="AF119" s="79">
        <v>44120.521469907406</v>
      </c>
      <c r="AG119" s="85">
        <v>44120</v>
      </c>
      <c r="AH119" s="81" t="s">
        <v>2853</v>
      </c>
      <c r="AI119" s="77" t="b">
        <v>0</v>
      </c>
      <c r="AJ119" s="77"/>
      <c r="AK119" s="77"/>
      <c r="AL119" s="77"/>
      <c r="AM119" s="77"/>
      <c r="AN119" s="77"/>
      <c r="AO119" s="77"/>
      <c r="AP119" s="77"/>
      <c r="AQ119" s="77" t="s">
        <v>3928</v>
      </c>
      <c r="AR119" s="77"/>
      <c r="AS119" s="77"/>
      <c r="AT119" s="77"/>
      <c r="AU119" s="77"/>
      <c r="AV119" s="80" t="str">
        <f>HYPERLINK("https://pbs.twimg.com/media/Ekc1zduU0AEdSKk.png")</f>
        <v>https://pbs.twimg.com/media/Ekc1zduU0AEdSKk.png</v>
      </c>
      <c r="AW119" s="81" t="s">
        <v>4598</v>
      </c>
      <c r="AX119" s="81" t="s">
        <v>4598</v>
      </c>
      <c r="AY119" s="77"/>
      <c r="AZ119" s="81" t="s">
        <v>5773</v>
      </c>
      <c r="BA119" s="81" t="s">
        <v>5773</v>
      </c>
      <c r="BB119" s="81" t="s">
        <v>5773</v>
      </c>
      <c r="BC119" s="81" t="s">
        <v>4598</v>
      </c>
      <c r="BD119" s="81" t="s">
        <v>5763</v>
      </c>
      <c r="BE119" s="77"/>
      <c r="BF119" s="77"/>
      <c r="BG119" s="77"/>
      <c r="BH119" s="77"/>
      <c r="BI119" s="77"/>
    </row>
    <row r="120" spans="1:61" ht="15">
      <c r="A120" s="62" t="s">
        <v>261</v>
      </c>
      <c r="B120" s="62" t="s">
        <v>452</v>
      </c>
      <c r="C120" s="63"/>
      <c r="D120" s="64"/>
      <c r="E120" s="65"/>
      <c r="F120" s="66"/>
      <c r="G120" s="63"/>
      <c r="H120" s="67"/>
      <c r="I120" s="68"/>
      <c r="J120" s="68"/>
      <c r="K120" s="32" t="s">
        <v>65</v>
      </c>
      <c r="L120" s="75">
        <v>120</v>
      </c>
      <c r="M120" s="75"/>
      <c r="N120" s="70"/>
      <c r="O120" s="77" t="s">
        <v>571</v>
      </c>
      <c r="P120" s="79">
        <v>44291.41986111111</v>
      </c>
      <c r="Q120" s="77" t="s">
        <v>662</v>
      </c>
      <c r="R120" s="77">
        <v>2</v>
      </c>
      <c r="S120" s="77">
        <v>4</v>
      </c>
      <c r="T120" s="77">
        <v>0</v>
      </c>
      <c r="U120" s="77">
        <v>0</v>
      </c>
      <c r="V120" s="77"/>
      <c r="W120" s="81" t="s">
        <v>1724</v>
      </c>
      <c r="X120" s="80" t="str">
        <f>HYPERLINK("https://bit.ly/39b0qy9")</f>
        <v>https://bit.ly/39b0qy9</v>
      </c>
      <c r="Y120" s="77" t="s">
        <v>1984</v>
      </c>
      <c r="Z120" s="77" t="s">
        <v>2066</v>
      </c>
      <c r="AA120" s="77" t="s">
        <v>2109</v>
      </c>
      <c r="AB120" s="77" t="s">
        <v>2696</v>
      </c>
      <c r="AC120" s="81" t="s">
        <v>2707</v>
      </c>
      <c r="AD120" s="77" t="s">
        <v>2751</v>
      </c>
      <c r="AE120" s="80" t="str">
        <f>HYPERLINK("https://twitter.com/topdevelopersco/status/1379012085619728388")</f>
        <v>https://twitter.com/topdevelopersco/status/1379012085619728388</v>
      </c>
      <c r="AF120" s="79">
        <v>44291.41986111111</v>
      </c>
      <c r="AG120" s="85">
        <v>44291</v>
      </c>
      <c r="AH120" s="81" t="s">
        <v>2852</v>
      </c>
      <c r="AI120" s="77" t="b">
        <v>0</v>
      </c>
      <c r="AJ120" s="77"/>
      <c r="AK120" s="77"/>
      <c r="AL120" s="77"/>
      <c r="AM120" s="77"/>
      <c r="AN120" s="77"/>
      <c r="AO120" s="77"/>
      <c r="AP120" s="77"/>
      <c r="AQ120" s="77" t="s">
        <v>3927</v>
      </c>
      <c r="AR120" s="77"/>
      <c r="AS120" s="77"/>
      <c r="AT120" s="77"/>
      <c r="AU120" s="77"/>
      <c r="AV120" s="80" t="str">
        <f>HYPERLINK("https://pbs.twimg.com/media/EyM8LFOVoAMSFqr.png")</f>
        <v>https://pbs.twimg.com/media/EyM8LFOVoAMSFqr.png</v>
      </c>
      <c r="AW120" s="81" t="s">
        <v>4597</v>
      </c>
      <c r="AX120" s="81" t="s">
        <v>4597</v>
      </c>
      <c r="AY120" s="77"/>
      <c r="AZ120" s="81" t="s">
        <v>5773</v>
      </c>
      <c r="BA120" s="81" t="s">
        <v>5773</v>
      </c>
      <c r="BB120" s="81" t="s">
        <v>5773</v>
      </c>
      <c r="BC120" s="81" t="s">
        <v>4597</v>
      </c>
      <c r="BD120" s="81" t="s">
        <v>5763</v>
      </c>
      <c r="BE120" s="77"/>
      <c r="BF120" s="77"/>
      <c r="BG120" s="77"/>
      <c r="BH120" s="77"/>
      <c r="BI120" s="77"/>
    </row>
    <row r="121" spans="1:61" ht="15">
      <c r="A121" s="62" t="s">
        <v>261</v>
      </c>
      <c r="B121" s="62" t="s">
        <v>452</v>
      </c>
      <c r="C121" s="63"/>
      <c r="D121" s="64"/>
      <c r="E121" s="65"/>
      <c r="F121" s="66"/>
      <c r="G121" s="63"/>
      <c r="H121" s="67"/>
      <c r="I121" s="68"/>
      <c r="J121" s="68"/>
      <c r="K121" s="32" t="s">
        <v>65</v>
      </c>
      <c r="L121" s="75">
        <v>121</v>
      </c>
      <c r="M121" s="75"/>
      <c r="N121" s="70"/>
      <c r="O121" s="77" t="s">
        <v>571</v>
      </c>
      <c r="P121" s="79">
        <v>44120.521469907406</v>
      </c>
      <c r="Q121" s="77" t="s">
        <v>663</v>
      </c>
      <c r="R121" s="77">
        <v>0</v>
      </c>
      <c r="S121" s="77">
        <v>2</v>
      </c>
      <c r="T121" s="77">
        <v>0</v>
      </c>
      <c r="U121" s="77">
        <v>0</v>
      </c>
      <c r="V121" s="77"/>
      <c r="W121" s="81" t="s">
        <v>1725</v>
      </c>
      <c r="X121" s="80" t="str">
        <f>HYPERLINK("https://bit.ly/2ItxUwZ")</f>
        <v>https://bit.ly/2ItxUwZ</v>
      </c>
      <c r="Y121" s="77" t="s">
        <v>1984</v>
      </c>
      <c r="Z121" s="77" t="s">
        <v>2067</v>
      </c>
      <c r="AA121" s="77" t="s">
        <v>2110</v>
      </c>
      <c r="AB121" s="77" t="s">
        <v>2696</v>
      </c>
      <c r="AC121" s="81" t="s">
        <v>2707</v>
      </c>
      <c r="AD121" s="77" t="s">
        <v>2751</v>
      </c>
      <c r="AE121" s="80" t="str">
        <f>HYPERLINK("https://twitter.com/topdevelopersco/status/1317080579611844611")</f>
        <v>https://twitter.com/topdevelopersco/status/1317080579611844611</v>
      </c>
      <c r="AF121" s="79">
        <v>44120.521469907406</v>
      </c>
      <c r="AG121" s="85">
        <v>44120</v>
      </c>
      <c r="AH121" s="81" t="s">
        <v>2853</v>
      </c>
      <c r="AI121" s="77" t="b">
        <v>0</v>
      </c>
      <c r="AJ121" s="77"/>
      <c r="AK121" s="77"/>
      <c r="AL121" s="77"/>
      <c r="AM121" s="77"/>
      <c r="AN121" s="77"/>
      <c r="AO121" s="77"/>
      <c r="AP121" s="77"/>
      <c r="AQ121" s="77" t="s">
        <v>3928</v>
      </c>
      <c r="AR121" s="77"/>
      <c r="AS121" s="77"/>
      <c r="AT121" s="77"/>
      <c r="AU121" s="77"/>
      <c r="AV121" s="80" t="str">
        <f>HYPERLINK("https://pbs.twimg.com/media/Ekc1zduU0AEdSKk.png")</f>
        <v>https://pbs.twimg.com/media/Ekc1zduU0AEdSKk.png</v>
      </c>
      <c r="AW121" s="81" t="s">
        <v>4598</v>
      </c>
      <c r="AX121" s="81" t="s">
        <v>4598</v>
      </c>
      <c r="AY121" s="77"/>
      <c r="AZ121" s="81" t="s">
        <v>5773</v>
      </c>
      <c r="BA121" s="81" t="s">
        <v>5773</v>
      </c>
      <c r="BB121" s="81" t="s">
        <v>5773</v>
      </c>
      <c r="BC121" s="81" t="s">
        <v>4598</v>
      </c>
      <c r="BD121" s="81" t="s">
        <v>5763</v>
      </c>
      <c r="BE121" s="77"/>
      <c r="BF121" s="77"/>
      <c r="BG121" s="77"/>
      <c r="BH121" s="77"/>
      <c r="BI121" s="77"/>
    </row>
    <row r="122" spans="1:61" ht="15">
      <c r="A122" s="62" t="s">
        <v>261</v>
      </c>
      <c r="B122" s="62" t="s">
        <v>453</v>
      </c>
      <c r="C122" s="63"/>
      <c r="D122" s="64"/>
      <c r="E122" s="65"/>
      <c r="F122" s="66"/>
      <c r="G122" s="63"/>
      <c r="H122" s="67"/>
      <c r="I122" s="68"/>
      <c r="J122" s="68"/>
      <c r="K122" s="32" t="s">
        <v>65</v>
      </c>
      <c r="L122" s="75">
        <v>122</v>
      </c>
      <c r="M122" s="75"/>
      <c r="N122" s="70"/>
      <c r="O122" s="77" t="s">
        <v>571</v>
      </c>
      <c r="P122" s="79">
        <v>44120.521469907406</v>
      </c>
      <c r="Q122" s="77" t="s">
        <v>663</v>
      </c>
      <c r="R122" s="77">
        <v>0</v>
      </c>
      <c r="S122" s="77">
        <v>2</v>
      </c>
      <c r="T122" s="77">
        <v>0</v>
      </c>
      <c r="U122" s="77">
        <v>0</v>
      </c>
      <c r="V122" s="77"/>
      <c r="W122" s="81" t="s">
        <v>1725</v>
      </c>
      <c r="X122" s="80" t="str">
        <f>HYPERLINK("https://bit.ly/2ItxUwZ")</f>
        <v>https://bit.ly/2ItxUwZ</v>
      </c>
      <c r="Y122" s="77" t="s">
        <v>1984</v>
      </c>
      <c r="Z122" s="77" t="s">
        <v>2067</v>
      </c>
      <c r="AA122" s="77" t="s">
        <v>2110</v>
      </c>
      <c r="AB122" s="77" t="s">
        <v>2696</v>
      </c>
      <c r="AC122" s="81" t="s">
        <v>2707</v>
      </c>
      <c r="AD122" s="77" t="s">
        <v>2751</v>
      </c>
      <c r="AE122" s="80" t="str">
        <f>HYPERLINK("https://twitter.com/topdevelopersco/status/1317080579611844611")</f>
        <v>https://twitter.com/topdevelopersco/status/1317080579611844611</v>
      </c>
      <c r="AF122" s="79">
        <v>44120.521469907406</v>
      </c>
      <c r="AG122" s="85">
        <v>44120</v>
      </c>
      <c r="AH122" s="81" t="s">
        <v>2853</v>
      </c>
      <c r="AI122" s="77" t="b">
        <v>0</v>
      </c>
      <c r="AJ122" s="77"/>
      <c r="AK122" s="77"/>
      <c r="AL122" s="77"/>
      <c r="AM122" s="77"/>
      <c r="AN122" s="77"/>
      <c r="AO122" s="77"/>
      <c r="AP122" s="77"/>
      <c r="AQ122" s="77" t="s">
        <v>3928</v>
      </c>
      <c r="AR122" s="77"/>
      <c r="AS122" s="77"/>
      <c r="AT122" s="77"/>
      <c r="AU122" s="77"/>
      <c r="AV122" s="80" t="str">
        <f>HYPERLINK("https://pbs.twimg.com/media/Ekc1zduU0AEdSKk.png")</f>
        <v>https://pbs.twimg.com/media/Ekc1zduU0AEdSKk.png</v>
      </c>
      <c r="AW122" s="81" t="s">
        <v>4598</v>
      </c>
      <c r="AX122" s="81" t="s">
        <v>4598</v>
      </c>
      <c r="AY122" s="77"/>
      <c r="AZ122" s="81" t="s">
        <v>5773</v>
      </c>
      <c r="BA122" s="81" t="s">
        <v>5773</v>
      </c>
      <c r="BB122" s="81" t="s">
        <v>5773</v>
      </c>
      <c r="BC122" s="81" t="s">
        <v>4598</v>
      </c>
      <c r="BD122" s="81" t="s">
        <v>5763</v>
      </c>
      <c r="BE122" s="77"/>
      <c r="BF122" s="77"/>
      <c r="BG122" s="77"/>
      <c r="BH122" s="77"/>
      <c r="BI122" s="77"/>
    </row>
    <row r="123" spans="1:61" ht="15">
      <c r="A123" s="62" t="s">
        <v>261</v>
      </c>
      <c r="B123" s="62" t="s">
        <v>454</v>
      </c>
      <c r="C123" s="63"/>
      <c r="D123" s="64"/>
      <c r="E123" s="65"/>
      <c r="F123" s="66"/>
      <c r="G123" s="63"/>
      <c r="H123" s="67"/>
      <c r="I123" s="68"/>
      <c r="J123" s="68"/>
      <c r="K123" s="32" t="s">
        <v>65</v>
      </c>
      <c r="L123" s="75">
        <v>123</v>
      </c>
      <c r="M123" s="75"/>
      <c r="N123" s="70"/>
      <c r="O123" s="77" t="s">
        <v>571</v>
      </c>
      <c r="P123" s="79">
        <v>44120.521469907406</v>
      </c>
      <c r="Q123" s="77" t="s">
        <v>663</v>
      </c>
      <c r="R123" s="77">
        <v>0</v>
      </c>
      <c r="S123" s="77">
        <v>2</v>
      </c>
      <c r="T123" s="77">
        <v>0</v>
      </c>
      <c r="U123" s="77">
        <v>0</v>
      </c>
      <c r="V123" s="77"/>
      <c r="W123" s="81" t="s">
        <v>1725</v>
      </c>
      <c r="X123" s="80" t="str">
        <f>HYPERLINK("https://bit.ly/2ItxUwZ")</f>
        <v>https://bit.ly/2ItxUwZ</v>
      </c>
      <c r="Y123" s="77" t="s">
        <v>1984</v>
      </c>
      <c r="Z123" s="77" t="s">
        <v>2067</v>
      </c>
      <c r="AA123" s="77" t="s">
        <v>2110</v>
      </c>
      <c r="AB123" s="77" t="s">
        <v>2696</v>
      </c>
      <c r="AC123" s="81" t="s">
        <v>2707</v>
      </c>
      <c r="AD123" s="77" t="s">
        <v>2751</v>
      </c>
      <c r="AE123" s="80" t="str">
        <f>HYPERLINK("https://twitter.com/topdevelopersco/status/1317080579611844611")</f>
        <v>https://twitter.com/topdevelopersco/status/1317080579611844611</v>
      </c>
      <c r="AF123" s="79">
        <v>44120.521469907406</v>
      </c>
      <c r="AG123" s="85">
        <v>44120</v>
      </c>
      <c r="AH123" s="81" t="s">
        <v>2853</v>
      </c>
      <c r="AI123" s="77" t="b">
        <v>0</v>
      </c>
      <c r="AJ123" s="77"/>
      <c r="AK123" s="77"/>
      <c r="AL123" s="77"/>
      <c r="AM123" s="77"/>
      <c r="AN123" s="77"/>
      <c r="AO123" s="77"/>
      <c r="AP123" s="77"/>
      <c r="AQ123" s="77" t="s">
        <v>3928</v>
      </c>
      <c r="AR123" s="77"/>
      <c r="AS123" s="77"/>
      <c r="AT123" s="77"/>
      <c r="AU123" s="77"/>
      <c r="AV123" s="80" t="str">
        <f>HYPERLINK("https://pbs.twimg.com/media/Ekc1zduU0AEdSKk.png")</f>
        <v>https://pbs.twimg.com/media/Ekc1zduU0AEdSKk.png</v>
      </c>
      <c r="AW123" s="81" t="s">
        <v>4598</v>
      </c>
      <c r="AX123" s="81" t="s">
        <v>4598</v>
      </c>
      <c r="AY123" s="77"/>
      <c r="AZ123" s="81" t="s">
        <v>5773</v>
      </c>
      <c r="BA123" s="81" t="s">
        <v>5773</v>
      </c>
      <c r="BB123" s="81" t="s">
        <v>5773</v>
      </c>
      <c r="BC123" s="81" t="s">
        <v>4598</v>
      </c>
      <c r="BD123" s="81" t="s">
        <v>5763</v>
      </c>
      <c r="BE123" s="77"/>
      <c r="BF123" s="77"/>
      <c r="BG123" s="77"/>
      <c r="BH123" s="77"/>
      <c r="BI123" s="77"/>
    </row>
    <row r="124" spans="1:61" ht="15">
      <c r="A124" s="62" t="s">
        <v>261</v>
      </c>
      <c r="B124" s="62" t="s">
        <v>455</v>
      </c>
      <c r="C124" s="63"/>
      <c r="D124" s="64"/>
      <c r="E124" s="65"/>
      <c r="F124" s="66"/>
      <c r="G124" s="63"/>
      <c r="H124" s="67"/>
      <c r="I124" s="68"/>
      <c r="J124" s="68"/>
      <c r="K124" s="32" t="s">
        <v>65</v>
      </c>
      <c r="L124" s="75">
        <v>124</v>
      </c>
      <c r="M124" s="75"/>
      <c r="N124" s="70"/>
      <c r="O124" s="77" t="s">
        <v>571</v>
      </c>
      <c r="P124" s="79">
        <v>44120.521469907406</v>
      </c>
      <c r="Q124" s="77" t="s">
        <v>663</v>
      </c>
      <c r="R124" s="77">
        <v>0</v>
      </c>
      <c r="S124" s="77">
        <v>2</v>
      </c>
      <c r="T124" s="77">
        <v>0</v>
      </c>
      <c r="U124" s="77">
        <v>0</v>
      </c>
      <c r="V124" s="77"/>
      <c r="W124" s="81" t="s">
        <v>1725</v>
      </c>
      <c r="X124" s="80" t="str">
        <f>HYPERLINK("https://bit.ly/2ItxUwZ")</f>
        <v>https://bit.ly/2ItxUwZ</v>
      </c>
      <c r="Y124" s="77" t="s">
        <v>1984</v>
      </c>
      <c r="Z124" s="77" t="s">
        <v>2067</v>
      </c>
      <c r="AA124" s="77" t="s">
        <v>2110</v>
      </c>
      <c r="AB124" s="77" t="s">
        <v>2696</v>
      </c>
      <c r="AC124" s="81" t="s">
        <v>2707</v>
      </c>
      <c r="AD124" s="77" t="s">
        <v>2751</v>
      </c>
      <c r="AE124" s="80" t="str">
        <f>HYPERLINK("https://twitter.com/topdevelopersco/status/1317080579611844611")</f>
        <v>https://twitter.com/topdevelopersco/status/1317080579611844611</v>
      </c>
      <c r="AF124" s="79">
        <v>44120.521469907406</v>
      </c>
      <c r="AG124" s="85">
        <v>44120</v>
      </c>
      <c r="AH124" s="81" t="s">
        <v>2853</v>
      </c>
      <c r="AI124" s="77" t="b">
        <v>0</v>
      </c>
      <c r="AJ124" s="77"/>
      <c r="AK124" s="77"/>
      <c r="AL124" s="77"/>
      <c r="AM124" s="77"/>
      <c r="AN124" s="77"/>
      <c r="AO124" s="77"/>
      <c r="AP124" s="77"/>
      <c r="AQ124" s="77" t="s">
        <v>3928</v>
      </c>
      <c r="AR124" s="77"/>
      <c r="AS124" s="77"/>
      <c r="AT124" s="77"/>
      <c r="AU124" s="77"/>
      <c r="AV124" s="80" t="str">
        <f>HYPERLINK("https://pbs.twimg.com/media/Ekc1zduU0AEdSKk.png")</f>
        <v>https://pbs.twimg.com/media/Ekc1zduU0AEdSKk.png</v>
      </c>
      <c r="AW124" s="81" t="s">
        <v>4598</v>
      </c>
      <c r="AX124" s="81" t="s">
        <v>4598</v>
      </c>
      <c r="AY124" s="77"/>
      <c r="AZ124" s="81" t="s">
        <v>5773</v>
      </c>
      <c r="BA124" s="81" t="s">
        <v>5773</v>
      </c>
      <c r="BB124" s="81" t="s">
        <v>5773</v>
      </c>
      <c r="BC124" s="81" t="s">
        <v>4598</v>
      </c>
      <c r="BD124" s="81" t="s">
        <v>5763</v>
      </c>
      <c r="BE124" s="77"/>
      <c r="BF124" s="77"/>
      <c r="BG124" s="77"/>
      <c r="BH124" s="77"/>
      <c r="BI124" s="77"/>
    </row>
    <row r="125" spans="1:61" ht="15">
      <c r="A125" s="62" t="s">
        <v>261</v>
      </c>
      <c r="B125" s="62" t="s">
        <v>456</v>
      </c>
      <c r="C125" s="63"/>
      <c r="D125" s="64"/>
      <c r="E125" s="65"/>
      <c r="F125" s="66"/>
      <c r="G125" s="63"/>
      <c r="H125" s="67"/>
      <c r="I125" s="68"/>
      <c r="J125" s="68"/>
      <c r="K125" s="32" t="s">
        <v>65</v>
      </c>
      <c r="L125" s="75">
        <v>125</v>
      </c>
      <c r="M125" s="75"/>
      <c r="N125" s="70"/>
      <c r="O125" s="77" t="s">
        <v>571</v>
      </c>
      <c r="P125" s="79">
        <v>44120.521469907406</v>
      </c>
      <c r="Q125" s="77" t="s">
        <v>663</v>
      </c>
      <c r="R125" s="77">
        <v>0</v>
      </c>
      <c r="S125" s="77">
        <v>2</v>
      </c>
      <c r="T125" s="77">
        <v>0</v>
      </c>
      <c r="U125" s="77">
        <v>0</v>
      </c>
      <c r="V125" s="77"/>
      <c r="W125" s="81" t="s">
        <v>1725</v>
      </c>
      <c r="X125" s="80" t="str">
        <f>HYPERLINK("https://bit.ly/2ItxUwZ")</f>
        <v>https://bit.ly/2ItxUwZ</v>
      </c>
      <c r="Y125" s="77" t="s">
        <v>1984</v>
      </c>
      <c r="Z125" s="77" t="s">
        <v>2067</v>
      </c>
      <c r="AA125" s="77" t="s">
        <v>2110</v>
      </c>
      <c r="AB125" s="77" t="s">
        <v>2696</v>
      </c>
      <c r="AC125" s="81" t="s">
        <v>2707</v>
      </c>
      <c r="AD125" s="77" t="s">
        <v>2751</v>
      </c>
      <c r="AE125" s="80" t="str">
        <f>HYPERLINK("https://twitter.com/topdevelopersco/status/1317080579611844611")</f>
        <v>https://twitter.com/topdevelopersco/status/1317080579611844611</v>
      </c>
      <c r="AF125" s="79">
        <v>44120.521469907406</v>
      </c>
      <c r="AG125" s="85">
        <v>44120</v>
      </c>
      <c r="AH125" s="81" t="s">
        <v>2853</v>
      </c>
      <c r="AI125" s="77" t="b">
        <v>0</v>
      </c>
      <c r="AJ125" s="77"/>
      <c r="AK125" s="77"/>
      <c r="AL125" s="77"/>
      <c r="AM125" s="77"/>
      <c r="AN125" s="77"/>
      <c r="AO125" s="77"/>
      <c r="AP125" s="77"/>
      <c r="AQ125" s="77" t="s">
        <v>3928</v>
      </c>
      <c r="AR125" s="77"/>
      <c r="AS125" s="77"/>
      <c r="AT125" s="77"/>
      <c r="AU125" s="77"/>
      <c r="AV125" s="80" t="str">
        <f>HYPERLINK("https://pbs.twimg.com/media/Ekc1zduU0AEdSKk.png")</f>
        <v>https://pbs.twimg.com/media/Ekc1zduU0AEdSKk.png</v>
      </c>
      <c r="AW125" s="81" t="s">
        <v>4598</v>
      </c>
      <c r="AX125" s="81" t="s">
        <v>4598</v>
      </c>
      <c r="AY125" s="77"/>
      <c r="AZ125" s="81" t="s">
        <v>5773</v>
      </c>
      <c r="BA125" s="81" t="s">
        <v>5773</v>
      </c>
      <c r="BB125" s="81" t="s">
        <v>5773</v>
      </c>
      <c r="BC125" s="81" t="s">
        <v>4598</v>
      </c>
      <c r="BD125" s="81" t="s">
        <v>5763</v>
      </c>
      <c r="BE125" s="77"/>
      <c r="BF125" s="77"/>
      <c r="BG125" s="77"/>
      <c r="BH125" s="77"/>
      <c r="BI125" s="77"/>
    </row>
    <row r="126" spans="1:61" ht="15">
      <c r="A126" s="62" t="s">
        <v>261</v>
      </c>
      <c r="B126" s="62" t="s">
        <v>457</v>
      </c>
      <c r="C126" s="63"/>
      <c r="D126" s="64"/>
      <c r="E126" s="65"/>
      <c r="F126" s="66"/>
      <c r="G126" s="63"/>
      <c r="H126" s="67"/>
      <c r="I126" s="68"/>
      <c r="J126" s="68"/>
      <c r="K126" s="32" t="s">
        <v>65</v>
      </c>
      <c r="L126" s="75">
        <v>126</v>
      </c>
      <c r="M126" s="75"/>
      <c r="N126" s="70"/>
      <c r="O126" s="77" t="s">
        <v>571</v>
      </c>
      <c r="P126" s="79">
        <v>44120.521469907406</v>
      </c>
      <c r="Q126" s="77" t="s">
        <v>663</v>
      </c>
      <c r="R126" s="77">
        <v>0</v>
      </c>
      <c r="S126" s="77">
        <v>2</v>
      </c>
      <c r="T126" s="77">
        <v>0</v>
      </c>
      <c r="U126" s="77">
        <v>0</v>
      </c>
      <c r="V126" s="77"/>
      <c r="W126" s="81" t="s">
        <v>1725</v>
      </c>
      <c r="X126" s="80" t="str">
        <f>HYPERLINK("https://bit.ly/2ItxUwZ")</f>
        <v>https://bit.ly/2ItxUwZ</v>
      </c>
      <c r="Y126" s="77" t="s">
        <v>1984</v>
      </c>
      <c r="Z126" s="77" t="s">
        <v>2067</v>
      </c>
      <c r="AA126" s="77" t="s">
        <v>2110</v>
      </c>
      <c r="AB126" s="77" t="s">
        <v>2696</v>
      </c>
      <c r="AC126" s="81" t="s">
        <v>2707</v>
      </c>
      <c r="AD126" s="77" t="s">
        <v>2751</v>
      </c>
      <c r="AE126" s="80" t="str">
        <f>HYPERLINK("https://twitter.com/topdevelopersco/status/1317080579611844611")</f>
        <v>https://twitter.com/topdevelopersco/status/1317080579611844611</v>
      </c>
      <c r="AF126" s="79">
        <v>44120.521469907406</v>
      </c>
      <c r="AG126" s="85">
        <v>44120</v>
      </c>
      <c r="AH126" s="81" t="s">
        <v>2853</v>
      </c>
      <c r="AI126" s="77" t="b">
        <v>0</v>
      </c>
      <c r="AJ126" s="77"/>
      <c r="AK126" s="77"/>
      <c r="AL126" s="77"/>
      <c r="AM126" s="77"/>
      <c r="AN126" s="77"/>
      <c r="AO126" s="77"/>
      <c r="AP126" s="77"/>
      <c r="AQ126" s="77" t="s">
        <v>3928</v>
      </c>
      <c r="AR126" s="77"/>
      <c r="AS126" s="77"/>
      <c r="AT126" s="77"/>
      <c r="AU126" s="77"/>
      <c r="AV126" s="80" t="str">
        <f>HYPERLINK("https://pbs.twimg.com/media/Ekc1zduU0AEdSKk.png")</f>
        <v>https://pbs.twimg.com/media/Ekc1zduU0AEdSKk.png</v>
      </c>
      <c r="AW126" s="81" t="s">
        <v>4598</v>
      </c>
      <c r="AX126" s="81" t="s">
        <v>4598</v>
      </c>
      <c r="AY126" s="77"/>
      <c r="AZ126" s="81" t="s">
        <v>5773</v>
      </c>
      <c r="BA126" s="81" t="s">
        <v>5773</v>
      </c>
      <c r="BB126" s="81" t="s">
        <v>5773</v>
      </c>
      <c r="BC126" s="81" t="s">
        <v>4598</v>
      </c>
      <c r="BD126" s="81" t="s">
        <v>5763</v>
      </c>
      <c r="BE126" s="77"/>
      <c r="BF126" s="77"/>
      <c r="BG126" s="77"/>
      <c r="BH126" s="77"/>
      <c r="BI126" s="77"/>
    </row>
    <row r="127" spans="1:61" ht="15">
      <c r="A127" s="62" t="s">
        <v>262</v>
      </c>
      <c r="B127" s="62" t="s">
        <v>262</v>
      </c>
      <c r="C127" s="63"/>
      <c r="D127" s="64"/>
      <c r="E127" s="65"/>
      <c r="F127" s="66"/>
      <c r="G127" s="63"/>
      <c r="H127" s="67"/>
      <c r="I127" s="68"/>
      <c r="J127" s="68"/>
      <c r="K127" s="32" t="s">
        <v>65</v>
      </c>
      <c r="L127" s="75">
        <v>127</v>
      </c>
      <c r="M127" s="75"/>
      <c r="N127" s="70"/>
      <c r="O127" s="77" t="s">
        <v>179</v>
      </c>
      <c r="P127" s="79">
        <v>40716.64606481481</v>
      </c>
      <c r="Q127" s="77" t="s">
        <v>664</v>
      </c>
      <c r="R127" s="77">
        <v>0</v>
      </c>
      <c r="S127" s="77">
        <v>0</v>
      </c>
      <c r="T127" s="77">
        <v>0</v>
      </c>
      <c r="U127" s="77">
        <v>0</v>
      </c>
      <c r="V127" s="77"/>
      <c r="W127" s="77"/>
      <c r="X127" s="77"/>
      <c r="Y127" s="77"/>
      <c r="Z127" s="77"/>
      <c r="AA127" s="77"/>
      <c r="AB127" s="77"/>
      <c r="AC127" s="81" t="s">
        <v>2702</v>
      </c>
      <c r="AD127" s="77" t="s">
        <v>2751</v>
      </c>
      <c r="AE127" s="80" t="str">
        <f>HYPERLINK("https://twitter.com/employmennews24/status/83557440330801152")</f>
        <v>https://twitter.com/employmennews24/status/83557440330801152</v>
      </c>
      <c r="AF127" s="79">
        <v>40716.64606481481</v>
      </c>
      <c r="AG127" s="85">
        <v>40716</v>
      </c>
      <c r="AH127" s="81" t="s">
        <v>2854</v>
      </c>
      <c r="AI127" s="77"/>
      <c r="AJ127" s="77"/>
      <c r="AK127" s="77"/>
      <c r="AL127" s="77"/>
      <c r="AM127" s="77"/>
      <c r="AN127" s="77"/>
      <c r="AO127" s="77"/>
      <c r="AP127" s="77"/>
      <c r="AQ127" s="77"/>
      <c r="AR127" s="77"/>
      <c r="AS127" s="77"/>
      <c r="AT127" s="77"/>
      <c r="AU127" s="77"/>
      <c r="AV127" s="80" t="str">
        <f>HYPERLINK("https://pbs.twimg.com/profile_images/1382784092/225925_10150169071441314_626351313_7270680_1940140_n_normal.jpg")</f>
        <v>https://pbs.twimg.com/profile_images/1382784092/225925_10150169071441314_626351313_7270680_1940140_n_normal.jpg</v>
      </c>
      <c r="AW127" s="81" t="s">
        <v>4599</v>
      </c>
      <c r="AX127" s="81" t="s">
        <v>4599</v>
      </c>
      <c r="AY127" s="77"/>
      <c r="AZ127" s="81" t="s">
        <v>5773</v>
      </c>
      <c r="BA127" s="81" t="s">
        <v>5773</v>
      </c>
      <c r="BB127" s="81" t="s">
        <v>5773</v>
      </c>
      <c r="BC127" s="81" t="s">
        <v>4599</v>
      </c>
      <c r="BD127" s="77">
        <v>300387684</v>
      </c>
      <c r="BE127" s="77"/>
      <c r="BF127" s="77"/>
      <c r="BG127" s="77"/>
      <c r="BH127" s="77"/>
      <c r="BI127" s="77"/>
    </row>
    <row r="128" spans="1:61" ht="15">
      <c r="A128" s="62" t="s">
        <v>263</v>
      </c>
      <c r="B128" s="62" t="s">
        <v>263</v>
      </c>
      <c r="C128" s="63"/>
      <c r="D128" s="64"/>
      <c r="E128" s="65"/>
      <c r="F128" s="66"/>
      <c r="G128" s="63"/>
      <c r="H128" s="67"/>
      <c r="I128" s="68"/>
      <c r="J128" s="68"/>
      <c r="K128" s="32" t="s">
        <v>65</v>
      </c>
      <c r="L128" s="75">
        <v>128</v>
      </c>
      <c r="M128" s="75"/>
      <c r="N128" s="70"/>
      <c r="O128" s="77" t="s">
        <v>179</v>
      </c>
      <c r="P128" s="79">
        <v>44911.73342592592</v>
      </c>
      <c r="Q128" s="77" t="s">
        <v>665</v>
      </c>
      <c r="R128" s="77">
        <v>0</v>
      </c>
      <c r="S128" s="77">
        <v>2</v>
      </c>
      <c r="T128" s="77">
        <v>0</v>
      </c>
      <c r="U128" s="77">
        <v>0</v>
      </c>
      <c r="V128" s="77">
        <v>33</v>
      </c>
      <c r="W128" s="77"/>
      <c r="X128" s="77"/>
      <c r="Y128" s="77"/>
      <c r="Z128" s="77"/>
      <c r="AA128" s="77"/>
      <c r="AB128" s="77"/>
      <c r="AC128" s="81" t="s">
        <v>2701</v>
      </c>
      <c r="AD128" s="77" t="s">
        <v>2751</v>
      </c>
      <c r="AE128" s="80" t="str">
        <f>HYPERLINK("https://twitter.com/evanevsthedude/status/1603806192588857344")</f>
        <v>https://twitter.com/evanevsthedude/status/1603806192588857344</v>
      </c>
      <c r="AF128" s="79">
        <v>44911.73342592592</v>
      </c>
      <c r="AG128" s="85">
        <v>44911</v>
      </c>
      <c r="AH128" s="81" t="s">
        <v>2855</v>
      </c>
      <c r="AI128" s="77"/>
      <c r="AJ128" s="77"/>
      <c r="AK128" s="77"/>
      <c r="AL128" s="77"/>
      <c r="AM128" s="77"/>
      <c r="AN128" s="77"/>
      <c r="AO128" s="77"/>
      <c r="AP128" s="77"/>
      <c r="AQ128" s="77"/>
      <c r="AR128" s="77"/>
      <c r="AS128" s="77"/>
      <c r="AT128" s="77"/>
      <c r="AU128" s="77"/>
      <c r="AV128" s="80" t="str">
        <f>HYPERLINK("https://pbs.twimg.com/profile_images/1620192354216087553/DZDyLHN0_normal.jpg")</f>
        <v>https://pbs.twimg.com/profile_images/1620192354216087553/DZDyLHN0_normal.jpg</v>
      </c>
      <c r="AW128" s="81" t="s">
        <v>4600</v>
      </c>
      <c r="AX128" s="81" t="s">
        <v>4600</v>
      </c>
      <c r="AY128" s="77"/>
      <c r="AZ128" s="81" t="s">
        <v>5773</v>
      </c>
      <c r="BA128" s="81" t="s">
        <v>5773</v>
      </c>
      <c r="BB128" s="81" t="s">
        <v>5773</v>
      </c>
      <c r="BC128" s="81" t="s">
        <v>4600</v>
      </c>
      <c r="BD128" s="77">
        <v>2765485068</v>
      </c>
      <c r="BE128" s="77"/>
      <c r="BF128" s="77"/>
      <c r="BG128" s="77"/>
      <c r="BH128" s="77"/>
      <c r="BI128" s="77"/>
    </row>
    <row r="129" spans="1:61" ht="15">
      <c r="A129" s="62" t="s">
        <v>264</v>
      </c>
      <c r="B129" s="62" t="s">
        <v>299</v>
      </c>
      <c r="C129" s="63"/>
      <c r="D129" s="64"/>
      <c r="E129" s="65"/>
      <c r="F129" s="66"/>
      <c r="G129" s="63"/>
      <c r="H129" s="67"/>
      <c r="I129" s="68"/>
      <c r="J129" s="68"/>
      <c r="K129" s="32" t="s">
        <v>65</v>
      </c>
      <c r="L129" s="75">
        <v>129</v>
      </c>
      <c r="M129" s="75"/>
      <c r="N129" s="70"/>
      <c r="O129" s="77" t="s">
        <v>571</v>
      </c>
      <c r="P129" s="79">
        <v>42956.33150462963</v>
      </c>
      <c r="Q129" s="77" t="s">
        <v>666</v>
      </c>
      <c r="R129" s="77">
        <v>0</v>
      </c>
      <c r="S129" s="77">
        <v>0</v>
      </c>
      <c r="T129" s="77">
        <v>0</v>
      </c>
      <c r="U129" s="77">
        <v>0</v>
      </c>
      <c r="V129" s="77"/>
      <c r="W129" s="77"/>
      <c r="X129" s="77"/>
      <c r="Y129" s="77"/>
      <c r="Z129" s="77" t="s">
        <v>299</v>
      </c>
      <c r="AA129" s="77"/>
      <c r="AB129" s="77"/>
      <c r="AC129" s="81" t="s">
        <v>2711</v>
      </c>
      <c r="AD129" s="77" t="s">
        <v>2751</v>
      </c>
      <c r="AE129" s="80" t="str">
        <f>HYPERLINK("https://twitter.com/slidesource/status/895192265190256641")</f>
        <v>https://twitter.com/slidesource/status/895192265190256641</v>
      </c>
      <c r="AF129" s="79">
        <v>42956.33150462963</v>
      </c>
      <c r="AG129" s="85">
        <v>42956</v>
      </c>
      <c r="AH129" s="81" t="s">
        <v>2856</v>
      </c>
      <c r="AI129" s="77"/>
      <c r="AJ129" s="77"/>
      <c r="AK129" s="77"/>
      <c r="AL129" s="77"/>
      <c r="AM129" s="77"/>
      <c r="AN129" s="77"/>
      <c r="AO129" s="77"/>
      <c r="AP129" s="77"/>
      <c r="AQ129" s="77"/>
      <c r="AR129" s="77"/>
      <c r="AS129" s="77"/>
      <c r="AT129" s="77"/>
      <c r="AU129" s="77"/>
      <c r="AV129" s="80" t="str">
        <f>HYPERLINK("https://pbs.twimg.com/profile_images/1293970537878880259/4vWgJzMG_normal.jpg")</f>
        <v>https://pbs.twimg.com/profile_images/1293970537878880259/4vWgJzMG_normal.jpg</v>
      </c>
      <c r="AW129" s="81" t="s">
        <v>4601</v>
      </c>
      <c r="AX129" s="81" t="s">
        <v>4601</v>
      </c>
      <c r="AY129" s="81" t="s">
        <v>5721</v>
      </c>
      <c r="AZ129" s="81" t="s">
        <v>5773</v>
      </c>
      <c r="BA129" s="81" t="s">
        <v>5773</v>
      </c>
      <c r="BB129" s="81" t="s">
        <v>5773</v>
      </c>
      <c r="BC129" s="81" t="s">
        <v>4601</v>
      </c>
      <c r="BD129" s="77">
        <v>2792438832</v>
      </c>
      <c r="BE129" s="77"/>
      <c r="BF129" s="77"/>
      <c r="BG129" s="77"/>
      <c r="BH129" s="77"/>
      <c r="BI129" s="77"/>
    </row>
    <row r="130" spans="1:61" ht="15">
      <c r="A130" s="62" t="s">
        <v>265</v>
      </c>
      <c r="B130" s="62" t="s">
        <v>299</v>
      </c>
      <c r="C130" s="63"/>
      <c r="D130" s="64"/>
      <c r="E130" s="65"/>
      <c r="F130" s="66"/>
      <c r="G130" s="63"/>
      <c r="H130" s="67"/>
      <c r="I130" s="68"/>
      <c r="J130" s="68"/>
      <c r="K130" s="32" t="s">
        <v>65</v>
      </c>
      <c r="L130" s="75">
        <v>130</v>
      </c>
      <c r="M130" s="75"/>
      <c r="N130" s="70"/>
      <c r="O130" s="77" t="s">
        <v>577</v>
      </c>
      <c r="P130" s="79">
        <v>45278.10923611111</v>
      </c>
      <c r="Q130" s="77" t="s">
        <v>667</v>
      </c>
      <c r="R130" s="77">
        <v>1</v>
      </c>
      <c r="S130" s="77">
        <v>0</v>
      </c>
      <c r="T130" s="77">
        <v>0</v>
      </c>
      <c r="U130" s="77">
        <v>0</v>
      </c>
      <c r="V130" s="77"/>
      <c r="W130" s="81" t="s">
        <v>1726</v>
      </c>
      <c r="X130" s="80" t="str">
        <f>HYPERLINK("https://www.inovies.com/digital-marketing/")</f>
        <v>https://www.inovies.com/digital-marketing/</v>
      </c>
      <c r="Y130" s="77" t="s">
        <v>1982</v>
      </c>
      <c r="Z130" s="77" t="s">
        <v>299</v>
      </c>
      <c r="AA130" s="77" t="s">
        <v>2111</v>
      </c>
      <c r="AB130" s="77" t="s">
        <v>2696</v>
      </c>
      <c r="AC130" s="81" t="s">
        <v>2701</v>
      </c>
      <c r="AD130" s="77" t="s">
        <v>2751</v>
      </c>
      <c r="AE130" s="80" t="str">
        <f>HYPERLINK("https://twitter.com/karmaceejay/status/1736576341930377651")</f>
        <v>https://twitter.com/karmaceejay/status/1736576341930377651</v>
      </c>
      <c r="AF130" s="79">
        <v>45278.10923611111</v>
      </c>
      <c r="AG130" s="85">
        <v>45278</v>
      </c>
      <c r="AH130" s="81" t="s">
        <v>2857</v>
      </c>
      <c r="AI130" s="77" t="b">
        <v>0</v>
      </c>
      <c r="AJ130" s="77"/>
      <c r="AK130" s="77"/>
      <c r="AL130" s="77"/>
      <c r="AM130" s="77"/>
      <c r="AN130" s="77"/>
      <c r="AO130" s="77"/>
      <c r="AP130" s="77"/>
      <c r="AQ130" s="77" t="s">
        <v>3929</v>
      </c>
      <c r="AR130" s="77"/>
      <c r="AS130" s="77"/>
      <c r="AT130" s="77"/>
      <c r="AU130" s="77"/>
      <c r="AV130" s="80" t="str">
        <f>HYPERLINK("https://pbs.twimg.com/media/GBmOQ42XAAEEFLW.jpg")</f>
        <v>https://pbs.twimg.com/media/GBmOQ42XAAEEFLW.jpg</v>
      </c>
      <c r="AW130" s="81" t="s">
        <v>4602</v>
      </c>
      <c r="AX130" s="81" t="s">
        <v>4602</v>
      </c>
      <c r="AY130" s="77"/>
      <c r="AZ130" s="81" t="s">
        <v>5773</v>
      </c>
      <c r="BA130" s="81" t="s">
        <v>5773</v>
      </c>
      <c r="BB130" s="81" t="s">
        <v>5458</v>
      </c>
      <c r="BC130" s="81" t="s">
        <v>5458</v>
      </c>
      <c r="BD130" s="81" t="s">
        <v>5796</v>
      </c>
      <c r="BE130" s="77"/>
      <c r="BF130" s="77"/>
      <c r="BG130" s="77"/>
      <c r="BH130" s="77"/>
      <c r="BI130" s="77"/>
    </row>
    <row r="131" spans="1:61" ht="15">
      <c r="A131" s="62" t="s">
        <v>266</v>
      </c>
      <c r="B131" s="62" t="s">
        <v>458</v>
      </c>
      <c r="C131" s="63"/>
      <c r="D131" s="64"/>
      <c r="E131" s="65"/>
      <c r="F131" s="66"/>
      <c r="G131" s="63"/>
      <c r="H131" s="67"/>
      <c r="I131" s="68"/>
      <c r="J131" s="68"/>
      <c r="K131" s="32" t="s">
        <v>65</v>
      </c>
      <c r="L131" s="75">
        <v>131</v>
      </c>
      <c r="M131" s="75"/>
      <c r="N131" s="70"/>
      <c r="O131" s="77" t="s">
        <v>573</v>
      </c>
      <c r="P131" s="79">
        <v>45045.18111111111</v>
      </c>
      <c r="Q131" s="77" t="s">
        <v>668</v>
      </c>
      <c r="R131" s="77">
        <v>0</v>
      </c>
      <c r="S131" s="77">
        <v>0</v>
      </c>
      <c r="T131" s="77">
        <v>1</v>
      </c>
      <c r="U131" s="77">
        <v>0</v>
      </c>
      <c r="V131" s="77">
        <v>50</v>
      </c>
      <c r="W131" s="77"/>
      <c r="X131" s="77"/>
      <c r="Y131" s="77"/>
      <c r="Z131" s="77" t="s">
        <v>2068</v>
      </c>
      <c r="AA131" s="77"/>
      <c r="AB131" s="77"/>
      <c r="AC131" s="81" t="s">
        <v>2701</v>
      </c>
      <c r="AD131" s="77" t="s">
        <v>2751</v>
      </c>
      <c r="AE131" s="80" t="str">
        <f>HYPERLINK("https://twitter.com/nexus8846/status/1652166013515964419")</f>
        <v>https://twitter.com/nexus8846/status/1652166013515964419</v>
      </c>
      <c r="AF131" s="79">
        <v>45045.18111111111</v>
      </c>
      <c r="AG131" s="85">
        <v>45045</v>
      </c>
      <c r="AH131" s="81" t="s">
        <v>2858</v>
      </c>
      <c r="AI131" s="77"/>
      <c r="AJ131" s="77"/>
      <c r="AK131" s="77"/>
      <c r="AL131" s="77"/>
      <c r="AM131" s="77"/>
      <c r="AN131" s="77"/>
      <c r="AO131" s="77"/>
      <c r="AP131" s="77"/>
      <c r="AQ131" s="77"/>
      <c r="AR131" s="77"/>
      <c r="AS131" s="77"/>
      <c r="AT131" s="77"/>
      <c r="AU131" s="77"/>
      <c r="AV131" s="80" t="str">
        <f>HYPERLINK("https://pbs.twimg.com/profile_images/1724244030744154112/atKSMR8t_normal.jpg")</f>
        <v>https://pbs.twimg.com/profile_images/1724244030744154112/atKSMR8t_normal.jpg</v>
      </c>
      <c r="AW131" s="81" t="s">
        <v>4603</v>
      </c>
      <c r="AX131" s="81" t="s">
        <v>5681</v>
      </c>
      <c r="AY131" s="81" t="s">
        <v>5728</v>
      </c>
      <c r="AZ131" s="81" t="s">
        <v>5776</v>
      </c>
      <c r="BA131" s="81" t="s">
        <v>5773</v>
      </c>
      <c r="BB131" s="81" t="s">
        <v>5773</v>
      </c>
      <c r="BC131" s="81" t="s">
        <v>5776</v>
      </c>
      <c r="BD131" s="81" t="s">
        <v>5797</v>
      </c>
      <c r="BE131" s="77"/>
      <c r="BF131" s="77"/>
      <c r="BG131" s="77"/>
      <c r="BH131" s="77"/>
      <c r="BI131" s="77"/>
    </row>
    <row r="132" spans="1:61" ht="15">
      <c r="A132" s="62" t="s">
        <v>266</v>
      </c>
      <c r="B132" s="62" t="s">
        <v>459</v>
      </c>
      <c r="C132" s="63"/>
      <c r="D132" s="64"/>
      <c r="E132" s="65"/>
      <c r="F132" s="66"/>
      <c r="G132" s="63"/>
      <c r="H132" s="67"/>
      <c r="I132" s="68"/>
      <c r="J132" s="68"/>
      <c r="K132" s="32" t="s">
        <v>65</v>
      </c>
      <c r="L132" s="75">
        <v>132</v>
      </c>
      <c r="M132" s="75"/>
      <c r="N132" s="70"/>
      <c r="O132" s="77" t="s">
        <v>572</v>
      </c>
      <c r="P132" s="79">
        <v>45045.18111111111</v>
      </c>
      <c r="Q132" s="77" t="s">
        <v>668</v>
      </c>
      <c r="R132" s="77">
        <v>0</v>
      </c>
      <c r="S132" s="77">
        <v>0</v>
      </c>
      <c r="T132" s="77">
        <v>1</v>
      </c>
      <c r="U132" s="77">
        <v>0</v>
      </c>
      <c r="V132" s="77">
        <v>50</v>
      </c>
      <c r="W132" s="77"/>
      <c r="X132" s="77"/>
      <c r="Y132" s="77"/>
      <c r="Z132" s="77" t="s">
        <v>2068</v>
      </c>
      <c r="AA132" s="77"/>
      <c r="AB132" s="77"/>
      <c r="AC132" s="81" t="s">
        <v>2701</v>
      </c>
      <c r="AD132" s="77" t="s">
        <v>2751</v>
      </c>
      <c r="AE132" s="80" t="str">
        <f>HYPERLINK("https://twitter.com/nexus8846/status/1652166013515964419")</f>
        <v>https://twitter.com/nexus8846/status/1652166013515964419</v>
      </c>
      <c r="AF132" s="79">
        <v>45045.18111111111</v>
      </c>
      <c r="AG132" s="85">
        <v>45045</v>
      </c>
      <c r="AH132" s="81" t="s">
        <v>2858</v>
      </c>
      <c r="AI132" s="77"/>
      <c r="AJ132" s="77"/>
      <c r="AK132" s="77"/>
      <c r="AL132" s="77"/>
      <c r="AM132" s="77"/>
      <c r="AN132" s="77"/>
      <c r="AO132" s="77"/>
      <c r="AP132" s="77"/>
      <c r="AQ132" s="77"/>
      <c r="AR132" s="77"/>
      <c r="AS132" s="77"/>
      <c r="AT132" s="77"/>
      <c r="AU132" s="77"/>
      <c r="AV132" s="80" t="str">
        <f>HYPERLINK("https://pbs.twimg.com/profile_images/1724244030744154112/atKSMR8t_normal.jpg")</f>
        <v>https://pbs.twimg.com/profile_images/1724244030744154112/atKSMR8t_normal.jpg</v>
      </c>
      <c r="AW132" s="81" t="s">
        <v>4603</v>
      </c>
      <c r="AX132" s="81" t="s">
        <v>5681</v>
      </c>
      <c r="AY132" s="81" t="s">
        <v>5728</v>
      </c>
      <c r="AZ132" s="81" t="s">
        <v>5776</v>
      </c>
      <c r="BA132" s="81" t="s">
        <v>5773</v>
      </c>
      <c r="BB132" s="81" t="s">
        <v>5773</v>
      </c>
      <c r="BC132" s="81" t="s">
        <v>5776</v>
      </c>
      <c r="BD132" s="81" t="s">
        <v>5797</v>
      </c>
      <c r="BE132" s="77"/>
      <c r="BF132" s="77"/>
      <c r="BG132" s="77"/>
      <c r="BH132" s="77"/>
      <c r="BI132" s="77"/>
    </row>
    <row r="133" spans="1:61" ht="15">
      <c r="A133" s="62" t="s">
        <v>267</v>
      </c>
      <c r="B133" s="62" t="s">
        <v>267</v>
      </c>
      <c r="C133" s="63"/>
      <c r="D133" s="64"/>
      <c r="E133" s="65"/>
      <c r="F133" s="66"/>
      <c r="G133" s="63"/>
      <c r="H133" s="67"/>
      <c r="I133" s="68"/>
      <c r="J133" s="68"/>
      <c r="K133" s="32" t="s">
        <v>65</v>
      </c>
      <c r="L133" s="75">
        <v>133</v>
      </c>
      <c r="M133" s="75"/>
      <c r="N133" s="70"/>
      <c r="O133" s="77" t="s">
        <v>179</v>
      </c>
      <c r="P133" s="79">
        <v>40959.043969907405</v>
      </c>
      <c r="Q133" s="77" t="s">
        <v>669</v>
      </c>
      <c r="R133" s="77">
        <v>0</v>
      </c>
      <c r="S133" s="77">
        <v>0</v>
      </c>
      <c r="T133" s="77">
        <v>0</v>
      </c>
      <c r="U133" s="77">
        <v>0</v>
      </c>
      <c r="V133" s="77"/>
      <c r="W133" s="77"/>
      <c r="X133" s="77"/>
      <c r="Y133" s="77"/>
      <c r="Z133" s="77"/>
      <c r="AA133" s="77"/>
      <c r="AB133" s="77"/>
      <c r="AC133" s="81" t="s">
        <v>2701</v>
      </c>
      <c r="AD133" s="77" t="s">
        <v>2751</v>
      </c>
      <c r="AE133" s="80" t="str">
        <f>HYPERLINK("https://twitter.com/lady_machel/status/171399499535761409")</f>
        <v>https://twitter.com/lady_machel/status/171399499535761409</v>
      </c>
      <c r="AF133" s="79">
        <v>40959.043969907405</v>
      </c>
      <c r="AG133" s="85">
        <v>40959</v>
      </c>
      <c r="AH133" s="81" t="s">
        <v>2859</v>
      </c>
      <c r="AI133" s="77"/>
      <c r="AJ133" s="77"/>
      <c r="AK133" s="77"/>
      <c r="AL133" s="77"/>
      <c r="AM133" s="77"/>
      <c r="AN133" s="77"/>
      <c r="AO133" s="77"/>
      <c r="AP133" s="77"/>
      <c r="AQ133" s="77"/>
      <c r="AR133" s="77"/>
      <c r="AS133" s="77"/>
      <c r="AT133" s="77"/>
      <c r="AU133" s="77"/>
      <c r="AV133" s="80" t="str">
        <f>HYPERLINK("https://pbs.twimg.com/profile_images/507231310797373440/NZYsoumd_normal.jpeg")</f>
        <v>https://pbs.twimg.com/profile_images/507231310797373440/NZYsoumd_normal.jpeg</v>
      </c>
      <c r="AW133" s="81" t="s">
        <v>4604</v>
      </c>
      <c r="AX133" s="81" t="s">
        <v>4604</v>
      </c>
      <c r="AY133" s="77"/>
      <c r="AZ133" s="81" t="s">
        <v>5773</v>
      </c>
      <c r="BA133" s="81" t="s">
        <v>5773</v>
      </c>
      <c r="BB133" s="81" t="s">
        <v>5773</v>
      </c>
      <c r="BC133" s="81" t="s">
        <v>4604</v>
      </c>
      <c r="BD133" s="77">
        <v>406516188</v>
      </c>
      <c r="BE133" s="77"/>
      <c r="BF133" s="77"/>
      <c r="BG133" s="77"/>
      <c r="BH133" s="77"/>
      <c r="BI133" s="77"/>
    </row>
    <row r="134" spans="1:61" ht="15">
      <c r="A134" s="62" t="s">
        <v>268</v>
      </c>
      <c r="B134" s="62" t="s">
        <v>268</v>
      </c>
      <c r="C134" s="63"/>
      <c r="D134" s="64"/>
      <c r="E134" s="65"/>
      <c r="F134" s="66"/>
      <c r="G134" s="63"/>
      <c r="H134" s="67"/>
      <c r="I134" s="68"/>
      <c r="J134" s="68"/>
      <c r="K134" s="32" t="s">
        <v>65</v>
      </c>
      <c r="L134" s="75">
        <v>134</v>
      </c>
      <c r="M134" s="75"/>
      <c r="N134" s="70"/>
      <c r="O134" s="77" t="s">
        <v>179</v>
      </c>
      <c r="P134" s="79">
        <v>41997.711331018516</v>
      </c>
      <c r="Q134" s="77" t="s">
        <v>670</v>
      </c>
      <c r="R134" s="77">
        <v>0</v>
      </c>
      <c r="S134" s="77">
        <v>0</v>
      </c>
      <c r="T134" s="77">
        <v>0</v>
      </c>
      <c r="U134" s="77">
        <v>0</v>
      </c>
      <c r="V134" s="77"/>
      <c r="W134" s="77"/>
      <c r="X134" s="80" t="str">
        <f>HYPERLINK("http://www.chetanasforum.com/topic/108735-tomorrow-inovies")</f>
        <v>http://www.chetanasforum.com/topic/108735-tomorrow-inovies</v>
      </c>
      <c r="Y134" s="77" t="s">
        <v>1990</v>
      </c>
      <c r="Z134" s="77"/>
      <c r="AA134" s="77" t="s">
        <v>2112</v>
      </c>
      <c r="AB134" s="77" t="s">
        <v>2696</v>
      </c>
      <c r="AC134" s="81" t="s">
        <v>2705</v>
      </c>
      <c r="AD134" s="77" t="s">
        <v>2751</v>
      </c>
      <c r="AE134" s="80" t="str">
        <f>HYPERLINK("https://twitter.com/chetanasforum/status/547799946959675392")</f>
        <v>https://twitter.com/chetanasforum/status/547799946959675392</v>
      </c>
      <c r="AF134" s="79">
        <v>41997.711331018516</v>
      </c>
      <c r="AG134" s="85">
        <v>41997</v>
      </c>
      <c r="AH134" s="81" t="s">
        <v>2860</v>
      </c>
      <c r="AI134" s="77" t="b">
        <v>0</v>
      </c>
      <c r="AJ134" s="77"/>
      <c r="AK134" s="77"/>
      <c r="AL134" s="77"/>
      <c r="AM134" s="77"/>
      <c r="AN134" s="77"/>
      <c r="AO134" s="77"/>
      <c r="AP134" s="77"/>
      <c r="AQ134" s="77" t="s">
        <v>3930</v>
      </c>
      <c r="AR134" s="77"/>
      <c r="AS134" s="77"/>
      <c r="AT134" s="77"/>
      <c r="AU134" s="77"/>
      <c r="AV134" s="80" t="str">
        <f>HYPERLINK("https://pbs.twimg.com/media/B5otJauCcAAcpZL.png")</f>
        <v>https://pbs.twimg.com/media/B5otJauCcAAcpZL.png</v>
      </c>
      <c r="AW134" s="81" t="s">
        <v>4605</v>
      </c>
      <c r="AX134" s="81" t="s">
        <v>4605</v>
      </c>
      <c r="AY134" s="77"/>
      <c r="AZ134" s="81" t="s">
        <v>5773</v>
      </c>
      <c r="BA134" s="81" t="s">
        <v>5773</v>
      </c>
      <c r="BB134" s="81" t="s">
        <v>5773</v>
      </c>
      <c r="BC134" s="81" t="s">
        <v>4605</v>
      </c>
      <c r="BD134" s="77">
        <v>2421995742</v>
      </c>
      <c r="BE134" s="77"/>
      <c r="BF134" s="77"/>
      <c r="BG134" s="77"/>
      <c r="BH134" s="77"/>
      <c r="BI134" s="77"/>
    </row>
    <row r="135" spans="1:61" ht="15">
      <c r="A135" s="62" t="s">
        <v>268</v>
      </c>
      <c r="B135" s="62" t="s">
        <v>268</v>
      </c>
      <c r="C135" s="63"/>
      <c r="D135" s="64"/>
      <c r="E135" s="65"/>
      <c r="F135" s="66"/>
      <c r="G135" s="63"/>
      <c r="H135" s="67"/>
      <c r="I135" s="68"/>
      <c r="J135" s="68"/>
      <c r="K135" s="32" t="s">
        <v>65</v>
      </c>
      <c r="L135" s="75">
        <v>135</v>
      </c>
      <c r="M135" s="75"/>
      <c r="N135" s="70"/>
      <c r="O135" s="77" t="s">
        <v>179</v>
      </c>
      <c r="P135" s="79">
        <v>41977.666666666664</v>
      </c>
      <c r="Q135" s="77" t="s">
        <v>671</v>
      </c>
      <c r="R135" s="77">
        <v>0</v>
      </c>
      <c r="S135" s="77">
        <v>0</v>
      </c>
      <c r="T135" s="77">
        <v>0</v>
      </c>
      <c r="U135" s="77">
        <v>0</v>
      </c>
      <c r="V135" s="77"/>
      <c r="W135" s="77"/>
      <c r="X135" s="80" t="str">
        <f>HYPERLINK("http://www.chetanasforum.com/topic/108200-tomorrow-inovies")</f>
        <v>http://www.chetanasforum.com/topic/108200-tomorrow-inovies</v>
      </c>
      <c r="Y135" s="77" t="s">
        <v>1990</v>
      </c>
      <c r="Z135" s="77"/>
      <c r="AA135" s="77" t="s">
        <v>2113</v>
      </c>
      <c r="AB135" s="77" t="s">
        <v>2696</v>
      </c>
      <c r="AC135" s="81" t="s">
        <v>2705</v>
      </c>
      <c r="AD135" s="77" t="s">
        <v>2751</v>
      </c>
      <c r="AE135" s="80" t="str">
        <f>HYPERLINK("https://twitter.com/chetanasforum/status/540536004403138560")</f>
        <v>https://twitter.com/chetanasforum/status/540536004403138560</v>
      </c>
      <c r="AF135" s="79">
        <v>41977.666666666664</v>
      </c>
      <c r="AG135" s="85">
        <v>41977</v>
      </c>
      <c r="AH135" s="81" t="s">
        <v>2861</v>
      </c>
      <c r="AI135" s="77" t="b">
        <v>0</v>
      </c>
      <c r="AJ135" s="77"/>
      <c r="AK135" s="77"/>
      <c r="AL135" s="77"/>
      <c r="AM135" s="77"/>
      <c r="AN135" s="77"/>
      <c r="AO135" s="77"/>
      <c r="AP135" s="77"/>
      <c r="AQ135" s="77" t="s">
        <v>3931</v>
      </c>
      <c r="AR135" s="77"/>
      <c r="AS135" s="77"/>
      <c r="AT135" s="77"/>
      <c r="AU135" s="77"/>
      <c r="AV135" s="80" t="str">
        <f>HYPERLINK("https://pbs.twimg.com/media/B4Ben6eCQAA_JUa.png")</f>
        <v>https://pbs.twimg.com/media/B4Ben6eCQAA_JUa.png</v>
      </c>
      <c r="AW135" s="81" t="s">
        <v>4606</v>
      </c>
      <c r="AX135" s="81" t="s">
        <v>4606</v>
      </c>
      <c r="AY135" s="77"/>
      <c r="AZ135" s="81" t="s">
        <v>5773</v>
      </c>
      <c r="BA135" s="81" t="s">
        <v>5773</v>
      </c>
      <c r="BB135" s="81" t="s">
        <v>5773</v>
      </c>
      <c r="BC135" s="81" t="s">
        <v>4606</v>
      </c>
      <c r="BD135" s="77">
        <v>2421995742</v>
      </c>
      <c r="BE135" s="77"/>
      <c r="BF135" s="77"/>
      <c r="BG135" s="77"/>
      <c r="BH135" s="77"/>
      <c r="BI135" s="77"/>
    </row>
    <row r="136" spans="1:61" ht="15">
      <c r="A136" s="62" t="s">
        <v>268</v>
      </c>
      <c r="B136" s="62" t="s">
        <v>268</v>
      </c>
      <c r="C136" s="63"/>
      <c r="D136" s="64"/>
      <c r="E136" s="65"/>
      <c r="F136" s="66"/>
      <c r="G136" s="63"/>
      <c r="H136" s="67"/>
      <c r="I136" s="68"/>
      <c r="J136" s="68"/>
      <c r="K136" s="32" t="s">
        <v>65</v>
      </c>
      <c r="L136" s="75">
        <v>136</v>
      </c>
      <c r="M136" s="75"/>
      <c r="N136" s="70"/>
      <c r="O136" s="77" t="s">
        <v>179</v>
      </c>
      <c r="P136" s="79">
        <v>41976.48333333333</v>
      </c>
      <c r="Q136" s="77" t="s">
        <v>672</v>
      </c>
      <c r="R136" s="77">
        <v>0</v>
      </c>
      <c r="S136" s="77">
        <v>0</v>
      </c>
      <c r="T136" s="77">
        <v>0</v>
      </c>
      <c r="U136" s="77">
        <v>0</v>
      </c>
      <c r="V136" s="77"/>
      <c r="W136" s="77"/>
      <c r="X136" s="80" t="str">
        <f>HYPERLINK("http://www.chetanasforum.com/topic/108138-freshers-inovies")</f>
        <v>http://www.chetanasforum.com/topic/108138-freshers-inovies</v>
      </c>
      <c r="Y136" s="77" t="s">
        <v>1990</v>
      </c>
      <c r="Z136" s="77"/>
      <c r="AA136" s="77" t="s">
        <v>2114</v>
      </c>
      <c r="AB136" s="77" t="s">
        <v>2696</v>
      </c>
      <c r="AC136" s="81" t="s">
        <v>2705</v>
      </c>
      <c r="AD136" s="77" t="s">
        <v>2751</v>
      </c>
      <c r="AE136" s="80" t="str">
        <f>HYPERLINK("https://twitter.com/chetanasforum/status/540107178661912577")</f>
        <v>https://twitter.com/chetanasforum/status/540107178661912577</v>
      </c>
      <c r="AF136" s="79">
        <v>41976.48333333333</v>
      </c>
      <c r="AG136" s="85">
        <v>41976</v>
      </c>
      <c r="AH136" s="81" t="s">
        <v>2862</v>
      </c>
      <c r="AI136" s="77" t="b">
        <v>0</v>
      </c>
      <c r="AJ136" s="77"/>
      <c r="AK136" s="77"/>
      <c r="AL136" s="77"/>
      <c r="AM136" s="77"/>
      <c r="AN136" s="77"/>
      <c r="AO136" s="77"/>
      <c r="AP136" s="77"/>
      <c r="AQ136" s="77" t="s">
        <v>3932</v>
      </c>
      <c r="AR136" s="77"/>
      <c r="AS136" s="77"/>
      <c r="AT136" s="77"/>
      <c r="AU136" s="77"/>
      <c r="AV136" s="80" t="str">
        <f>HYPERLINK("https://pbs.twimg.com/media/B37YnZ9CEAIYfz0.png")</f>
        <v>https://pbs.twimg.com/media/B37YnZ9CEAIYfz0.png</v>
      </c>
      <c r="AW136" s="81" t="s">
        <v>4607</v>
      </c>
      <c r="AX136" s="81" t="s">
        <v>4607</v>
      </c>
      <c r="AY136" s="77"/>
      <c r="AZ136" s="81" t="s">
        <v>5773</v>
      </c>
      <c r="BA136" s="81" t="s">
        <v>5773</v>
      </c>
      <c r="BB136" s="81" t="s">
        <v>5773</v>
      </c>
      <c r="BC136" s="81" t="s">
        <v>4607</v>
      </c>
      <c r="BD136" s="77">
        <v>2421995742</v>
      </c>
      <c r="BE136" s="77"/>
      <c r="BF136" s="77"/>
      <c r="BG136" s="77"/>
      <c r="BH136" s="77"/>
      <c r="BI136" s="77"/>
    </row>
    <row r="137" spans="1:61" ht="15">
      <c r="A137" s="62" t="s">
        <v>269</v>
      </c>
      <c r="B137" s="62" t="s">
        <v>269</v>
      </c>
      <c r="C137" s="63"/>
      <c r="D137" s="64"/>
      <c r="E137" s="65"/>
      <c r="F137" s="66"/>
      <c r="G137" s="63"/>
      <c r="H137" s="67"/>
      <c r="I137" s="68"/>
      <c r="J137" s="68"/>
      <c r="K137" s="32" t="s">
        <v>65</v>
      </c>
      <c r="L137" s="75">
        <v>137</v>
      </c>
      <c r="M137" s="75"/>
      <c r="N137" s="70"/>
      <c r="O137" s="77" t="s">
        <v>179</v>
      </c>
      <c r="P137" s="79">
        <v>43025.908634259256</v>
      </c>
      <c r="Q137" s="77" t="s">
        <v>673</v>
      </c>
      <c r="R137" s="77">
        <v>0</v>
      </c>
      <c r="S137" s="77">
        <v>0</v>
      </c>
      <c r="T137" s="77">
        <v>0</v>
      </c>
      <c r="U137" s="77">
        <v>0</v>
      </c>
      <c r="V137" s="77"/>
      <c r="W137" s="81" t="s">
        <v>299</v>
      </c>
      <c r="X137" s="80" t="str">
        <f>HYPERLINK("https://paper.li/webpage_tips/1505152105?edition_id=4eccfa80-b363-11e7-af31-002590a5ba2d")</f>
        <v>https://paper.li/webpage_tips/1505152105?edition_id=4eccfa80-b363-11e7-af31-002590a5ba2d</v>
      </c>
      <c r="Y137" s="77" t="s">
        <v>1978</v>
      </c>
      <c r="Z137" s="77"/>
      <c r="AA137" s="77"/>
      <c r="AB137" s="77"/>
      <c r="AC137" s="81" t="s">
        <v>2708</v>
      </c>
      <c r="AD137" s="77" t="s">
        <v>2751</v>
      </c>
      <c r="AE137" s="80" t="str">
        <f>HYPERLINK("https://twitter.com/webpage_tips/status/920406171852443649")</f>
        <v>https://twitter.com/webpage_tips/status/920406171852443649</v>
      </c>
      <c r="AF137" s="79">
        <v>43025.908634259256</v>
      </c>
      <c r="AG137" s="85">
        <v>43025</v>
      </c>
      <c r="AH137" s="81" t="s">
        <v>2863</v>
      </c>
      <c r="AI137" s="77" t="b">
        <v>0</v>
      </c>
      <c r="AJ137" s="77"/>
      <c r="AK137" s="77"/>
      <c r="AL137" s="77"/>
      <c r="AM137" s="77"/>
      <c r="AN137" s="77"/>
      <c r="AO137" s="77"/>
      <c r="AP137" s="77"/>
      <c r="AQ137" s="77"/>
      <c r="AR137" s="77"/>
      <c r="AS137" s="77"/>
      <c r="AT137" s="77"/>
      <c r="AU137" s="77"/>
      <c r="AV137" s="80" t="str">
        <f>HYPERLINK("https://pbs.twimg.com/profile_images/907273702265552896/s7cdZYyI_normal.jpg")</f>
        <v>https://pbs.twimg.com/profile_images/907273702265552896/s7cdZYyI_normal.jpg</v>
      </c>
      <c r="AW137" s="81" t="s">
        <v>4608</v>
      </c>
      <c r="AX137" s="81" t="s">
        <v>4608</v>
      </c>
      <c r="AY137" s="77"/>
      <c r="AZ137" s="81" t="s">
        <v>5773</v>
      </c>
      <c r="BA137" s="81" t="s">
        <v>5773</v>
      </c>
      <c r="BB137" s="81" t="s">
        <v>5773</v>
      </c>
      <c r="BC137" s="81" t="s">
        <v>4608</v>
      </c>
      <c r="BD137" s="81" t="s">
        <v>5798</v>
      </c>
      <c r="BE137" s="77"/>
      <c r="BF137" s="77"/>
      <c r="BG137" s="77"/>
      <c r="BH137" s="77"/>
      <c r="BI137" s="77"/>
    </row>
    <row r="138" spans="1:61" ht="15">
      <c r="A138" s="62" t="s">
        <v>270</v>
      </c>
      <c r="B138" s="62" t="s">
        <v>460</v>
      </c>
      <c r="C138" s="63"/>
      <c r="D138" s="64"/>
      <c r="E138" s="65"/>
      <c r="F138" s="66"/>
      <c r="G138" s="63"/>
      <c r="H138" s="67"/>
      <c r="I138" s="68"/>
      <c r="J138" s="68"/>
      <c r="K138" s="32" t="s">
        <v>65</v>
      </c>
      <c r="L138" s="75">
        <v>138</v>
      </c>
      <c r="M138" s="75"/>
      <c r="N138" s="70"/>
      <c r="O138" s="77" t="s">
        <v>572</v>
      </c>
      <c r="P138" s="79">
        <v>42657.80262731481</v>
      </c>
      <c r="Q138" s="77" t="s">
        <v>674</v>
      </c>
      <c r="R138" s="77">
        <v>0</v>
      </c>
      <c r="S138" s="77">
        <v>0</v>
      </c>
      <c r="T138" s="77">
        <v>0</v>
      </c>
      <c r="U138" s="77">
        <v>0</v>
      </c>
      <c r="V138" s="77"/>
      <c r="W138" s="81" t="s">
        <v>1727</v>
      </c>
      <c r="X138" s="77"/>
      <c r="Y138" s="77"/>
      <c r="Z138" s="77" t="s">
        <v>460</v>
      </c>
      <c r="AA138" s="77"/>
      <c r="AB138" s="77"/>
      <c r="AC138" s="81" t="s">
        <v>2701</v>
      </c>
      <c r="AD138" s="77" t="s">
        <v>2751</v>
      </c>
      <c r="AE138" s="80" t="str">
        <f>HYPERLINK("https://twitter.com/fountainkricket/status/787009024260706304")</f>
        <v>https://twitter.com/fountainkricket/status/787009024260706304</v>
      </c>
      <c r="AF138" s="79">
        <v>42657.80262731481</v>
      </c>
      <c r="AG138" s="85">
        <v>42657</v>
      </c>
      <c r="AH138" s="81" t="s">
        <v>2864</v>
      </c>
      <c r="AI138" s="77"/>
      <c r="AJ138" s="77"/>
      <c r="AK138" s="77"/>
      <c r="AL138" s="77"/>
      <c r="AM138" s="77"/>
      <c r="AN138" s="77"/>
      <c r="AO138" s="77"/>
      <c r="AP138" s="77"/>
      <c r="AQ138" s="77"/>
      <c r="AR138" s="77"/>
      <c r="AS138" s="77"/>
      <c r="AT138" s="77"/>
      <c r="AU138" s="77"/>
      <c r="AV138" s="80" t="str">
        <f>HYPERLINK("https://pbs.twimg.com/profile_images/1699448700962000896/KyVZCwl5_normal.jpg")</f>
        <v>https://pbs.twimg.com/profile_images/1699448700962000896/KyVZCwl5_normal.jpg</v>
      </c>
      <c r="AW138" s="81" t="s">
        <v>4609</v>
      </c>
      <c r="AX138" s="81" t="s">
        <v>5682</v>
      </c>
      <c r="AY138" s="81" t="s">
        <v>5729</v>
      </c>
      <c r="AZ138" s="81" t="s">
        <v>5682</v>
      </c>
      <c r="BA138" s="81" t="s">
        <v>5773</v>
      </c>
      <c r="BB138" s="81" t="s">
        <v>5773</v>
      </c>
      <c r="BC138" s="81" t="s">
        <v>5682</v>
      </c>
      <c r="BD138" s="77">
        <v>2632505285</v>
      </c>
      <c r="BE138" s="77"/>
      <c r="BF138" s="77"/>
      <c r="BG138" s="77"/>
      <c r="BH138" s="77"/>
      <c r="BI138" s="77"/>
    </row>
    <row r="139" spans="1:61" ht="15">
      <c r="A139" s="62" t="s">
        <v>271</v>
      </c>
      <c r="B139" s="62" t="s">
        <v>271</v>
      </c>
      <c r="C139" s="63"/>
      <c r="D139" s="64"/>
      <c r="E139" s="65"/>
      <c r="F139" s="66"/>
      <c r="G139" s="63"/>
      <c r="H139" s="67"/>
      <c r="I139" s="68"/>
      <c r="J139" s="68"/>
      <c r="K139" s="32" t="s">
        <v>65</v>
      </c>
      <c r="L139" s="75">
        <v>139</v>
      </c>
      <c r="M139" s="75"/>
      <c r="N139" s="70"/>
      <c r="O139" s="77" t="s">
        <v>179</v>
      </c>
      <c r="P139" s="79">
        <v>40703.2337962963</v>
      </c>
      <c r="Q139" s="77" t="s">
        <v>675</v>
      </c>
      <c r="R139" s="77">
        <v>0</v>
      </c>
      <c r="S139" s="77">
        <v>0</v>
      </c>
      <c r="T139" s="77">
        <v>0</v>
      </c>
      <c r="U139" s="77">
        <v>0</v>
      </c>
      <c r="V139" s="77"/>
      <c r="W139" s="77"/>
      <c r="X139" s="77"/>
      <c r="Y139" s="77"/>
      <c r="Z139" s="77"/>
      <c r="AA139" s="77"/>
      <c r="AB139" s="77"/>
      <c r="AC139" s="81" t="s">
        <v>2717</v>
      </c>
      <c r="AD139" s="77" t="s">
        <v>2751</v>
      </c>
      <c r="AE139" s="80" t="str">
        <f>HYPERLINK("https://twitter.com/irjobline/status/78696995430215680")</f>
        <v>https://twitter.com/irjobline/status/78696995430215680</v>
      </c>
      <c r="AF139" s="79">
        <v>40703.2337962963</v>
      </c>
      <c r="AG139" s="85">
        <v>40703</v>
      </c>
      <c r="AH139" s="81" t="s">
        <v>2865</v>
      </c>
      <c r="AI139" s="77"/>
      <c r="AJ139" s="77"/>
      <c r="AK139" s="77"/>
      <c r="AL139" s="77"/>
      <c r="AM139" s="77"/>
      <c r="AN139" s="77"/>
      <c r="AO139" s="77"/>
      <c r="AP139" s="77"/>
      <c r="AQ139" s="77"/>
      <c r="AR139" s="77"/>
      <c r="AS139" s="77"/>
      <c r="AT139" s="77"/>
      <c r="AU139" s="77"/>
      <c r="AV139" s="80" t="str">
        <f>HYPERLINK("https://abs.twimg.com/sticky/default_profile_images/default_profile_normal.png")</f>
        <v>https://abs.twimg.com/sticky/default_profile_images/default_profile_normal.png</v>
      </c>
      <c r="AW139" s="81" t="s">
        <v>4610</v>
      </c>
      <c r="AX139" s="81" t="s">
        <v>4610</v>
      </c>
      <c r="AY139" s="77"/>
      <c r="AZ139" s="81" t="s">
        <v>5773</v>
      </c>
      <c r="BA139" s="81" t="s">
        <v>5773</v>
      </c>
      <c r="BB139" s="81" t="s">
        <v>5773</v>
      </c>
      <c r="BC139" s="81" t="s">
        <v>4610</v>
      </c>
      <c r="BD139" s="77">
        <v>162737382</v>
      </c>
      <c r="BE139" s="77"/>
      <c r="BF139" s="77"/>
      <c r="BG139" s="77"/>
      <c r="BH139" s="77"/>
      <c r="BI139" s="77"/>
    </row>
    <row r="140" spans="1:61" ht="15">
      <c r="A140" s="62" t="s">
        <v>271</v>
      </c>
      <c r="B140" s="62" t="s">
        <v>271</v>
      </c>
      <c r="C140" s="63"/>
      <c r="D140" s="64"/>
      <c r="E140" s="65"/>
      <c r="F140" s="66"/>
      <c r="G140" s="63"/>
      <c r="H140" s="67"/>
      <c r="I140" s="68"/>
      <c r="J140" s="68"/>
      <c r="K140" s="32" t="s">
        <v>65</v>
      </c>
      <c r="L140" s="75">
        <v>140</v>
      </c>
      <c r="M140" s="75"/>
      <c r="N140" s="70"/>
      <c r="O140" s="77" t="s">
        <v>179</v>
      </c>
      <c r="P140" s="79">
        <v>40703.233773148146</v>
      </c>
      <c r="Q140" s="77" t="s">
        <v>676</v>
      </c>
      <c r="R140" s="77">
        <v>0</v>
      </c>
      <c r="S140" s="77">
        <v>0</v>
      </c>
      <c r="T140" s="77">
        <v>0</v>
      </c>
      <c r="U140" s="77">
        <v>0</v>
      </c>
      <c r="V140" s="77"/>
      <c r="W140" s="77"/>
      <c r="X140" s="77"/>
      <c r="Y140" s="77"/>
      <c r="Z140" s="77"/>
      <c r="AA140" s="77"/>
      <c r="AB140" s="77"/>
      <c r="AC140" s="81" t="s">
        <v>2702</v>
      </c>
      <c r="AD140" s="77" t="s">
        <v>2751</v>
      </c>
      <c r="AE140" s="80" t="str">
        <f>HYPERLINK("https://twitter.com/irjobline/status/78696987888857088")</f>
        <v>https://twitter.com/irjobline/status/78696987888857088</v>
      </c>
      <c r="AF140" s="79">
        <v>40703.233773148146</v>
      </c>
      <c r="AG140" s="85">
        <v>40703</v>
      </c>
      <c r="AH140" s="81" t="s">
        <v>2866</v>
      </c>
      <c r="AI140" s="77"/>
      <c r="AJ140" s="77"/>
      <c r="AK140" s="77"/>
      <c r="AL140" s="77"/>
      <c r="AM140" s="77"/>
      <c r="AN140" s="77"/>
      <c r="AO140" s="77"/>
      <c r="AP140" s="77"/>
      <c r="AQ140" s="77"/>
      <c r="AR140" s="77"/>
      <c r="AS140" s="77"/>
      <c r="AT140" s="77"/>
      <c r="AU140" s="77"/>
      <c r="AV140" s="80" t="str">
        <f>HYPERLINK("https://abs.twimg.com/sticky/default_profile_images/default_profile_normal.png")</f>
        <v>https://abs.twimg.com/sticky/default_profile_images/default_profile_normal.png</v>
      </c>
      <c r="AW140" s="81" t="s">
        <v>4611</v>
      </c>
      <c r="AX140" s="81" t="s">
        <v>4611</v>
      </c>
      <c r="AY140" s="77"/>
      <c r="AZ140" s="81" t="s">
        <v>5773</v>
      </c>
      <c r="BA140" s="81" t="s">
        <v>5773</v>
      </c>
      <c r="BB140" s="81" t="s">
        <v>5773</v>
      </c>
      <c r="BC140" s="81" t="s">
        <v>4611</v>
      </c>
      <c r="BD140" s="77">
        <v>162737382</v>
      </c>
      <c r="BE140" s="77"/>
      <c r="BF140" s="77"/>
      <c r="BG140" s="77"/>
      <c r="BH140" s="77"/>
      <c r="BI140" s="77"/>
    </row>
    <row r="141" spans="1:61" ht="15">
      <c r="A141" s="62" t="s">
        <v>271</v>
      </c>
      <c r="B141" s="62" t="s">
        <v>271</v>
      </c>
      <c r="C141" s="63"/>
      <c r="D141" s="64"/>
      <c r="E141" s="65"/>
      <c r="F141" s="66"/>
      <c r="G141" s="63"/>
      <c r="H141" s="67"/>
      <c r="I141" s="68"/>
      <c r="J141" s="68"/>
      <c r="K141" s="32" t="s">
        <v>65</v>
      </c>
      <c r="L141" s="75">
        <v>141</v>
      </c>
      <c r="M141" s="75"/>
      <c r="N141" s="70"/>
      <c r="O141" s="77" t="s">
        <v>179</v>
      </c>
      <c r="P141" s="79">
        <v>40668.4405787037</v>
      </c>
      <c r="Q141" s="77" t="s">
        <v>677</v>
      </c>
      <c r="R141" s="77">
        <v>0</v>
      </c>
      <c r="S141" s="77">
        <v>0</v>
      </c>
      <c r="T141" s="77">
        <v>0</v>
      </c>
      <c r="U141" s="77">
        <v>0</v>
      </c>
      <c r="V141" s="77"/>
      <c r="W141" s="77"/>
      <c r="X141" s="77"/>
      <c r="Y141" s="77"/>
      <c r="Z141" s="77"/>
      <c r="AA141" s="77"/>
      <c r="AB141" s="77"/>
      <c r="AC141" s="81" t="s">
        <v>2717</v>
      </c>
      <c r="AD141" s="77" t="s">
        <v>2751</v>
      </c>
      <c r="AE141" s="80" t="str">
        <f>HYPERLINK("https://twitter.com/irjobline/status/66088355225546753")</f>
        <v>https://twitter.com/irjobline/status/66088355225546753</v>
      </c>
      <c r="AF141" s="79">
        <v>40668.4405787037</v>
      </c>
      <c r="AG141" s="85">
        <v>40668</v>
      </c>
      <c r="AH141" s="81" t="s">
        <v>2867</v>
      </c>
      <c r="AI141" s="77"/>
      <c r="AJ141" s="77"/>
      <c r="AK141" s="77"/>
      <c r="AL141" s="77"/>
      <c r="AM141" s="77"/>
      <c r="AN141" s="77"/>
      <c r="AO141" s="77"/>
      <c r="AP141" s="77"/>
      <c r="AQ141" s="77"/>
      <c r="AR141" s="77"/>
      <c r="AS141" s="77"/>
      <c r="AT141" s="77"/>
      <c r="AU141" s="77"/>
      <c r="AV141" s="80" t="str">
        <f>HYPERLINK("https://abs.twimg.com/sticky/default_profile_images/default_profile_normal.png")</f>
        <v>https://abs.twimg.com/sticky/default_profile_images/default_profile_normal.png</v>
      </c>
      <c r="AW141" s="81" t="s">
        <v>4612</v>
      </c>
      <c r="AX141" s="81" t="s">
        <v>4612</v>
      </c>
      <c r="AY141" s="77"/>
      <c r="AZ141" s="81" t="s">
        <v>5773</v>
      </c>
      <c r="BA141" s="81" t="s">
        <v>5773</v>
      </c>
      <c r="BB141" s="81" t="s">
        <v>5773</v>
      </c>
      <c r="BC141" s="81" t="s">
        <v>4612</v>
      </c>
      <c r="BD141" s="77">
        <v>162737382</v>
      </c>
      <c r="BE141" s="77"/>
      <c r="BF141" s="77"/>
      <c r="BG141" s="77"/>
      <c r="BH141" s="77"/>
      <c r="BI141" s="77"/>
    </row>
    <row r="142" spans="1:61" ht="15">
      <c r="A142" s="62" t="s">
        <v>271</v>
      </c>
      <c r="B142" s="62" t="s">
        <v>271</v>
      </c>
      <c r="C142" s="63"/>
      <c r="D142" s="64"/>
      <c r="E142" s="65"/>
      <c r="F142" s="66"/>
      <c r="G142" s="63"/>
      <c r="H142" s="67"/>
      <c r="I142" s="68"/>
      <c r="J142" s="68"/>
      <c r="K142" s="32" t="s">
        <v>65</v>
      </c>
      <c r="L142" s="75">
        <v>142</v>
      </c>
      <c r="M142" s="75"/>
      <c r="N142" s="70"/>
      <c r="O142" s="77" t="s">
        <v>179</v>
      </c>
      <c r="P142" s="79">
        <v>40583.4012037037</v>
      </c>
      <c r="Q142" s="77" t="s">
        <v>678</v>
      </c>
      <c r="R142" s="77">
        <v>0</v>
      </c>
      <c r="S142" s="77">
        <v>1</v>
      </c>
      <c r="T142" s="77">
        <v>0</v>
      </c>
      <c r="U142" s="77">
        <v>0</v>
      </c>
      <c r="V142" s="77"/>
      <c r="W142" s="77"/>
      <c r="X142" s="77"/>
      <c r="Y142" s="77"/>
      <c r="Z142" s="77"/>
      <c r="AA142" s="77"/>
      <c r="AB142" s="77"/>
      <c r="AC142" s="81" t="s">
        <v>2717</v>
      </c>
      <c r="AD142" s="77" t="s">
        <v>2751</v>
      </c>
      <c r="AE142" s="80" t="str">
        <f>HYPERLINK("https://twitter.com/irjobline/status/35271118893879296")</f>
        <v>https://twitter.com/irjobline/status/35271118893879296</v>
      </c>
      <c r="AF142" s="79">
        <v>40583.4012037037</v>
      </c>
      <c r="AG142" s="85">
        <v>40583</v>
      </c>
      <c r="AH142" s="81" t="s">
        <v>2868</v>
      </c>
      <c r="AI142" s="77"/>
      <c r="AJ142" s="77"/>
      <c r="AK142" s="77"/>
      <c r="AL142" s="77"/>
      <c r="AM142" s="77"/>
      <c r="AN142" s="77"/>
      <c r="AO142" s="77"/>
      <c r="AP142" s="77"/>
      <c r="AQ142" s="77"/>
      <c r="AR142" s="77"/>
      <c r="AS142" s="77"/>
      <c r="AT142" s="77"/>
      <c r="AU142" s="77"/>
      <c r="AV142" s="80" t="str">
        <f>HYPERLINK("https://abs.twimg.com/sticky/default_profile_images/default_profile_normal.png")</f>
        <v>https://abs.twimg.com/sticky/default_profile_images/default_profile_normal.png</v>
      </c>
      <c r="AW142" s="81" t="s">
        <v>4613</v>
      </c>
      <c r="AX142" s="81" t="s">
        <v>4613</v>
      </c>
      <c r="AY142" s="77"/>
      <c r="AZ142" s="81" t="s">
        <v>5773</v>
      </c>
      <c r="BA142" s="81" t="s">
        <v>5773</v>
      </c>
      <c r="BB142" s="81" t="s">
        <v>5773</v>
      </c>
      <c r="BC142" s="81" t="s">
        <v>4613</v>
      </c>
      <c r="BD142" s="77">
        <v>162737382</v>
      </c>
      <c r="BE142" s="77"/>
      <c r="BF142" s="77"/>
      <c r="BG142" s="77"/>
      <c r="BH142" s="77"/>
      <c r="BI142" s="77"/>
    </row>
    <row r="143" spans="1:61" ht="15">
      <c r="A143" s="62" t="s">
        <v>271</v>
      </c>
      <c r="B143" s="62" t="s">
        <v>271</v>
      </c>
      <c r="C143" s="63"/>
      <c r="D143" s="64"/>
      <c r="E143" s="65"/>
      <c r="F143" s="66"/>
      <c r="G143" s="63"/>
      <c r="H143" s="67"/>
      <c r="I143" s="68"/>
      <c r="J143" s="68"/>
      <c r="K143" s="32" t="s">
        <v>65</v>
      </c>
      <c r="L143" s="75">
        <v>143</v>
      </c>
      <c r="M143" s="75"/>
      <c r="N143" s="70"/>
      <c r="O143" s="77" t="s">
        <v>179</v>
      </c>
      <c r="P143" s="79">
        <v>40583.401192129626</v>
      </c>
      <c r="Q143" s="77" t="s">
        <v>679</v>
      </c>
      <c r="R143" s="77">
        <v>0</v>
      </c>
      <c r="S143" s="77">
        <v>1</v>
      </c>
      <c r="T143" s="77">
        <v>0</v>
      </c>
      <c r="U143" s="77">
        <v>0</v>
      </c>
      <c r="V143" s="77"/>
      <c r="W143" s="77"/>
      <c r="X143" s="77"/>
      <c r="Y143" s="77"/>
      <c r="Z143" s="77"/>
      <c r="AA143" s="77"/>
      <c r="AB143" s="77"/>
      <c r="AC143" s="81" t="s">
        <v>2717</v>
      </c>
      <c r="AD143" s="77" t="s">
        <v>2751</v>
      </c>
      <c r="AE143" s="80" t="str">
        <f>HYPERLINK("https://twitter.com/irjobline/status/35271113583894528")</f>
        <v>https://twitter.com/irjobline/status/35271113583894528</v>
      </c>
      <c r="AF143" s="79">
        <v>40583.401192129626</v>
      </c>
      <c r="AG143" s="85">
        <v>40583</v>
      </c>
      <c r="AH143" s="81" t="s">
        <v>2869</v>
      </c>
      <c r="AI143" s="77"/>
      <c r="AJ143" s="77"/>
      <c r="AK143" s="77"/>
      <c r="AL143" s="77"/>
      <c r="AM143" s="77"/>
      <c r="AN143" s="77"/>
      <c r="AO143" s="77"/>
      <c r="AP143" s="77"/>
      <c r="AQ143" s="77"/>
      <c r="AR143" s="77"/>
      <c r="AS143" s="77"/>
      <c r="AT143" s="77"/>
      <c r="AU143" s="77"/>
      <c r="AV143" s="80" t="str">
        <f>HYPERLINK("https://abs.twimg.com/sticky/default_profile_images/default_profile_normal.png")</f>
        <v>https://abs.twimg.com/sticky/default_profile_images/default_profile_normal.png</v>
      </c>
      <c r="AW143" s="81" t="s">
        <v>4614</v>
      </c>
      <c r="AX143" s="81" t="s">
        <v>4614</v>
      </c>
      <c r="AY143" s="77"/>
      <c r="AZ143" s="81" t="s">
        <v>5773</v>
      </c>
      <c r="BA143" s="81" t="s">
        <v>5773</v>
      </c>
      <c r="BB143" s="81" t="s">
        <v>5773</v>
      </c>
      <c r="BC143" s="81" t="s">
        <v>4614</v>
      </c>
      <c r="BD143" s="77">
        <v>162737382</v>
      </c>
      <c r="BE143" s="77"/>
      <c r="BF143" s="77"/>
      <c r="BG143" s="77"/>
      <c r="BH143" s="77"/>
      <c r="BI143" s="77"/>
    </row>
    <row r="144" spans="1:61" ht="15">
      <c r="A144" s="62" t="s">
        <v>271</v>
      </c>
      <c r="B144" s="62" t="s">
        <v>271</v>
      </c>
      <c r="C144" s="63"/>
      <c r="D144" s="64"/>
      <c r="E144" s="65"/>
      <c r="F144" s="66"/>
      <c r="G144" s="63"/>
      <c r="H144" s="67"/>
      <c r="I144" s="68"/>
      <c r="J144" s="68"/>
      <c r="K144" s="32" t="s">
        <v>65</v>
      </c>
      <c r="L144" s="75">
        <v>144</v>
      </c>
      <c r="M144" s="75"/>
      <c r="N144" s="70"/>
      <c r="O144" s="77" t="s">
        <v>179</v>
      </c>
      <c r="P144" s="79">
        <v>40583.212430555555</v>
      </c>
      <c r="Q144" s="77" t="s">
        <v>680</v>
      </c>
      <c r="R144" s="77">
        <v>0</v>
      </c>
      <c r="S144" s="77">
        <v>1</v>
      </c>
      <c r="T144" s="77">
        <v>0</v>
      </c>
      <c r="U144" s="77">
        <v>0</v>
      </c>
      <c r="V144" s="77"/>
      <c r="W144" s="77"/>
      <c r="X144" s="77"/>
      <c r="Y144" s="77"/>
      <c r="Z144" s="77"/>
      <c r="AA144" s="77"/>
      <c r="AB144" s="77"/>
      <c r="AC144" s="81" t="s">
        <v>2717</v>
      </c>
      <c r="AD144" s="77" t="s">
        <v>2751</v>
      </c>
      <c r="AE144" s="80" t="str">
        <f>HYPERLINK("https://twitter.com/irjobline/status/35202707748823040")</f>
        <v>https://twitter.com/irjobline/status/35202707748823040</v>
      </c>
      <c r="AF144" s="79">
        <v>40583.212430555555</v>
      </c>
      <c r="AG144" s="85">
        <v>40583</v>
      </c>
      <c r="AH144" s="81" t="s">
        <v>2870</v>
      </c>
      <c r="AI144" s="77"/>
      <c r="AJ144" s="77"/>
      <c r="AK144" s="77"/>
      <c r="AL144" s="77"/>
      <c r="AM144" s="77"/>
      <c r="AN144" s="77"/>
      <c r="AO144" s="77"/>
      <c r="AP144" s="77"/>
      <c r="AQ144" s="77"/>
      <c r="AR144" s="77"/>
      <c r="AS144" s="77"/>
      <c r="AT144" s="77"/>
      <c r="AU144" s="77"/>
      <c r="AV144" s="80" t="str">
        <f>HYPERLINK("https://abs.twimg.com/sticky/default_profile_images/default_profile_normal.png")</f>
        <v>https://abs.twimg.com/sticky/default_profile_images/default_profile_normal.png</v>
      </c>
      <c r="AW144" s="81" t="s">
        <v>4615</v>
      </c>
      <c r="AX144" s="81" t="s">
        <v>4615</v>
      </c>
      <c r="AY144" s="77"/>
      <c r="AZ144" s="81" t="s">
        <v>5773</v>
      </c>
      <c r="BA144" s="81" t="s">
        <v>5773</v>
      </c>
      <c r="BB144" s="81" t="s">
        <v>5773</v>
      </c>
      <c r="BC144" s="81" t="s">
        <v>4615</v>
      </c>
      <c r="BD144" s="77">
        <v>162737382</v>
      </c>
      <c r="BE144" s="77"/>
      <c r="BF144" s="77"/>
      <c r="BG144" s="77"/>
      <c r="BH144" s="77"/>
      <c r="BI144" s="77"/>
    </row>
    <row r="145" spans="1:61" ht="15">
      <c r="A145" s="62" t="s">
        <v>271</v>
      </c>
      <c r="B145" s="62" t="s">
        <v>271</v>
      </c>
      <c r="C145" s="63"/>
      <c r="D145" s="64"/>
      <c r="E145" s="65"/>
      <c r="F145" s="66"/>
      <c r="G145" s="63"/>
      <c r="H145" s="67"/>
      <c r="I145" s="68"/>
      <c r="J145" s="68"/>
      <c r="K145" s="32" t="s">
        <v>65</v>
      </c>
      <c r="L145" s="75">
        <v>145</v>
      </c>
      <c r="M145" s="75"/>
      <c r="N145" s="70"/>
      <c r="O145" s="77" t="s">
        <v>179</v>
      </c>
      <c r="P145" s="79">
        <v>40581.43133101852</v>
      </c>
      <c r="Q145" s="77" t="s">
        <v>681</v>
      </c>
      <c r="R145" s="77">
        <v>0</v>
      </c>
      <c r="S145" s="77">
        <v>0</v>
      </c>
      <c r="T145" s="77">
        <v>0</v>
      </c>
      <c r="U145" s="77">
        <v>0</v>
      </c>
      <c r="V145" s="77"/>
      <c r="W145" s="77"/>
      <c r="X145" s="77"/>
      <c r="Y145" s="77"/>
      <c r="Z145" s="77"/>
      <c r="AA145" s="77"/>
      <c r="AB145" s="77"/>
      <c r="AC145" s="81" t="s">
        <v>2717</v>
      </c>
      <c r="AD145" s="77" t="s">
        <v>2751</v>
      </c>
      <c r="AE145" s="80" t="str">
        <f>HYPERLINK("https://twitter.com/irjobline/status/34557259967111168")</f>
        <v>https://twitter.com/irjobline/status/34557259967111168</v>
      </c>
      <c r="AF145" s="79">
        <v>40581.43133101852</v>
      </c>
      <c r="AG145" s="85">
        <v>40581</v>
      </c>
      <c r="AH145" s="81" t="s">
        <v>2871</v>
      </c>
      <c r="AI145" s="77"/>
      <c r="AJ145" s="77"/>
      <c r="AK145" s="77"/>
      <c r="AL145" s="77"/>
      <c r="AM145" s="77"/>
      <c r="AN145" s="77"/>
      <c r="AO145" s="77"/>
      <c r="AP145" s="77"/>
      <c r="AQ145" s="77"/>
      <c r="AR145" s="77"/>
      <c r="AS145" s="77"/>
      <c r="AT145" s="77"/>
      <c r="AU145" s="77"/>
      <c r="AV145" s="80" t="str">
        <f>HYPERLINK("https://abs.twimg.com/sticky/default_profile_images/default_profile_normal.png")</f>
        <v>https://abs.twimg.com/sticky/default_profile_images/default_profile_normal.png</v>
      </c>
      <c r="AW145" s="81" t="s">
        <v>4616</v>
      </c>
      <c r="AX145" s="81" t="s">
        <v>4616</v>
      </c>
      <c r="AY145" s="77"/>
      <c r="AZ145" s="81" t="s">
        <v>5773</v>
      </c>
      <c r="BA145" s="81" t="s">
        <v>5773</v>
      </c>
      <c r="BB145" s="81" t="s">
        <v>5773</v>
      </c>
      <c r="BC145" s="81" t="s">
        <v>4616</v>
      </c>
      <c r="BD145" s="77">
        <v>162737382</v>
      </c>
      <c r="BE145" s="77"/>
      <c r="BF145" s="77"/>
      <c r="BG145" s="77"/>
      <c r="BH145" s="77"/>
      <c r="BI145" s="77"/>
    </row>
    <row r="146" spans="1:61" ht="15">
      <c r="A146" s="62" t="s">
        <v>272</v>
      </c>
      <c r="B146" s="62" t="s">
        <v>272</v>
      </c>
      <c r="C146" s="63"/>
      <c r="D146" s="64"/>
      <c r="E146" s="65"/>
      <c r="F146" s="66"/>
      <c r="G146" s="63"/>
      <c r="H146" s="67"/>
      <c r="I146" s="68"/>
      <c r="J146" s="68"/>
      <c r="K146" s="32" t="s">
        <v>65</v>
      </c>
      <c r="L146" s="75">
        <v>146</v>
      </c>
      <c r="M146" s="75"/>
      <c r="N146" s="70"/>
      <c r="O146" s="77" t="s">
        <v>179</v>
      </c>
      <c r="P146" s="79">
        <v>40766.151412037034</v>
      </c>
      <c r="Q146" s="77" t="s">
        <v>682</v>
      </c>
      <c r="R146" s="77">
        <v>0</v>
      </c>
      <c r="S146" s="77">
        <v>0</v>
      </c>
      <c r="T146" s="77">
        <v>0</v>
      </c>
      <c r="U146" s="77">
        <v>0</v>
      </c>
      <c r="V146" s="77"/>
      <c r="W146" s="77"/>
      <c r="X146" s="77"/>
      <c r="Y146" s="77"/>
      <c r="Z146" s="77"/>
      <c r="AA146" s="77"/>
      <c r="AB146" s="77"/>
      <c r="AC146" s="81" t="s">
        <v>2718</v>
      </c>
      <c r="AD146" s="77" t="s">
        <v>2751</v>
      </c>
      <c r="AE146" s="80" t="str">
        <f>HYPERLINK("https://twitter.com/dnl_o/status/101497575751954432")</f>
        <v>https://twitter.com/dnl_o/status/101497575751954432</v>
      </c>
      <c r="AF146" s="79">
        <v>40766.151412037034</v>
      </c>
      <c r="AG146" s="85">
        <v>40766</v>
      </c>
      <c r="AH146" s="81" t="s">
        <v>2872</v>
      </c>
      <c r="AI146" s="77"/>
      <c r="AJ146" s="77"/>
      <c r="AK146" s="77"/>
      <c r="AL146" s="77"/>
      <c r="AM146" s="77"/>
      <c r="AN146" s="77"/>
      <c r="AO146" s="77"/>
      <c r="AP146" s="77"/>
      <c r="AQ146" s="77"/>
      <c r="AR146" s="77"/>
      <c r="AS146" s="77"/>
      <c r="AT146" s="77"/>
      <c r="AU146" s="77"/>
      <c r="AV146" s="80" t="str">
        <f>HYPERLINK("https://pbs.twimg.com/profile_images/1354989276749066240/vTL3aM49_normal.jpg")</f>
        <v>https://pbs.twimg.com/profile_images/1354989276749066240/vTL3aM49_normal.jpg</v>
      </c>
      <c r="AW146" s="81" t="s">
        <v>4617</v>
      </c>
      <c r="AX146" s="81" t="s">
        <v>4617</v>
      </c>
      <c r="AY146" s="77"/>
      <c r="AZ146" s="81" t="s">
        <v>5773</v>
      </c>
      <c r="BA146" s="81" t="s">
        <v>5773</v>
      </c>
      <c r="BB146" s="81" t="s">
        <v>5773</v>
      </c>
      <c r="BC146" s="81" t="s">
        <v>4617</v>
      </c>
      <c r="BD146" s="77">
        <v>172726318</v>
      </c>
      <c r="BE146" s="77"/>
      <c r="BF146" s="77"/>
      <c r="BG146" s="77"/>
      <c r="BH146" s="77"/>
      <c r="BI146" s="77"/>
    </row>
    <row r="147" spans="1:61" ht="15">
      <c r="A147" s="62" t="s">
        <v>273</v>
      </c>
      <c r="B147" s="62" t="s">
        <v>299</v>
      </c>
      <c r="C147" s="63"/>
      <c r="D147" s="64"/>
      <c r="E147" s="65"/>
      <c r="F147" s="66"/>
      <c r="G147" s="63"/>
      <c r="H147" s="67"/>
      <c r="I147" s="68"/>
      <c r="J147" s="68"/>
      <c r="K147" s="32" t="s">
        <v>65</v>
      </c>
      <c r="L147" s="75">
        <v>147</v>
      </c>
      <c r="M147" s="75"/>
      <c r="N147" s="70"/>
      <c r="O147" s="77" t="s">
        <v>571</v>
      </c>
      <c r="P147" s="79">
        <v>42880.759108796294</v>
      </c>
      <c r="Q147" s="77" t="s">
        <v>683</v>
      </c>
      <c r="R147" s="77">
        <v>0</v>
      </c>
      <c r="S147" s="77">
        <v>0</v>
      </c>
      <c r="T147" s="77">
        <v>0</v>
      </c>
      <c r="U147" s="77">
        <v>0</v>
      </c>
      <c r="V147" s="77"/>
      <c r="W147" s="77"/>
      <c r="X147" s="77"/>
      <c r="Y147" s="77"/>
      <c r="Z147" s="77" t="s">
        <v>299</v>
      </c>
      <c r="AA147" s="77"/>
      <c r="AB147" s="77"/>
      <c r="AC147" s="81" t="s">
        <v>2719</v>
      </c>
      <c r="AD147" s="77" t="s">
        <v>2751</v>
      </c>
      <c r="AE147" s="80" t="str">
        <f>HYPERLINK("https://twitter.com/laura_logic/status/867805745831653376")</f>
        <v>https://twitter.com/laura_logic/status/867805745831653376</v>
      </c>
      <c r="AF147" s="79">
        <v>42880.759108796294</v>
      </c>
      <c r="AG147" s="85">
        <v>42880</v>
      </c>
      <c r="AH147" s="81" t="s">
        <v>2873</v>
      </c>
      <c r="AI147" s="77"/>
      <c r="AJ147" s="77"/>
      <c r="AK147" s="77"/>
      <c r="AL147" s="77"/>
      <c r="AM147" s="77"/>
      <c r="AN147" s="77"/>
      <c r="AO147" s="77"/>
      <c r="AP147" s="77"/>
      <c r="AQ147" s="77"/>
      <c r="AR147" s="77"/>
      <c r="AS147" s="77"/>
      <c r="AT147" s="77"/>
      <c r="AU147" s="77"/>
      <c r="AV147" s="80" t="str">
        <f>HYPERLINK("https://pbs.twimg.com/profile_images/859122178880679936/Pjt1p7l7_normal.jpg")</f>
        <v>https://pbs.twimg.com/profile_images/859122178880679936/Pjt1p7l7_normal.jpg</v>
      </c>
      <c r="AW147" s="81" t="s">
        <v>4618</v>
      </c>
      <c r="AX147" s="81" t="s">
        <v>4618</v>
      </c>
      <c r="AY147" s="81" t="s">
        <v>5721</v>
      </c>
      <c r="AZ147" s="81" t="s">
        <v>5773</v>
      </c>
      <c r="BA147" s="81" t="s">
        <v>5773</v>
      </c>
      <c r="BB147" s="81" t="s">
        <v>5773</v>
      </c>
      <c r="BC147" s="81" t="s">
        <v>4618</v>
      </c>
      <c r="BD147" s="81" t="s">
        <v>5799</v>
      </c>
      <c r="BE147" s="77"/>
      <c r="BF147" s="77"/>
      <c r="BG147" s="77"/>
      <c r="BH147" s="77"/>
      <c r="BI147" s="77"/>
    </row>
    <row r="148" spans="1:61" ht="15">
      <c r="A148" s="62" t="s">
        <v>274</v>
      </c>
      <c r="B148" s="62" t="s">
        <v>461</v>
      </c>
      <c r="C148" s="63"/>
      <c r="D148" s="64"/>
      <c r="E148" s="65"/>
      <c r="F148" s="66"/>
      <c r="G148" s="63"/>
      <c r="H148" s="67"/>
      <c r="I148" s="68"/>
      <c r="J148" s="68"/>
      <c r="K148" s="32" t="s">
        <v>65</v>
      </c>
      <c r="L148" s="75">
        <v>148</v>
      </c>
      <c r="M148" s="75"/>
      <c r="N148" s="70"/>
      <c r="O148" s="77" t="s">
        <v>572</v>
      </c>
      <c r="P148" s="79">
        <v>44811.20596064815</v>
      </c>
      <c r="Q148" s="77" t="s">
        <v>684</v>
      </c>
      <c r="R148" s="77">
        <v>0</v>
      </c>
      <c r="S148" s="77">
        <v>0</v>
      </c>
      <c r="T148" s="77">
        <v>0</v>
      </c>
      <c r="U148" s="77">
        <v>0</v>
      </c>
      <c r="V148" s="77"/>
      <c r="W148" s="77"/>
      <c r="X148" s="77"/>
      <c r="Y148" s="77"/>
      <c r="Z148" s="77" t="s">
        <v>461</v>
      </c>
      <c r="AA148" s="77"/>
      <c r="AB148" s="77"/>
      <c r="AC148" s="81" t="s">
        <v>2707</v>
      </c>
      <c r="AD148" s="77" t="s">
        <v>2751</v>
      </c>
      <c r="AE148" s="80" t="str">
        <f>HYPERLINK("https://twitter.com/paul_melman/status/1567376259566411776")</f>
        <v>https://twitter.com/paul_melman/status/1567376259566411776</v>
      </c>
      <c r="AF148" s="79">
        <v>44811.20596064815</v>
      </c>
      <c r="AG148" s="85">
        <v>44811</v>
      </c>
      <c r="AH148" s="81" t="s">
        <v>2874</v>
      </c>
      <c r="AI148" s="77"/>
      <c r="AJ148" s="77"/>
      <c r="AK148" s="77"/>
      <c r="AL148" s="77"/>
      <c r="AM148" s="77"/>
      <c r="AN148" s="77"/>
      <c r="AO148" s="77"/>
      <c r="AP148" s="77"/>
      <c r="AQ148" s="77"/>
      <c r="AR148" s="77"/>
      <c r="AS148" s="77"/>
      <c r="AT148" s="77"/>
      <c r="AU148" s="77"/>
      <c r="AV148" s="80" t="str">
        <f>HYPERLINK("https://pbs.twimg.com/profile_images/1700969952373522432/scKUh37c_normal.jpg")</f>
        <v>https://pbs.twimg.com/profile_images/1700969952373522432/scKUh37c_normal.jpg</v>
      </c>
      <c r="AW148" s="81" t="s">
        <v>4619</v>
      </c>
      <c r="AX148" s="81" t="s">
        <v>5683</v>
      </c>
      <c r="AY148" s="81" t="s">
        <v>5730</v>
      </c>
      <c r="AZ148" s="81" t="s">
        <v>5683</v>
      </c>
      <c r="BA148" s="81" t="s">
        <v>5773</v>
      </c>
      <c r="BB148" s="81" t="s">
        <v>5773</v>
      </c>
      <c r="BC148" s="81" t="s">
        <v>5683</v>
      </c>
      <c r="BD148" s="77">
        <v>1365169770</v>
      </c>
      <c r="BE148" s="77"/>
      <c r="BF148" s="77"/>
      <c r="BG148" s="77"/>
      <c r="BH148" s="77"/>
      <c r="BI148" s="77"/>
    </row>
    <row r="149" spans="1:61" ht="15">
      <c r="A149" s="62" t="s">
        <v>275</v>
      </c>
      <c r="B149" s="62" t="s">
        <v>302</v>
      </c>
      <c r="C149" s="63"/>
      <c r="D149" s="64"/>
      <c r="E149" s="65"/>
      <c r="F149" s="66"/>
      <c r="G149" s="63"/>
      <c r="H149" s="67"/>
      <c r="I149" s="68"/>
      <c r="J149" s="68"/>
      <c r="K149" s="32" t="s">
        <v>65</v>
      </c>
      <c r="L149" s="75">
        <v>149</v>
      </c>
      <c r="M149" s="75"/>
      <c r="N149" s="70"/>
      <c r="O149" s="77" t="s">
        <v>575</v>
      </c>
      <c r="P149" s="79">
        <v>43302.9790625</v>
      </c>
      <c r="Q149" s="77" t="s">
        <v>685</v>
      </c>
      <c r="R149" s="77">
        <v>0</v>
      </c>
      <c r="S149" s="77">
        <v>0</v>
      </c>
      <c r="T149" s="77">
        <v>0</v>
      </c>
      <c r="U149" s="77">
        <v>0</v>
      </c>
      <c r="V149" s="77"/>
      <c r="W149" s="77"/>
      <c r="X149" s="77"/>
      <c r="Y149" s="77"/>
      <c r="Z149" s="77"/>
      <c r="AA149" s="77"/>
      <c r="AB149" s="77"/>
      <c r="AC149" s="81" t="s">
        <v>2701</v>
      </c>
      <c r="AD149" s="77" t="s">
        <v>2751</v>
      </c>
      <c r="AE149" s="80" t="str">
        <f>HYPERLINK("https://twitter.com/aquaalec/status/1020813132263018496")</f>
        <v>https://twitter.com/aquaalec/status/1020813132263018496</v>
      </c>
      <c r="AF149" s="79">
        <v>43302.9790625</v>
      </c>
      <c r="AG149" s="85">
        <v>43302</v>
      </c>
      <c r="AH149" s="81" t="s">
        <v>2875</v>
      </c>
      <c r="AI149" s="77"/>
      <c r="AJ149" s="77"/>
      <c r="AK149" s="77"/>
      <c r="AL149" s="77"/>
      <c r="AM149" s="77"/>
      <c r="AN149" s="77"/>
      <c r="AO149" s="77"/>
      <c r="AP149" s="77"/>
      <c r="AQ149" s="77"/>
      <c r="AR149" s="77"/>
      <c r="AS149" s="77"/>
      <c r="AT149" s="77"/>
      <c r="AU149" s="77"/>
      <c r="AV149" s="80" t="str">
        <f>HYPERLINK("https://pbs.twimg.com/profile_images/958871896526852096/AV6nbkqr_normal.jpg")</f>
        <v>https://pbs.twimg.com/profile_images/958871896526852096/AV6nbkqr_normal.jpg</v>
      </c>
      <c r="AW149" s="81" t="s">
        <v>4620</v>
      </c>
      <c r="AX149" s="81" t="s">
        <v>4620</v>
      </c>
      <c r="AY149" s="77"/>
      <c r="AZ149" s="81" t="s">
        <v>5773</v>
      </c>
      <c r="BA149" s="81" t="s">
        <v>4772</v>
      </c>
      <c r="BB149" s="81" t="s">
        <v>5773</v>
      </c>
      <c r="BC149" s="81" t="s">
        <v>4772</v>
      </c>
      <c r="BD149" s="77">
        <v>4562481318</v>
      </c>
      <c r="BE149" s="77"/>
      <c r="BF149" s="77"/>
      <c r="BG149" s="77"/>
      <c r="BH149" s="77"/>
      <c r="BI149" s="77"/>
    </row>
    <row r="150" spans="1:61" ht="15">
      <c r="A150" s="62" t="s">
        <v>276</v>
      </c>
      <c r="B150" s="62" t="s">
        <v>276</v>
      </c>
      <c r="C150" s="63"/>
      <c r="D150" s="64"/>
      <c r="E150" s="65"/>
      <c r="F150" s="66"/>
      <c r="G150" s="63"/>
      <c r="H150" s="67"/>
      <c r="I150" s="68"/>
      <c r="J150" s="68"/>
      <c r="K150" s="32" t="s">
        <v>65</v>
      </c>
      <c r="L150" s="75">
        <v>150</v>
      </c>
      <c r="M150" s="75"/>
      <c r="N150" s="70"/>
      <c r="O150" s="77" t="s">
        <v>179</v>
      </c>
      <c r="P150" s="79">
        <v>43791.2427662037</v>
      </c>
      <c r="Q150" s="77" t="s">
        <v>686</v>
      </c>
      <c r="R150" s="77">
        <v>0</v>
      </c>
      <c r="S150" s="77">
        <v>0</v>
      </c>
      <c r="T150" s="77">
        <v>0</v>
      </c>
      <c r="U150" s="77">
        <v>0</v>
      </c>
      <c r="V150" s="77"/>
      <c r="W150" s="77"/>
      <c r="X150" s="80" t="str">
        <f>HYPERLINK("https://writeupcafe.com/blog/business/1203060-seo-service-by-inovies-company/")</f>
        <v>https://writeupcafe.com/blog/business/1203060-seo-service-by-inovies-company/</v>
      </c>
      <c r="Y150" s="77" t="s">
        <v>1991</v>
      </c>
      <c r="Z150" s="77"/>
      <c r="AA150" s="77" t="s">
        <v>2115</v>
      </c>
      <c r="AB150" s="77" t="s">
        <v>2696</v>
      </c>
      <c r="AC150" s="81" t="s">
        <v>2720</v>
      </c>
      <c r="AD150" s="77" t="s">
        <v>2751</v>
      </c>
      <c r="AE150" s="80" t="str">
        <f>HYPERLINK("https://twitter.com/writeupcafe/status/1197753975635927040")</f>
        <v>https://twitter.com/writeupcafe/status/1197753975635927040</v>
      </c>
      <c r="AF150" s="79">
        <v>43791.2427662037</v>
      </c>
      <c r="AG150" s="85">
        <v>43791</v>
      </c>
      <c r="AH150" s="81" t="s">
        <v>2876</v>
      </c>
      <c r="AI150" s="77" t="b">
        <v>0</v>
      </c>
      <c r="AJ150" s="77"/>
      <c r="AK150" s="77"/>
      <c r="AL150" s="77"/>
      <c r="AM150" s="77"/>
      <c r="AN150" s="77"/>
      <c r="AO150" s="77"/>
      <c r="AP150" s="77"/>
      <c r="AQ150" s="77" t="s">
        <v>3933</v>
      </c>
      <c r="AR150" s="77"/>
      <c r="AS150" s="77"/>
      <c r="AT150" s="77"/>
      <c r="AU150" s="77"/>
      <c r="AV150" s="80" t="str">
        <f>HYPERLINK("https://pbs.twimg.com/media/EJ9G5LxWkAAa6Ai.png")</f>
        <v>https://pbs.twimg.com/media/EJ9G5LxWkAAa6Ai.png</v>
      </c>
      <c r="AW150" s="81" t="s">
        <v>4621</v>
      </c>
      <c r="AX150" s="81" t="s">
        <v>4621</v>
      </c>
      <c r="AY150" s="77"/>
      <c r="AZ150" s="81" t="s">
        <v>5773</v>
      </c>
      <c r="BA150" s="81" t="s">
        <v>5773</v>
      </c>
      <c r="BB150" s="81" t="s">
        <v>5773</v>
      </c>
      <c r="BC150" s="81" t="s">
        <v>4621</v>
      </c>
      <c r="BD150" s="77">
        <v>109868594</v>
      </c>
      <c r="BE150" s="77"/>
      <c r="BF150" s="77"/>
      <c r="BG150" s="77"/>
      <c r="BH150" s="77"/>
      <c r="BI150" s="77"/>
    </row>
    <row r="151" spans="1:61" ht="15">
      <c r="A151" s="62" t="s">
        <v>276</v>
      </c>
      <c r="B151" s="62" t="s">
        <v>276</v>
      </c>
      <c r="C151" s="63"/>
      <c r="D151" s="64"/>
      <c r="E151" s="65"/>
      <c r="F151" s="66"/>
      <c r="G151" s="63"/>
      <c r="H151" s="67"/>
      <c r="I151" s="68"/>
      <c r="J151" s="68"/>
      <c r="K151" s="32" t="s">
        <v>65</v>
      </c>
      <c r="L151" s="75">
        <v>151</v>
      </c>
      <c r="M151" s="75"/>
      <c r="N151" s="70"/>
      <c r="O151" s="77" t="s">
        <v>179</v>
      </c>
      <c r="P151" s="79">
        <v>43810.246724537035</v>
      </c>
      <c r="Q151" s="77" t="s">
        <v>687</v>
      </c>
      <c r="R151" s="77">
        <v>0</v>
      </c>
      <c r="S151" s="77">
        <v>0</v>
      </c>
      <c r="T151" s="77">
        <v>0</v>
      </c>
      <c r="U151" s="77">
        <v>0</v>
      </c>
      <c r="V151" s="77"/>
      <c r="W151" s="77"/>
      <c r="X151" s="80" t="str">
        <f>HYPERLINK("https://writeupcafe.com/blog/business/1206820-affordable-seo-services-company-inovies/")</f>
        <v>https://writeupcafe.com/blog/business/1206820-affordable-seo-services-company-inovies/</v>
      </c>
      <c r="Y151" s="77" t="s">
        <v>1991</v>
      </c>
      <c r="Z151" s="77"/>
      <c r="AA151" s="77"/>
      <c r="AB151" s="77"/>
      <c r="AC151" s="81" t="s">
        <v>2720</v>
      </c>
      <c r="AD151" s="77" t="s">
        <v>2751</v>
      </c>
      <c r="AE151" s="80" t="str">
        <f>HYPERLINK("https://twitter.com/writeupcafe/status/1204640777307070465")</f>
        <v>https://twitter.com/writeupcafe/status/1204640777307070465</v>
      </c>
      <c r="AF151" s="79">
        <v>43810.246724537035</v>
      </c>
      <c r="AG151" s="85">
        <v>43810</v>
      </c>
      <c r="AH151" s="81" t="s">
        <v>2877</v>
      </c>
      <c r="AI151" s="77" t="b">
        <v>0</v>
      </c>
      <c r="AJ151" s="77"/>
      <c r="AK151" s="77"/>
      <c r="AL151" s="77"/>
      <c r="AM151" s="77"/>
      <c r="AN151" s="77"/>
      <c r="AO151" s="77"/>
      <c r="AP151" s="77"/>
      <c r="AQ151" s="77"/>
      <c r="AR151" s="77"/>
      <c r="AS151" s="77"/>
      <c r="AT151" s="77"/>
      <c r="AU151" s="77"/>
      <c r="AV151" s="80" t="str">
        <f>HYPERLINK("https://pbs.twimg.com/profile_images/1354401144756346881/r316pCJy_normal.jpg")</f>
        <v>https://pbs.twimg.com/profile_images/1354401144756346881/r316pCJy_normal.jpg</v>
      </c>
      <c r="AW151" s="81" t="s">
        <v>4622</v>
      </c>
      <c r="AX151" s="81" t="s">
        <v>4622</v>
      </c>
      <c r="AY151" s="77"/>
      <c r="AZ151" s="81" t="s">
        <v>5773</v>
      </c>
      <c r="BA151" s="81" t="s">
        <v>5773</v>
      </c>
      <c r="BB151" s="81" t="s">
        <v>5773</v>
      </c>
      <c r="BC151" s="81" t="s">
        <v>4622</v>
      </c>
      <c r="BD151" s="77">
        <v>109868594</v>
      </c>
      <c r="BE151" s="77"/>
      <c r="BF151" s="77"/>
      <c r="BG151" s="77"/>
      <c r="BH151" s="77"/>
      <c r="BI151" s="77"/>
    </row>
    <row r="152" spans="1:61" ht="15">
      <c r="A152" s="62" t="s">
        <v>276</v>
      </c>
      <c r="B152" s="62" t="s">
        <v>276</v>
      </c>
      <c r="C152" s="63"/>
      <c r="D152" s="64"/>
      <c r="E152" s="65"/>
      <c r="F152" s="66"/>
      <c r="G152" s="63"/>
      <c r="H152" s="67"/>
      <c r="I152" s="68"/>
      <c r="J152" s="68"/>
      <c r="K152" s="32" t="s">
        <v>65</v>
      </c>
      <c r="L152" s="75">
        <v>152</v>
      </c>
      <c r="M152" s="75"/>
      <c r="N152" s="70"/>
      <c r="O152" s="77" t="s">
        <v>179</v>
      </c>
      <c r="P152" s="79">
        <v>43825.27233796296</v>
      </c>
      <c r="Q152" s="77" t="s">
        <v>688</v>
      </c>
      <c r="R152" s="77">
        <v>0</v>
      </c>
      <c r="S152" s="77">
        <v>0</v>
      </c>
      <c r="T152" s="77">
        <v>0</v>
      </c>
      <c r="U152" s="77">
        <v>0</v>
      </c>
      <c r="V152" s="77"/>
      <c r="W152" s="77"/>
      <c r="X152" s="80" t="str">
        <f>HYPERLINK("https://writeupcafe.com/blog/marketing/1210628-inovies-on-page-optimization/")</f>
        <v>https://writeupcafe.com/blog/marketing/1210628-inovies-on-page-optimization/</v>
      </c>
      <c r="Y152" s="77" t="s">
        <v>1991</v>
      </c>
      <c r="Z152" s="77"/>
      <c r="AA152" s="77" t="s">
        <v>2116</v>
      </c>
      <c r="AB152" s="77" t="s">
        <v>2696</v>
      </c>
      <c r="AC152" s="81" t="s">
        <v>2720</v>
      </c>
      <c r="AD152" s="77" t="s">
        <v>2751</v>
      </c>
      <c r="AE152" s="80" t="str">
        <f>HYPERLINK("https://twitter.com/writeupcafe/status/1210085878510563328")</f>
        <v>https://twitter.com/writeupcafe/status/1210085878510563328</v>
      </c>
      <c r="AF152" s="79">
        <v>43825.27233796296</v>
      </c>
      <c r="AG152" s="85">
        <v>43825</v>
      </c>
      <c r="AH152" s="81" t="s">
        <v>2878</v>
      </c>
      <c r="AI152" s="77" t="b">
        <v>0</v>
      </c>
      <c r="AJ152" s="77"/>
      <c r="AK152" s="77"/>
      <c r="AL152" s="77"/>
      <c r="AM152" s="77"/>
      <c r="AN152" s="77"/>
      <c r="AO152" s="77"/>
      <c r="AP152" s="77"/>
      <c r="AQ152" s="77" t="s">
        <v>3934</v>
      </c>
      <c r="AR152" s="77"/>
      <c r="AS152" s="77"/>
      <c r="AT152" s="77"/>
      <c r="AU152" s="77"/>
      <c r="AV152" s="80" t="str">
        <f>HYPERLINK("https://pbs.twimg.com/media/EMsWsZGWkAELdf8.png")</f>
        <v>https://pbs.twimg.com/media/EMsWsZGWkAELdf8.png</v>
      </c>
      <c r="AW152" s="81" t="s">
        <v>4623</v>
      </c>
      <c r="AX152" s="81" t="s">
        <v>4623</v>
      </c>
      <c r="AY152" s="77"/>
      <c r="AZ152" s="81" t="s">
        <v>5773</v>
      </c>
      <c r="BA152" s="81" t="s">
        <v>5773</v>
      </c>
      <c r="BB152" s="81" t="s">
        <v>5773</v>
      </c>
      <c r="BC152" s="81" t="s">
        <v>4623</v>
      </c>
      <c r="BD152" s="77">
        <v>109868594</v>
      </c>
      <c r="BE152" s="77"/>
      <c r="BF152" s="77"/>
      <c r="BG152" s="77"/>
      <c r="BH152" s="77"/>
      <c r="BI152" s="77"/>
    </row>
    <row r="153" spans="1:61" ht="15">
      <c r="A153" s="62" t="s">
        <v>276</v>
      </c>
      <c r="B153" s="62" t="s">
        <v>276</v>
      </c>
      <c r="C153" s="63"/>
      <c r="D153" s="64"/>
      <c r="E153" s="65"/>
      <c r="F153" s="66"/>
      <c r="G153" s="63"/>
      <c r="H153" s="67"/>
      <c r="I153" s="68"/>
      <c r="J153" s="68"/>
      <c r="K153" s="32" t="s">
        <v>65</v>
      </c>
      <c r="L153" s="75">
        <v>153</v>
      </c>
      <c r="M153" s="75"/>
      <c r="N153" s="70"/>
      <c r="O153" s="77" t="s">
        <v>179</v>
      </c>
      <c r="P153" s="79">
        <v>43823.44126157407</v>
      </c>
      <c r="Q153" s="77" t="s">
        <v>689</v>
      </c>
      <c r="R153" s="77">
        <v>0</v>
      </c>
      <c r="S153" s="77">
        <v>0</v>
      </c>
      <c r="T153" s="77">
        <v>0</v>
      </c>
      <c r="U153" s="77">
        <v>0</v>
      </c>
      <c r="V153" s="77"/>
      <c r="W153" s="77"/>
      <c r="X153" s="80" t="str">
        <f>HYPERLINK("https://writeupcafe.com/blog/marketing/1210364-inovies-is-top-most-best-web-development-company-based-in-hyderabad-india/")</f>
        <v>https://writeupcafe.com/blog/marketing/1210364-inovies-is-top-most-best-web-development-company-based-in-hyderabad-india/</v>
      </c>
      <c r="Y153" s="77" t="s">
        <v>1991</v>
      </c>
      <c r="Z153" s="77"/>
      <c r="AA153" s="77" t="s">
        <v>2117</v>
      </c>
      <c r="AB153" s="77" t="s">
        <v>2696</v>
      </c>
      <c r="AC153" s="81" t="s">
        <v>2720</v>
      </c>
      <c r="AD153" s="77" t="s">
        <v>2751</v>
      </c>
      <c r="AE153" s="80" t="str">
        <f>HYPERLINK("https://twitter.com/writeupcafe/status/1209422317970870272")</f>
        <v>https://twitter.com/writeupcafe/status/1209422317970870272</v>
      </c>
      <c r="AF153" s="79">
        <v>43823.44126157407</v>
      </c>
      <c r="AG153" s="85">
        <v>43823</v>
      </c>
      <c r="AH153" s="81" t="s">
        <v>2879</v>
      </c>
      <c r="AI153" s="77" t="b">
        <v>0</v>
      </c>
      <c r="AJ153" s="77"/>
      <c r="AK153" s="77"/>
      <c r="AL153" s="77"/>
      <c r="AM153" s="77"/>
      <c r="AN153" s="77"/>
      <c r="AO153" s="77"/>
      <c r="AP153" s="77"/>
      <c r="AQ153" s="77" t="s">
        <v>3935</v>
      </c>
      <c r="AR153" s="77"/>
      <c r="AS153" s="77"/>
      <c r="AT153" s="77"/>
      <c r="AU153" s="77"/>
      <c r="AV153" s="80" t="str">
        <f>HYPERLINK("https://pbs.twimg.com/media/EMi7MFFUUAAUqmf.jpg")</f>
        <v>https://pbs.twimg.com/media/EMi7MFFUUAAUqmf.jpg</v>
      </c>
      <c r="AW153" s="81" t="s">
        <v>4624</v>
      </c>
      <c r="AX153" s="81" t="s">
        <v>4624</v>
      </c>
      <c r="AY153" s="77"/>
      <c r="AZ153" s="81" t="s">
        <v>5773</v>
      </c>
      <c r="BA153" s="81" t="s">
        <v>5773</v>
      </c>
      <c r="BB153" s="81" t="s">
        <v>5773</v>
      </c>
      <c r="BC153" s="81" t="s">
        <v>4624</v>
      </c>
      <c r="BD153" s="77">
        <v>109868594</v>
      </c>
      <c r="BE153" s="77"/>
      <c r="BF153" s="77"/>
      <c r="BG153" s="77"/>
      <c r="BH153" s="77"/>
      <c r="BI153" s="77"/>
    </row>
    <row r="154" spans="1:61" ht="15">
      <c r="A154" s="62" t="s">
        <v>276</v>
      </c>
      <c r="B154" s="62" t="s">
        <v>276</v>
      </c>
      <c r="C154" s="63"/>
      <c r="D154" s="64"/>
      <c r="E154" s="65"/>
      <c r="F154" s="66"/>
      <c r="G154" s="63"/>
      <c r="H154" s="67"/>
      <c r="I154" s="68"/>
      <c r="J154" s="68"/>
      <c r="K154" s="32" t="s">
        <v>65</v>
      </c>
      <c r="L154" s="75">
        <v>154</v>
      </c>
      <c r="M154" s="75"/>
      <c r="N154" s="70"/>
      <c r="O154" s="77" t="s">
        <v>179</v>
      </c>
      <c r="P154" s="79">
        <v>43823.21266203704</v>
      </c>
      <c r="Q154" s="77" t="s">
        <v>690</v>
      </c>
      <c r="R154" s="77">
        <v>0</v>
      </c>
      <c r="S154" s="77">
        <v>0</v>
      </c>
      <c r="T154" s="77">
        <v>0</v>
      </c>
      <c r="U154" s="77">
        <v>0</v>
      </c>
      <c r="V154" s="77"/>
      <c r="W154" s="77"/>
      <c r="X154" s="80" t="str">
        <f>HYPERLINK("https://writeupcafe.com/blog/business/1210135-inovies-responsive-website-design-agency/")</f>
        <v>https://writeupcafe.com/blog/business/1210135-inovies-responsive-website-design-agency/</v>
      </c>
      <c r="Y154" s="77" t="s">
        <v>1991</v>
      </c>
      <c r="Z154" s="77"/>
      <c r="AA154" s="77"/>
      <c r="AB154" s="77"/>
      <c r="AC154" s="81" t="s">
        <v>2720</v>
      </c>
      <c r="AD154" s="77" t="s">
        <v>2751</v>
      </c>
      <c r="AE154" s="80" t="str">
        <f>HYPERLINK("https://twitter.com/writeupcafe/status/1209339475614162944")</f>
        <v>https://twitter.com/writeupcafe/status/1209339475614162944</v>
      </c>
      <c r="AF154" s="79">
        <v>43823.21266203704</v>
      </c>
      <c r="AG154" s="85">
        <v>43823</v>
      </c>
      <c r="AH154" s="81" t="s">
        <v>2880</v>
      </c>
      <c r="AI154" s="77" t="b">
        <v>0</v>
      </c>
      <c r="AJ154" s="77"/>
      <c r="AK154" s="77"/>
      <c r="AL154" s="77"/>
      <c r="AM154" s="77"/>
      <c r="AN154" s="77"/>
      <c r="AO154" s="77"/>
      <c r="AP154" s="77"/>
      <c r="AQ154" s="77"/>
      <c r="AR154" s="77"/>
      <c r="AS154" s="77"/>
      <c r="AT154" s="77"/>
      <c r="AU154" s="77"/>
      <c r="AV154" s="80" t="str">
        <f>HYPERLINK("https://pbs.twimg.com/profile_images/1354401144756346881/r316pCJy_normal.jpg")</f>
        <v>https://pbs.twimg.com/profile_images/1354401144756346881/r316pCJy_normal.jpg</v>
      </c>
      <c r="AW154" s="81" t="s">
        <v>4625</v>
      </c>
      <c r="AX154" s="81" t="s">
        <v>4625</v>
      </c>
      <c r="AY154" s="77"/>
      <c r="AZ154" s="81" t="s">
        <v>5773</v>
      </c>
      <c r="BA154" s="81" t="s">
        <v>5773</v>
      </c>
      <c r="BB154" s="81" t="s">
        <v>5773</v>
      </c>
      <c r="BC154" s="81" t="s">
        <v>4625</v>
      </c>
      <c r="BD154" s="77">
        <v>109868594</v>
      </c>
      <c r="BE154" s="77"/>
      <c r="BF154" s="77"/>
      <c r="BG154" s="77"/>
      <c r="BH154" s="77"/>
      <c r="BI154" s="77"/>
    </row>
    <row r="155" spans="1:61" ht="15">
      <c r="A155" s="62" t="s">
        <v>276</v>
      </c>
      <c r="B155" s="62" t="s">
        <v>276</v>
      </c>
      <c r="C155" s="63"/>
      <c r="D155" s="64"/>
      <c r="E155" s="65"/>
      <c r="F155" s="66"/>
      <c r="G155" s="63"/>
      <c r="H155" s="67"/>
      <c r="I155" s="68"/>
      <c r="J155" s="68"/>
      <c r="K155" s="32" t="s">
        <v>65</v>
      </c>
      <c r="L155" s="75">
        <v>155</v>
      </c>
      <c r="M155" s="75"/>
      <c r="N155" s="70"/>
      <c r="O155" s="77" t="s">
        <v>179</v>
      </c>
      <c r="P155" s="79">
        <v>43822.2346875</v>
      </c>
      <c r="Q155" s="77" t="s">
        <v>691</v>
      </c>
      <c r="R155" s="77">
        <v>0</v>
      </c>
      <c r="S155" s="77">
        <v>0</v>
      </c>
      <c r="T155" s="77">
        <v>0</v>
      </c>
      <c r="U155" s="77">
        <v>0</v>
      </c>
      <c r="V155" s="77"/>
      <c r="W155" s="77"/>
      <c r="X155" s="80" t="str">
        <f>HYPERLINK("https://writeupcafe.com/blog/marketing/1209829-inovies-content-marketing/")</f>
        <v>https://writeupcafe.com/blog/marketing/1209829-inovies-content-marketing/</v>
      </c>
      <c r="Y155" s="77" t="s">
        <v>1991</v>
      </c>
      <c r="Z155" s="77"/>
      <c r="AA155" s="77" t="s">
        <v>2118</v>
      </c>
      <c r="AB155" s="77" t="s">
        <v>2696</v>
      </c>
      <c r="AC155" s="81" t="s">
        <v>2720</v>
      </c>
      <c r="AD155" s="77" t="s">
        <v>2751</v>
      </c>
      <c r="AE155" s="80" t="str">
        <f>HYPERLINK("https://twitter.com/writeupcafe/status/1208985071845330944")</f>
        <v>https://twitter.com/writeupcafe/status/1208985071845330944</v>
      </c>
      <c r="AF155" s="79">
        <v>43822.2346875</v>
      </c>
      <c r="AG155" s="85">
        <v>43822</v>
      </c>
      <c r="AH155" s="81" t="s">
        <v>2881</v>
      </c>
      <c r="AI155" s="77" t="b">
        <v>0</v>
      </c>
      <c r="AJ155" s="77"/>
      <c r="AK155" s="77"/>
      <c r="AL155" s="77"/>
      <c r="AM155" s="77"/>
      <c r="AN155" s="77"/>
      <c r="AO155" s="77"/>
      <c r="AP155" s="77"/>
      <c r="AQ155" s="77" t="s">
        <v>3936</v>
      </c>
      <c r="AR155" s="77"/>
      <c r="AS155" s="77"/>
      <c r="AT155" s="77"/>
      <c r="AU155" s="77"/>
      <c r="AV155" s="80" t="str">
        <f>HYPERLINK("https://pbs.twimg.com/media/EMcthApWkAoosAt.jpg")</f>
        <v>https://pbs.twimg.com/media/EMcthApWkAoosAt.jpg</v>
      </c>
      <c r="AW155" s="81" t="s">
        <v>4626</v>
      </c>
      <c r="AX155" s="81" t="s">
        <v>4626</v>
      </c>
      <c r="AY155" s="77"/>
      <c r="AZ155" s="81" t="s">
        <v>5773</v>
      </c>
      <c r="BA155" s="81" t="s">
        <v>5773</v>
      </c>
      <c r="BB155" s="81" t="s">
        <v>5773</v>
      </c>
      <c r="BC155" s="81" t="s">
        <v>4626</v>
      </c>
      <c r="BD155" s="77">
        <v>109868594</v>
      </c>
      <c r="BE155" s="77"/>
      <c r="BF155" s="77"/>
      <c r="BG155" s="77"/>
      <c r="BH155" s="77"/>
      <c r="BI155" s="77"/>
    </row>
    <row r="156" spans="1:61" ht="15">
      <c r="A156" s="62" t="s">
        <v>276</v>
      </c>
      <c r="B156" s="62" t="s">
        <v>276</v>
      </c>
      <c r="C156" s="63"/>
      <c r="D156" s="64"/>
      <c r="E156" s="65"/>
      <c r="F156" s="66"/>
      <c r="G156" s="63"/>
      <c r="H156" s="67"/>
      <c r="I156" s="68"/>
      <c r="J156" s="68"/>
      <c r="K156" s="32" t="s">
        <v>65</v>
      </c>
      <c r="L156" s="75">
        <v>156</v>
      </c>
      <c r="M156" s="75"/>
      <c r="N156" s="70"/>
      <c r="O156" s="77" t="s">
        <v>179</v>
      </c>
      <c r="P156" s="79">
        <v>43820.44704861111</v>
      </c>
      <c r="Q156" s="77" t="s">
        <v>692</v>
      </c>
      <c r="R156" s="77">
        <v>0</v>
      </c>
      <c r="S156" s="77">
        <v>0</v>
      </c>
      <c r="T156" s="77">
        <v>0</v>
      </c>
      <c r="U156" s="77">
        <v>0</v>
      </c>
      <c r="V156" s="77"/>
      <c r="W156" s="77"/>
      <c r="X156" s="80" t="str">
        <f>HYPERLINK("https://writeupcafe.com/blog/social-media/1209643-inovies-is-a-best-social-media-marketing-agency-in-hyderabad/")</f>
        <v>https://writeupcafe.com/blog/social-media/1209643-inovies-is-a-best-social-media-marketing-agency-in-hyderabad/</v>
      </c>
      <c r="Y156" s="77" t="s">
        <v>1991</v>
      </c>
      <c r="Z156" s="77"/>
      <c r="AA156" s="77" t="s">
        <v>2119</v>
      </c>
      <c r="AB156" s="77" t="s">
        <v>2696</v>
      </c>
      <c r="AC156" s="81" t="s">
        <v>2720</v>
      </c>
      <c r="AD156" s="77" t="s">
        <v>2751</v>
      </c>
      <c r="AE156" s="80" t="str">
        <f>HYPERLINK("https://twitter.com/writeupcafe/status/1208337253623353346")</f>
        <v>https://twitter.com/writeupcafe/status/1208337253623353346</v>
      </c>
      <c r="AF156" s="79">
        <v>43820.44704861111</v>
      </c>
      <c r="AG156" s="85">
        <v>43820</v>
      </c>
      <c r="AH156" s="81" t="s">
        <v>2882</v>
      </c>
      <c r="AI156" s="77" t="b">
        <v>0</v>
      </c>
      <c r="AJ156" s="77"/>
      <c r="AK156" s="77"/>
      <c r="AL156" s="77"/>
      <c r="AM156" s="77"/>
      <c r="AN156" s="77"/>
      <c r="AO156" s="77"/>
      <c r="AP156" s="77"/>
      <c r="AQ156" s="77" t="s">
        <v>3937</v>
      </c>
      <c r="AR156" s="77"/>
      <c r="AS156" s="77"/>
      <c r="AT156" s="77"/>
      <c r="AU156" s="77"/>
      <c r="AV156" s="80" t="str">
        <f>HYPERLINK("https://pbs.twimg.com/media/EMTgVChWwAAlxx_.jpg")</f>
        <v>https://pbs.twimg.com/media/EMTgVChWwAAlxx_.jpg</v>
      </c>
      <c r="AW156" s="81" t="s">
        <v>4627</v>
      </c>
      <c r="AX156" s="81" t="s">
        <v>4627</v>
      </c>
      <c r="AY156" s="77"/>
      <c r="AZ156" s="81" t="s">
        <v>5773</v>
      </c>
      <c r="BA156" s="81" t="s">
        <v>5773</v>
      </c>
      <c r="BB156" s="81" t="s">
        <v>5773</v>
      </c>
      <c r="BC156" s="81" t="s">
        <v>4627</v>
      </c>
      <c r="BD156" s="77">
        <v>109868594</v>
      </c>
      <c r="BE156" s="77"/>
      <c r="BF156" s="77"/>
      <c r="BG156" s="77"/>
      <c r="BH156" s="77"/>
      <c r="BI156" s="77"/>
    </row>
    <row r="157" spans="1:61" ht="15">
      <c r="A157" s="62" t="s">
        <v>276</v>
      </c>
      <c r="B157" s="62" t="s">
        <v>276</v>
      </c>
      <c r="C157" s="63"/>
      <c r="D157" s="64"/>
      <c r="E157" s="65"/>
      <c r="F157" s="66"/>
      <c r="G157" s="63"/>
      <c r="H157" s="67"/>
      <c r="I157" s="68"/>
      <c r="J157" s="68"/>
      <c r="K157" s="32" t="s">
        <v>65</v>
      </c>
      <c r="L157" s="75">
        <v>157</v>
      </c>
      <c r="M157" s="75"/>
      <c r="N157" s="70"/>
      <c r="O157" s="77" t="s">
        <v>179</v>
      </c>
      <c r="P157" s="79">
        <v>43819.38311342592</v>
      </c>
      <c r="Q157" s="77" t="s">
        <v>693</v>
      </c>
      <c r="R157" s="77">
        <v>0</v>
      </c>
      <c r="S157" s="77">
        <v>0</v>
      </c>
      <c r="T157" s="77">
        <v>0</v>
      </c>
      <c r="U157" s="77">
        <v>0</v>
      </c>
      <c r="V157" s="77"/>
      <c r="W157" s="77"/>
      <c r="X157" s="80" t="str">
        <f>HYPERLINK("https://writeupcafe.com/blog/business/1209295-inovies-digital-marketing-agency/")</f>
        <v>https://writeupcafe.com/blog/business/1209295-inovies-digital-marketing-agency/</v>
      </c>
      <c r="Y157" s="77" t="s">
        <v>1991</v>
      </c>
      <c r="Z157" s="77"/>
      <c r="AA157" s="77" t="s">
        <v>2120</v>
      </c>
      <c r="AB157" s="77" t="s">
        <v>2696</v>
      </c>
      <c r="AC157" s="81" t="s">
        <v>2720</v>
      </c>
      <c r="AD157" s="77" t="s">
        <v>2751</v>
      </c>
      <c r="AE157" s="80" t="str">
        <f>HYPERLINK("https://twitter.com/writeupcafe/status/1207951695751327744")</f>
        <v>https://twitter.com/writeupcafe/status/1207951695751327744</v>
      </c>
      <c r="AF157" s="79">
        <v>43819.38311342592</v>
      </c>
      <c r="AG157" s="85">
        <v>43819</v>
      </c>
      <c r="AH157" s="81" t="s">
        <v>2883</v>
      </c>
      <c r="AI157" s="77" t="b">
        <v>0</v>
      </c>
      <c r="AJ157" s="77"/>
      <c r="AK157" s="77"/>
      <c r="AL157" s="77"/>
      <c r="AM157" s="77"/>
      <c r="AN157" s="77"/>
      <c r="AO157" s="77"/>
      <c r="AP157" s="77"/>
      <c r="AQ157" s="77" t="s">
        <v>3938</v>
      </c>
      <c r="AR157" s="77"/>
      <c r="AS157" s="77"/>
      <c r="AT157" s="77"/>
      <c r="AU157" s="77"/>
      <c r="AV157" s="80" t="str">
        <f>HYPERLINK("https://pbs.twimg.com/media/EMOBqnBWkAYyNg7.jpg")</f>
        <v>https://pbs.twimg.com/media/EMOBqnBWkAYyNg7.jpg</v>
      </c>
      <c r="AW157" s="81" t="s">
        <v>4628</v>
      </c>
      <c r="AX157" s="81" t="s">
        <v>4628</v>
      </c>
      <c r="AY157" s="77"/>
      <c r="AZ157" s="81" t="s">
        <v>5773</v>
      </c>
      <c r="BA157" s="81" t="s">
        <v>5773</v>
      </c>
      <c r="BB157" s="81" t="s">
        <v>5773</v>
      </c>
      <c r="BC157" s="81" t="s">
        <v>4628</v>
      </c>
      <c r="BD157" s="77">
        <v>109868594</v>
      </c>
      <c r="BE157" s="77"/>
      <c r="BF157" s="77"/>
      <c r="BG157" s="77"/>
      <c r="BH157" s="77"/>
      <c r="BI157" s="77"/>
    </row>
    <row r="158" spans="1:61" ht="15">
      <c r="A158" s="62" t="s">
        <v>276</v>
      </c>
      <c r="B158" s="62" t="s">
        <v>276</v>
      </c>
      <c r="C158" s="63"/>
      <c r="D158" s="64"/>
      <c r="E158" s="65"/>
      <c r="F158" s="66"/>
      <c r="G158" s="63"/>
      <c r="H158" s="67"/>
      <c r="I158" s="68"/>
      <c r="J158" s="68"/>
      <c r="K158" s="32" t="s">
        <v>65</v>
      </c>
      <c r="L158" s="75">
        <v>158</v>
      </c>
      <c r="M158" s="75"/>
      <c r="N158" s="70"/>
      <c r="O158" s="77" t="s">
        <v>179</v>
      </c>
      <c r="P158" s="79">
        <v>43815.42427083333</v>
      </c>
      <c r="Q158" s="77" t="s">
        <v>694</v>
      </c>
      <c r="R158" s="77">
        <v>0</v>
      </c>
      <c r="S158" s="77">
        <v>0</v>
      </c>
      <c r="T158" s="77">
        <v>0</v>
      </c>
      <c r="U158" s="77">
        <v>0</v>
      </c>
      <c r="V158" s="77"/>
      <c r="W158" s="77"/>
      <c r="X158" s="80" t="str">
        <f>HYPERLINK("https://writeupcafe.com/blog/marketing/1207968-inovies-is-best-seo-company-in-hyderabadvijayawada-and-dubai/")</f>
        <v>https://writeupcafe.com/blog/marketing/1207968-inovies-is-best-seo-company-in-hyderabadvijayawada-and-dubai/</v>
      </c>
      <c r="Y158" s="77" t="s">
        <v>1991</v>
      </c>
      <c r="Z158" s="77"/>
      <c r="AA158" s="77" t="s">
        <v>2121</v>
      </c>
      <c r="AB158" s="77" t="s">
        <v>2696</v>
      </c>
      <c r="AC158" s="81" t="s">
        <v>2720</v>
      </c>
      <c r="AD158" s="77" t="s">
        <v>2751</v>
      </c>
      <c r="AE158" s="80" t="str">
        <f>HYPERLINK("https://twitter.com/writeupcafe/status/1206517058990739456")</f>
        <v>https://twitter.com/writeupcafe/status/1206517058990739456</v>
      </c>
      <c r="AF158" s="79">
        <v>43815.42427083333</v>
      </c>
      <c r="AG158" s="85">
        <v>43815</v>
      </c>
      <c r="AH158" s="81" t="s">
        <v>2884</v>
      </c>
      <c r="AI158" s="77" t="b">
        <v>0</v>
      </c>
      <c r="AJ158" s="77"/>
      <c r="AK158" s="77"/>
      <c r="AL158" s="77"/>
      <c r="AM158" s="77"/>
      <c r="AN158" s="77"/>
      <c r="AO158" s="77"/>
      <c r="AP158" s="77"/>
      <c r="AQ158" s="77" t="s">
        <v>3939</v>
      </c>
      <c r="AR158" s="77"/>
      <c r="AS158" s="77"/>
      <c r="AT158" s="77"/>
      <c r="AU158" s="77"/>
      <c r="AV158" s="80" t="str">
        <f>HYPERLINK("https://pbs.twimg.com/media/EL5o3xaWoAEfV5r.jpg")</f>
        <v>https://pbs.twimg.com/media/EL5o3xaWoAEfV5r.jpg</v>
      </c>
      <c r="AW158" s="81" t="s">
        <v>4629</v>
      </c>
      <c r="AX158" s="81" t="s">
        <v>4629</v>
      </c>
      <c r="AY158" s="77"/>
      <c r="AZ158" s="81" t="s">
        <v>5773</v>
      </c>
      <c r="BA158" s="81" t="s">
        <v>5773</v>
      </c>
      <c r="BB158" s="81" t="s">
        <v>5773</v>
      </c>
      <c r="BC158" s="81" t="s">
        <v>4629</v>
      </c>
      <c r="BD158" s="77">
        <v>109868594</v>
      </c>
      <c r="BE158" s="77"/>
      <c r="BF158" s="77"/>
      <c r="BG158" s="77"/>
      <c r="BH158" s="77"/>
      <c r="BI158" s="77"/>
    </row>
    <row r="159" spans="1:61" ht="15">
      <c r="A159" s="62" t="s">
        <v>276</v>
      </c>
      <c r="B159" s="62" t="s">
        <v>276</v>
      </c>
      <c r="C159" s="63"/>
      <c r="D159" s="64"/>
      <c r="E159" s="65"/>
      <c r="F159" s="66"/>
      <c r="G159" s="63"/>
      <c r="H159" s="67"/>
      <c r="I159" s="68"/>
      <c r="J159" s="68"/>
      <c r="K159" s="32" t="s">
        <v>65</v>
      </c>
      <c r="L159" s="75">
        <v>159</v>
      </c>
      <c r="M159" s="75"/>
      <c r="N159" s="70"/>
      <c r="O159" s="77" t="s">
        <v>179</v>
      </c>
      <c r="P159" s="79">
        <v>43812.47337962963</v>
      </c>
      <c r="Q159" s="77" t="s">
        <v>695</v>
      </c>
      <c r="R159" s="77">
        <v>0</v>
      </c>
      <c r="S159" s="77">
        <v>0</v>
      </c>
      <c r="T159" s="77">
        <v>0</v>
      </c>
      <c r="U159" s="77">
        <v>0</v>
      </c>
      <c r="V159" s="77"/>
      <c r="W159" s="77"/>
      <c r="X159" s="80" t="str">
        <f>HYPERLINK("https://writeupcafe.com/blog/marketing/1207480-inovies-is-ppc-advertising-company-in-hyderabad-with-search-engine-optimization-social-media-and-email-marketing/")</f>
        <v>https://writeupcafe.com/blog/marketing/1207480-inovies-is-ppc-advertising-company-in-hyderabad-with-search-engine-optimization-social-media-and-email-marketing/</v>
      </c>
      <c r="Y159" s="77" t="s">
        <v>1991</v>
      </c>
      <c r="Z159" s="77"/>
      <c r="AA159" s="77" t="s">
        <v>2122</v>
      </c>
      <c r="AB159" s="77" t="s">
        <v>2696</v>
      </c>
      <c r="AC159" s="81" t="s">
        <v>2720</v>
      </c>
      <c r="AD159" s="77" t="s">
        <v>2751</v>
      </c>
      <c r="AE159" s="80" t="str">
        <f>HYPERLINK("https://twitter.com/writeupcafe/status/1205447692975005696")</f>
        <v>https://twitter.com/writeupcafe/status/1205447692975005696</v>
      </c>
      <c r="AF159" s="79">
        <v>43812.47337962963</v>
      </c>
      <c r="AG159" s="85">
        <v>43812</v>
      </c>
      <c r="AH159" s="81" t="s">
        <v>2885</v>
      </c>
      <c r="AI159" s="77" t="b">
        <v>0</v>
      </c>
      <c r="AJ159" s="77"/>
      <c r="AK159" s="77"/>
      <c r="AL159" s="77"/>
      <c r="AM159" s="77"/>
      <c r="AN159" s="77"/>
      <c r="AO159" s="77"/>
      <c r="AP159" s="77"/>
      <c r="AQ159" s="77" t="s">
        <v>3940</v>
      </c>
      <c r="AR159" s="77"/>
      <c r="AS159" s="77"/>
      <c r="AT159" s="77"/>
      <c r="AU159" s="77"/>
      <c r="AV159" s="80" t="str">
        <f>HYPERLINK("https://pbs.twimg.com/media/ELqcSccW4AIixmh.jpg")</f>
        <v>https://pbs.twimg.com/media/ELqcSccW4AIixmh.jpg</v>
      </c>
      <c r="AW159" s="81" t="s">
        <v>4630</v>
      </c>
      <c r="AX159" s="81" t="s">
        <v>4630</v>
      </c>
      <c r="AY159" s="77"/>
      <c r="AZ159" s="81" t="s">
        <v>5773</v>
      </c>
      <c r="BA159" s="81" t="s">
        <v>5773</v>
      </c>
      <c r="BB159" s="81" t="s">
        <v>5773</v>
      </c>
      <c r="BC159" s="81" t="s">
        <v>4630</v>
      </c>
      <c r="BD159" s="77">
        <v>109868594</v>
      </c>
      <c r="BE159" s="77"/>
      <c r="BF159" s="77"/>
      <c r="BG159" s="77"/>
      <c r="BH159" s="77"/>
      <c r="BI159" s="77"/>
    </row>
    <row r="160" spans="1:61" ht="15">
      <c r="A160" s="62" t="s">
        <v>276</v>
      </c>
      <c r="B160" s="62" t="s">
        <v>276</v>
      </c>
      <c r="C160" s="63"/>
      <c r="D160" s="64"/>
      <c r="E160" s="65"/>
      <c r="F160" s="66"/>
      <c r="G160" s="63"/>
      <c r="H160" s="67"/>
      <c r="I160" s="68"/>
      <c r="J160" s="68"/>
      <c r="K160" s="32" t="s">
        <v>65</v>
      </c>
      <c r="L160" s="75">
        <v>160</v>
      </c>
      <c r="M160" s="75"/>
      <c r="N160" s="70"/>
      <c r="O160" s="77" t="s">
        <v>179</v>
      </c>
      <c r="P160" s="79">
        <v>43811.39037037037</v>
      </c>
      <c r="Q160" s="77" t="s">
        <v>696</v>
      </c>
      <c r="R160" s="77">
        <v>0</v>
      </c>
      <c r="S160" s="77">
        <v>1</v>
      </c>
      <c r="T160" s="77">
        <v>0</v>
      </c>
      <c r="U160" s="77">
        <v>0</v>
      </c>
      <c r="V160" s="77"/>
      <c r="W160" s="77"/>
      <c r="X160" s="80" t="str">
        <f>HYPERLINK("https://writeupcafe.com/blog/marketing/1207176-inovies-is-best-digital-marketing-services-in-hyderabad-with-search-engine-optimization-social-media-and-email-marketing/")</f>
        <v>https://writeupcafe.com/blog/marketing/1207176-inovies-is-best-digital-marketing-services-in-hyderabad-with-search-engine-optimization-social-media-and-email-marketing/</v>
      </c>
      <c r="Y160" s="77" t="s">
        <v>1991</v>
      </c>
      <c r="Z160" s="77"/>
      <c r="AA160" s="77" t="s">
        <v>2123</v>
      </c>
      <c r="AB160" s="77" t="s">
        <v>2696</v>
      </c>
      <c r="AC160" s="81" t="s">
        <v>2720</v>
      </c>
      <c r="AD160" s="77" t="s">
        <v>2751</v>
      </c>
      <c r="AE160" s="80" t="str">
        <f>HYPERLINK("https://twitter.com/writeupcafe/status/1205055221006819328")</f>
        <v>https://twitter.com/writeupcafe/status/1205055221006819328</v>
      </c>
      <c r="AF160" s="79">
        <v>43811.39037037037</v>
      </c>
      <c r="AG160" s="85">
        <v>43811</v>
      </c>
      <c r="AH160" s="81" t="s">
        <v>2886</v>
      </c>
      <c r="AI160" s="77" t="b">
        <v>0</v>
      </c>
      <c r="AJ160" s="77"/>
      <c r="AK160" s="77"/>
      <c r="AL160" s="77"/>
      <c r="AM160" s="77"/>
      <c r="AN160" s="77"/>
      <c r="AO160" s="77"/>
      <c r="AP160" s="77"/>
      <c r="AQ160" s="77" t="s">
        <v>3941</v>
      </c>
      <c r="AR160" s="77"/>
      <c r="AS160" s="77"/>
      <c r="AT160" s="77"/>
      <c r="AU160" s="77"/>
      <c r="AV160" s="80" t="str">
        <f>HYPERLINK("https://pbs.twimg.com/media/ELk3VmAXkAEZ6Dm.jpg")</f>
        <v>https://pbs.twimg.com/media/ELk3VmAXkAEZ6Dm.jpg</v>
      </c>
      <c r="AW160" s="81" t="s">
        <v>4631</v>
      </c>
      <c r="AX160" s="81" t="s">
        <v>4631</v>
      </c>
      <c r="AY160" s="77"/>
      <c r="AZ160" s="81" t="s">
        <v>5773</v>
      </c>
      <c r="BA160" s="81" t="s">
        <v>5773</v>
      </c>
      <c r="BB160" s="81" t="s">
        <v>5773</v>
      </c>
      <c r="BC160" s="81" t="s">
        <v>4631</v>
      </c>
      <c r="BD160" s="77">
        <v>109868594</v>
      </c>
      <c r="BE160" s="77"/>
      <c r="BF160" s="77"/>
      <c r="BG160" s="77"/>
      <c r="BH160" s="77"/>
      <c r="BI160" s="77"/>
    </row>
    <row r="161" spans="1:61" ht="15">
      <c r="A161" s="62" t="s">
        <v>276</v>
      </c>
      <c r="B161" s="62" t="s">
        <v>276</v>
      </c>
      <c r="C161" s="63"/>
      <c r="D161" s="64"/>
      <c r="E161" s="65"/>
      <c r="F161" s="66"/>
      <c r="G161" s="63"/>
      <c r="H161" s="67"/>
      <c r="I161" s="68"/>
      <c r="J161" s="68"/>
      <c r="K161" s="32" t="s">
        <v>65</v>
      </c>
      <c r="L161" s="75">
        <v>161</v>
      </c>
      <c r="M161" s="75"/>
      <c r="N161" s="70"/>
      <c r="O161" s="77" t="s">
        <v>179</v>
      </c>
      <c r="P161" s="79">
        <v>43834.20670138889</v>
      </c>
      <c r="Q161" s="77" t="s">
        <v>697</v>
      </c>
      <c r="R161" s="77">
        <v>0</v>
      </c>
      <c r="S161" s="77">
        <v>0</v>
      </c>
      <c r="T161" s="77">
        <v>0</v>
      </c>
      <c r="U161" s="77">
        <v>0</v>
      </c>
      <c r="V161" s="77"/>
      <c r="W161" s="77"/>
      <c r="X161" s="80" t="str">
        <f>HYPERLINK("https://writeupcafe.com/blog/marketing/1213094-creative-and-custom-web-design-services-by-inovies/")</f>
        <v>https://writeupcafe.com/blog/marketing/1213094-creative-and-custom-web-design-services-by-inovies/</v>
      </c>
      <c r="Y161" s="77" t="s">
        <v>1991</v>
      </c>
      <c r="Z161" s="77"/>
      <c r="AA161" s="77" t="s">
        <v>2124</v>
      </c>
      <c r="AB161" s="77" t="s">
        <v>2696</v>
      </c>
      <c r="AC161" s="81" t="s">
        <v>2720</v>
      </c>
      <c r="AD161" s="77" t="s">
        <v>2751</v>
      </c>
      <c r="AE161" s="80" t="str">
        <f>HYPERLINK("https://twitter.com/writeupcafe/status/1213323582216048647")</f>
        <v>https://twitter.com/writeupcafe/status/1213323582216048647</v>
      </c>
      <c r="AF161" s="79">
        <v>43834.20670138889</v>
      </c>
      <c r="AG161" s="85">
        <v>43834</v>
      </c>
      <c r="AH161" s="81" t="s">
        <v>2887</v>
      </c>
      <c r="AI161" s="77" t="b">
        <v>0</v>
      </c>
      <c r="AJ161" s="77"/>
      <c r="AK161" s="77"/>
      <c r="AL161" s="77"/>
      <c r="AM161" s="77"/>
      <c r="AN161" s="77"/>
      <c r="AO161" s="77"/>
      <c r="AP161" s="77"/>
      <c r="AQ161" s="77" t="s">
        <v>3942</v>
      </c>
      <c r="AR161" s="77"/>
      <c r="AS161" s="77"/>
      <c r="AT161" s="77"/>
      <c r="AU161" s="77"/>
      <c r="AV161" s="80" t="str">
        <f>HYPERLINK("https://pbs.twimg.com/media/ENaXXj8WoAA8csh.jpg")</f>
        <v>https://pbs.twimg.com/media/ENaXXj8WoAA8csh.jpg</v>
      </c>
      <c r="AW161" s="81" t="s">
        <v>4632</v>
      </c>
      <c r="AX161" s="81" t="s">
        <v>4632</v>
      </c>
      <c r="AY161" s="77"/>
      <c r="AZ161" s="81" t="s">
        <v>5773</v>
      </c>
      <c r="BA161" s="81" t="s">
        <v>5773</v>
      </c>
      <c r="BB161" s="81" t="s">
        <v>5773</v>
      </c>
      <c r="BC161" s="81" t="s">
        <v>4632</v>
      </c>
      <c r="BD161" s="77">
        <v>109868594</v>
      </c>
      <c r="BE161" s="77"/>
      <c r="BF161" s="77"/>
      <c r="BG161" s="77"/>
      <c r="BH161" s="77"/>
      <c r="BI161" s="77"/>
    </row>
    <row r="162" spans="1:61" ht="15">
      <c r="A162" s="62" t="s">
        <v>276</v>
      </c>
      <c r="B162" s="62" t="s">
        <v>276</v>
      </c>
      <c r="C162" s="63"/>
      <c r="D162" s="64"/>
      <c r="E162" s="65"/>
      <c r="F162" s="66"/>
      <c r="G162" s="63"/>
      <c r="H162" s="67"/>
      <c r="I162" s="68"/>
      <c r="J162" s="68"/>
      <c r="K162" s="32" t="s">
        <v>65</v>
      </c>
      <c r="L162" s="75">
        <v>162</v>
      </c>
      <c r="M162" s="75"/>
      <c r="N162" s="70"/>
      <c r="O162" s="77" t="s">
        <v>179</v>
      </c>
      <c r="P162" s="79">
        <v>43833.24246527778</v>
      </c>
      <c r="Q162" s="77" t="s">
        <v>698</v>
      </c>
      <c r="R162" s="77">
        <v>0</v>
      </c>
      <c r="S162" s="77">
        <v>0</v>
      </c>
      <c r="T162" s="77">
        <v>0</v>
      </c>
      <c r="U162" s="77">
        <v>0</v>
      </c>
      <c r="V162" s="77"/>
      <c r="W162" s="77"/>
      <c r="X162" s="80" t="str">
        <f>HYPERLINK("https://writeupcafe.com/blog/business/1212629-web-development-company-get-in-touch-today-inovies/")</f>
        <v>https://writeupcafe.com/blog/business/1212629-web-development-company-get-in-touch-today-inovies/</v>
      </c>
      <c r="Y162" s="77" t="s">
        <v>1991</v>
      </c>
      <c r="Z162" s="77"/>
      <c r="AA162" s="77" t="s">
        <v>2125</v>
      </c>
      <c r="AB162" s="77" t="s">
        <v>2696</v>
      </c>
      <c r="AC162" s="81" t="s">
        <v>2720</v>
      </c>
      <c r="AD162" s="77" t="s">
        <v>2751</v>
      </c>
      <c r="AE162" s="80" t="str">
        <f>HYPERLINK("https://twitter.com/writeupcafe/status/1212974155936751616")</f>
        <v>https://twitter.com/writeupcafe/status/1212974155936751616</v>
      </c>
      <c r="AF162" s="79">
        <v>43833.24246527778</v>
      </c>
      <c r="AG162" s="85">
        <v>43833</v>
      </c>
      <c r="AH162" s="81" t="s">
        <v>2888</v>
      </c>
      <c r="AI162" s="77" t="b">
        <v>0</v>
      </c>
      <c r="AJ162" s="77"/>
      <c r="AK162" s="77"/>
      <c r="AL162" s="77"/>
      <c r="AM162" s="77"/>
      <c r="AN162" s="77"/>
      <c r="AO162" s="77"/>
      <c r="AP162" s="77"/>
      <c r="AQ162" s="77" t="s">
        <v>3943</v>
      </c>
      <c r="AR162" s="77"/>
      <c r="AS162" s="77"/>
      <c r="AT162" s="77"/>
      <c r="AU162" s="77"/>
      <c r="AV162" s="80" t="str">
        <f>HYPERLINK("https://pbs.twimg.com/media/ENVZkRUXYAEL5_v.jpg")</f>
        <v>https://pbs.twimg.com/media/ENVZkRUXYAEL5_v.jpg</v>
      </c>
      <c r="AW162" s="81" t="s">
        <v>4633</v>
      </c>
      <c r="AX162" s="81" t="s">
        <v>4633</v>
      </c>
      <c r="AY162" s="77"/>
      <c r="AZ162" s="81" t="s">
        <v>5773</v>
      </c>
      <c r="BA162" s="81" t="s">
        <v>5773</v>
      </c>
      <c r="BB162" s="81" t="s">
        <v>5773</v>
      </c>
      <c r="BC162" s="81" t="s">
        <v>4633</v>
      </c>
      <c r="BD162" s="77">
        <v>109868594</v>
      </c>
      <c r="BE162" s="77"/>
      <c r="BF162" s="77"/>
      <c r="BG162" s="77"/>
      <c r="BH162" s="77"/>
      <c r="BI162" s="77"/>
    </row>
    <row r="163" spans="1:61" ht="15">
      <c r="A163" s="62" t="s">
        <v>276</v>
      </c>
      <c r="B163" s="62" t="s">
        <v>276</v>
      </c>
      <c r="C163" s="63"/>
      <c r="D163" s="64"/>
      <c r="E163" s="65"/>
      <c r="F163" s="66"/>
      <c r="G163" s="63"/>
      <c r="H163" s="67"/>
      <c r="I163" s="68"/>
      <c r="J163" s="68"/>
      <c r="K163" s="32" t="s">
        <v>65</v>
      </c>
      <c r="L163" s="75">
        <v>163</v>
      </c>
      <c r="M163" s="75"/>
      <c r="N163" s="70"/>
      <c r="O163" s="77" t="s">
        <v>179</v>
      </c>
      <c r="P163" s="79">
        <v>43832.50417824074</v>
      </c>
      <c r="Q163" s="77" t="s">
        <v>699</v>
      </c>
      <c r="R163" s="77">
        <v>0</v>
      </c>
      <c r="S163" s="77">
        <v>0</v>
      </c>
      <c r="T163" s="77">
        <v>0</v>
      </c>
      <c r="U163" s="77">
        <v>0</v>
      </c>
      <c r="V163" s="77"/>
      <c r="W163" s="77"/>
      <c r="X163" s="80" t="str">
        <f>HYPERLINK("https://writeupcafe.com/blog/marketing/1212469-inovies-is-a-content-marketing-services-company-in-hyderabad/")</f>
        <v>https://writeupcafe.com/blog/marketing/1212469-inovies-is-a-content-marketing-services-company-in-hyderabad/</v>
      </c>
      <c r="Y163" s="77" t="s">
        <v>1991</v>
      </c>
      <c r="Z163" s="77"/>
      <c r="AA163" s="77" t="s">
        <v>2126</v>
      </c>
      <c r="AB163" s="77" t="s">
        <v>2696</v>
      </c>
      <c r="AC163" s="81" t="s">
        <v>2720</v>
      </c>
      <c r="AD163" s="77" t="s">
        <v>2751</v>
      </c>
      <c r="AE163" s="80" t="str">
        <f>HYPERLINK("https://twitter.com/writeupcafe/status/1212706609660600320")</f>
        <v>https://twitter.com/writeupcafe/status/1212706609660600320</v>
      </c>
      <c r="AF163" s="79">
        <v>43832.50417824074</v>
      </c>
      <c r="AG163" s="85">
        <v>43832</v>
      </c>
      <c r="AH163" s="81" t="s">
        <v>2889</v>
      </c>
      <c r="AI163" s="77" t="b">
        <v>0</v>
      </c>
      <c r="AJ163" s="77"/>
      <c r="AK163" s="77"/>
      <c r="AL163" s="77"/>
      <c r="AM163" s="77"/>
      <c r="AN163" s="77"/>
      <c r="AO163" s="77"/>
      <c r="AP163" s="77"/>
      <c r="AQ163" s="77" t="s">
        <v>3944</v>
      </c>
      <c r="AR163" s="77"/>
      <c r="AS163" s="77"/>
      <c r="AT163" s="77"/>
      <c r="AU163" s="77"/>
      <c r="AV163" s="80" t="str">
        <f>HYPERLINK("https://pbs.twimg.com/media/ENRmPB8XYAMNJf0.jpg")</f>
        <v>https://pbs.twimg.com/media/ENRmPB8XYAMNJf0.jpg</v>
      </c>
      <c r="AW163" s="81" t="s">
        <v>4634</v>
      </c>
      <c r="AX163" s="81" t="s">
        <v>4634</v>
      </c>
      <c r="AY163" s="77"/>
      <c r="AZ163" s="81" t="s">
        <v>5773</v>
      </c>
      <c r="BA163" s="81" t="s">
        <v>5773</v>
      </c>
      <c r="BB163" s="81" t="s">
        <v>5773</v>
      </c>
      <c r="BC163" s="81" t="s">
        <v>4634</v>
      </c>
      <c r="BD163" s="77">
        <v>109868594</v>
      </c>
      <c r="BE163" s="77"/>
      <c r="BF163" s="77"/>
      <c r="BG163" s="77"/>
      <c r="BH163" s="77"/>
      <c r="BI163" s="77"/>
    </row>
    <row r="164" spans="1:61" ht="15">
      <c r="A164" s="62" t="s">
        <v>276</v>
      </c>
      <c r="B164" s="62" t="s">
        <v>276</v>
      </c>
      <c r="C164" s="63"/>
      <c r="D164" s="64"/>
      <c r="E164" s="65"/>
      <c r="F164" s="66"/>
      <c r="G164" s="63"/>
      <c r="H164" s="67"/>
      <c r="I164" s="68"/>
      <c r="J164" s="68"/>
      <c r="K164" s="32" t="s">
        <v>65</v>
      </c>
      <c r="L164" s="75">
        <v>164</v>
      </c>
      <c r="M164" s="75"/>
      <c r="N164" s="70"/>
      <c r="O164" s="77" t="s">
        <v>179</v>
      </c>
      <c r="P164" s="79">
        <v>43832.50013888889</v>
      </c>
      <c r="Q164" s="77" t="s">
        <v>700</v>
      </c>
      <c r="R164" s="77">
        <v>0</v>
      </c>
      <c r="S164" s="77">
        <v>0</v>
      </c>
      <c r="T164" s="77">
        <v>0</v>
      </c>
      <c r="U164" s="77">
        <v>0</v>
      </c>
      <c r="V164" s="77"/>
      <c r="W164" s="77"/>
      <c r="X164" s="80" t="str">
        <f>HYPERLINK("https://writeupcafe.com/blog/marketing/1212466-inovies-is-a-content-marketing-services-company-in-hyderabad/")</f>
        <v>https://writeupcafe.com/blog/marketing/1212466-inovies-is-a-content-marketing-services-company-in-hyderabad/</v>
      </c>
      <c r="Y164" s="77" t="s">
        <v>1991</v>
      </c>
      <c r="Z164" s="77"/>
      <c r="AA164" s="77" t="s">
        <v>2127</v>
      </c>
      <c r="AB164" s="77" t="s">
        <v>2696</v>
      </c>
      <c r="AC164" s="81" t="s">
        <v>2720</v>
      </c>
      <c r="AD164" s="77" t="s">
        <v>2751</v>
      </c>
      <c r="AE164" s="80" t="str">
        <f>HYPERLINK("https://twitter.com/writeupcafe/status/1212705145680732160")</f>
        <v>https://twitter.com/writeupcafe/status/1212705145680732160</v>
      </c>
      <c r="AF164" s="79">
        <v>43832.50013888889</v>
      </c>
      <c r="AG164" s="85">
        <v>43832</v>
      </c>
      <c r="AH164" s="81" t="s">
        <v>2890</v>
      </c>
      <c r="AI164" s="77" t="b">
        <v>0</v>
      </c>
      <c r="AJ164" s="77"/>
      <c r="AK164" s="77"/>
      <c r="AL164" s="77"/>
      <c r="AM164" s="77"/>
      <c r="AN164" s="77"/>
      <c r="AO164" s="77"/>
      <c r="AP164" s="77"/>
      <c r="AQ164" s="77" t="s">
        <v>3945</v>
      </c>
      <c r="AR164" s="77"/>
      <c r="AS164" s="77"/>
      <c r="AT164" s="77"/>
      <c r="AU164" s="77"/>
      <c r="AV164" s="80" t="str">
        <f>HYPERLINK("https://pbs.twimg.com/media/ENRk50bXUAAT9v9.jpg")</f>
        <v>https://pbs.twimg.com/media/ENRk50bXUAAT9v9.jpg</v>
      </c>
      <c r="AW164" s="81" t="s">
        <v>4635</v>
      </c>
      <c r="AX164" s="81" t="s">
        <v>4635</v>
      </c>
      <c r="AY164" s="77"/>
      <c r="AZ164" s="81" t="s">
        <v>5773</v>
      </c>
      <c r="BA164" s="81" t="s">
        <v>5773</v>
      </c>
      <c r="BB164" s="81" t="s">
        <v>5773</v>
      </c>
      <c r="BC164" s="81" t="s">
        <v>4635</v>
      </c>
      <c r="BD164" s="77">
        <v>109868594</v>
      </c>
      <c r="BE164" s="77"/>
      <c r="BF164" s="77"/>
      <c r="BG164" s="77"/>
      <c r="BH164" s="77"/>
      <c r="BI164" s="77"/>
    </row>
    <row r="165" spans="1:61" ht="15">
      <c r="A165" s="62" t="s">
        <v>276</v>
      </c>
      <c r="B165" s="62" t="s">
        <v>276</v>
      </c>
      <c r="C165" s="63"/>
      <c r="D165" s="64"/>
      <c r="E165" s="65"/>
      <c r="F165" s="66"/>
      <c r="G165" s="63"/>
      <c r="H165" s="67"/>
      <c r="I165" s="68"/>
      <c r="J165" s="68"/>
      <c r="K165" s="32" t="s">
        <v>65</v>
      </c>
      <c r="L165" s="75">
        <v>165</v>
      </c>
      <c r="M165" s="75"/>
      <c r="N165" s="70"/>
      <c r="O165" s="77" t="s">
        <v>179</v>
      </c>
      <c r="P165" s="79">
        <v>43832.245104166665</v>
      </c>
      <c r="Q165" s="77" t="s">
        <v>701</v>
      </c>
      <c r="R165" s="77">
        <v>0</v>
      </c>
      <c r="S165" s="77">
        <v>0</v>
      </c>
      <c r="T165" s="77">
        <v>0</v>
      </c>
      <c r="U165" s="77">
        <v>0</v>
      </c>
      <c r="V165" s="77"/>
      <c r="W165" s="77"/>
      <c r="X165" s="80" t="str">
        <f>HYPERLINK("https://writeupcafe.com/blog/marketing/1212238-inovies-pay-per-click-management-service/")</f>
        <v>https://writeupcafe.com/blog/marketing/1212238-inovies-pay-per-click-management-service/</v>
      </c>
      <c r="Y165" s="77" t="s">
        <v>1991</v>
      </c>
      <c r="Z165" s="77"/>
      <c r="AA165" s="77" t="s">
        <v>2128</v>
      </c>
      <c r="AB165" s="77" t="s">
        <v>2696</v>
      </c>
      <c r="AC165" s="81" t="s">
        <v>2720</v>
      </c>
      <c r="AD165" s="77" t="s">
        <v>2759</v>
      </c>
      <c r="AE165" s="80" t="str">
        <f>HYPERLINK("https://twitter.com/writeupcafe/status/1212612726041796608")</f>
        <v>https://twitter.com/writeupcafe/status/1212612726041796608</v>
      </c>
      <c r="AF165" s="79">
        <v>43832.245104166665</v>
      </c>
      <c r="AG165" s="85">
        <v>43832</v>
      </c>
      <c r="AH165" s="81" t="s">
        <v>2891</v>
      </c>
      <c r="AI165" s="77" t="b">
        <v>0</v>
      </c>
      <c r="AJ165" s="77"/>
      <c r="AK165" s="77"/>
      <c r="AL165" s="77"/>
      <c r="AM165" s="77"/>
      <c r="AN165" s="77"/>
      <c r="AO165" s="77"/>
      <c r="AP165" s="77"/>
      <c r="AQ165" s="77" t="s">
        <v>3946</v>
      </c>
      <c r="AR165" s="77"/>
      <c r="AS165" s="77"/>
      <c r="AT165" s="77"/>
      <c r="AU165" s="77"/>
      <c r="AV165" s="80" t="str">
        <f>HYPERLINK("https://pbs.twimg.com/media/ENQQ2SLXYAEYVoY.jpg")</f>
        <v>https://pbs.twimg.com/media/ENQQ2SLXYAEYVoY.jpg</v>
      </c>
      <c r="AW165" s="81" t="s">
        <v>4636</v>
      </c>
      <c r="AX165" s="81" t="s">
        <v>4636</v>
      </c>
      <c r="AY165" s="77"/>
      <c r="AZ165" s="81" t="s">
        <v>5773</v>
      </c>
      <c r="BA165" s="81" t="s">
        <v>5773</v>
      </c>
      <c r="BB165" s="81" t="s">
        <v>5773</v>
      </c>
      <c r="BC165" s="81" t="s">
        <v>4636</v>
      </c>
      <c r="BD165" s="77">
        <v>109868594</v>
      </c>
      <c r="BE165" s="77"/>
      <c r="BF165" s="77"/>
      <c r="BG165" s="77"/>
      <c r="BH165" s="77"/>
      <c r="BI165" s="77"/>
    </row>
    <row r="166" spans="1:61" ht="15">
      <c r="A166" s="62" t="s">
        <v>276</v>
      </c>
      <c r="B166" s="62" t="s">
        <v>276</v>
      </c>
      <c r="C166" s="63"/>
      <c r="D166" s="64"/>
      <c r="E166" s="65"/>
      <c r="F166" s="66"/>
      <c r="G166" s="63"/>
      <c r="H166" s="67"/>
      <c r="I166" s="68"/>
      <c r="J166" s="68"/>
      <c r="K166" s="32" t="s">
        <v>65</v>
      </c>
      <c r="L166" s="75">
        <v>166</v>
      </c>
      <c r="M166" s="75"/>
      <c r="N166" s="70"/>
      <c r="O166" s="77" t="s">
        <v>179</v>
      </c>
      <c r="P166" s="79">
        <v>43830.40017361111</v>
      </c>
      <c r="Q166" s="77" t="s">
        <v>702</v>
      </c>
      <c r="R166" s="77">
        <v>0</v>
      </c>
      <c r="S166" s="77">
        <v>0</v>
      </c>
      <c r="T166" s="77">
        <v>0</v>
      </c>
      <c r="U166" s="77">
        <v>0</v>
      </c>
      <c r="V166" s="77"/>
      <c r="W166" s="77"/>
      <c r="X166" s="80" t="str">
        <f>HYPERLINK("https://writeupcafe.com/blog/marketing/1211983-inovies-is-a-content-marketing-strategy-company-in-hyderabad/")</f>
        <v>https://writeupcafe.com/blog/marketing/1211983-inovies-is-a-content-marketing-strategy-company-in-hyderabad/</v>
      </c>
      <c r="Y166" s="77" t="s">
        <v>1991</v>
      </c>
      <c r="Z166" s="77"/>
      <c r="AA166" s="77" t="s">
        <v>2129</v>
      </c>
      <c r="AB166" s="77" t="s">
        <v>2696</v>
      </c>
      <c r="AC166" s="81" t="s">
        <v>2720</v>
      </c>
      <c r="AD166" s="77" t="s">
        <v>2751</v>
      </c>
      <c r="AE166" s="80" t="str">
        <f>HYPERLINK("https://twitter.com/writeupcafe/status/1211944144911917062")</f>
        <v>https://twitter.com/writeupcafe/status/1211944144911917062</v>
      </c>
      <c r="AF166" s="79">
        <v>43830.40017361111</v>
      </c>
      <c r="AG166" s="85">
        <v>43830</v>
      </c>
      <c r="AH166" s="81" t="s">
        <v>2892</v>
      </c>
      <c r="AI166" s="77" t="b">
        <v>0</v>
      </c>
      <c r="AJ166" s="77"/>
      <c r="AK166" s="77"/>
      <c r="AL166" s="77"/>
      <c r="AM166" s="77"/>
      <c r="AN166" s="77"/>
      <c r="AO166" s="77"/>
      <c r="AP166" s="77"/>
      <c r="AQ166" s="77" t="s">
        <v>3947</v>
      </c>
      <c r="AR166" s="77"/>
      <c r="AS166" s="77"/>
      <c r="AT166" s="77"/>
      <c r="AU166" s="77"/>
      <c r="AV166" s="80" t="str">
        <f>HYPERLINK("https://pbs.twimg.com/media/ENGwxucX0AAvstN.jpg")</f>
        <v>https://pbs.twimg.com/media/ENGwxucX0AAvstN.jpg</v>
      </c>
      <c r="AW166" s="81" t="s">
        <v>4637</v>
      </c>
      <c r="AX166" s="81" t="s">
        <v>4637</v>
      </c>
      <c r="AY166" s="77"/>
      <c r="AZ166" s="81" t="s">
        <v>5773</v>
      </c>
      <c r="BA166" s="81" t="s">
        <v>5773</v>
      </c>
      <c r="BB166" s="81" t="s">
        <v>5773</v>
      </c>
      <c r="BC166" s="81" t="s">
        <v>4637</v>
      </c>
      <c r="BD166" s="77">
        <v>109868594</v>
      </c>
      <c r="BE166" s="77"/>
      <c r="BF166" s="77"/>
      <c r="BG166" s="77"/>
      <c r="BH166" s="77"/>
      <c r="BI166" s="77"/>
    </row>
    <row r="167" spans="1:61" ht="15">
      <c r="A167" s="62" t="s">
        <v>276</v>
      </c>
      <c r="B167" s="62" t="s">
        <v>276</v>
      </c>
      <c r="C167" s="63"/>
      <c r="D167" s="64"/>
      <c r="E167" s="65"/>
      <c r="F167" s="66"/>
      <c r="G167" s="63"/>
      <c r="H167" s="67"/>
      <c r="I167" s="68"/>
      <c r="J167" s="68"/>
      <c r="K167" s="32" t="s">
        <v>65</v>
      </c>
      <c r="L167" s="75">
        <v>167</v>
      </c>
      <c r="M167" s="75"/>
      <c r="N167" s="70"/>
      <c r="O167" s="77" t="s">
        <v>179</v>
      </c>
      <c r="P167" s="79">
        <v>43830.24366898148</v>
      </c>
      <c r="Q167" s="77" t="s">
        <v>703</v>
      </c>
      <c r="R167" s="77">
        <v>0</v>
      </c>
      <c r="S167" s="77">
        <v>1</v>
      </c>
      <c r="T167" s="77">
        <v>0</v>
      </c>
      <c r="U167" s="77">
        <v>0</v>
      </c>
      <c r="V167" s="77"/>
      <c r="W167" s="77"/>
      <c r="X167" s="80" t="str">
        <f>HYPERLINK("https://writeupcafe.com/blog/marketing/1211836-inovies-web-design-and-development-company/")</f>
        <v>https://writeupcafe.com/blog/marketing/1211836-inovies-web-design-and-development-company/</v>
      </c>
      <c r="Y167" s="77" t="s">
        <v>1991</v>
      </c>
      <c r="Z167" s="77"/>
      <c r="AA167" s="77" t="s">
        <v>2130</v>
      </c>
      <c r="AB167" s="77" t="s">
        <v>2696</v>
      </c>
      <c r="AC167" s="81" t="s">
        <v>2720</v>
      </c>
      <c r="AD167" s="77" t="s">
        <v>2751</v>
      </c>
      <c r="AE167" s="80" t="str">
        <f>HYPERLINK("https://twitter.com/writeupcafe/status/1211887427947782144")</f>
        <v>https://twitter.com/writeupcafe/status/1211887427947782144</v>
      </c>
      <c r="AF167" s="79">
        <v>43830.24366898148</v>
      </c>
      <c r="AG167" s="85">
        <v>43830</v>
      </c>
      <c r="AH167" s="81" t="s">
        <v>2893</v>
      </c>
      <c r="AI167" s="77" t="b">
        <v>0</v>
      </c>
      <c r="AJ167" s="77"/>
      <c r="AK167" s="77"/>
      <c r="AL167" s="77"/>
      <c r="AM167" s="77"/>
      <c r="AN167" s="77"/>
      <c r="AO167" s="77"/>
      <c r="AP167" s="77"/>
      <c r="AQ167" s="77" t="s">
        <v>3948</v>
      </c>
      <c r="AR167" s="77"/>
      <c r="AS167" s="77"/>
      <c r="AT167" s="77"/>
      <c r="AU167" s="77"/>
      <c r="AV167" s="80" t="str">
        <f>HYPERLINK("https://pbs.twimg.com/media/ENF9MYUWkAciJKH.jpg")</f>
        <v>https://pbs.twimg.com/media/ENF9MYUWkAciJKH.jpg</v>
      </c>
      <c r="AW167" s="81" t="s">
        <v>4638</v>
      </c>
      <c r="AX167" s="81" t="s">
        <v>4638</v>
      </c>
      <c r="AY167" s="77"/>
      <c r="AZ167" s="81" t="s">
        <v>5773</v>
      </c>
      <c r="BA167" s="81" t="s">
        <v>5773</v>
      </c>
      <c r="BB167" s="81" t="s">
        <v>5773</v>
      </c>
      <c r="BC167" s="81" t="s">
        <v>4638</v>
      </c>
      <c r="BD167" s="77">
        <v>109868594</v>
      </c>
      <c r="BE167" s="77"/>
      <c r="BF167" s="77"/>
      <c r="BG167" s="77"/>
      <c r="BH167" s="77"/>
      <c r="BI167" s="77"/>
    </row>
    <row r="168" spans="1:61" ht="15">
      <c r="A168" s="62" t="s">
        <v>276</v>
      </c>
      <c r="B168" s="62" t="s">
        <v>276</v>
      </c>
      <c r="C168" s="63"/>
      <c r="D168" s="64"/>
      <c r="E168" s="65"/>
      <c r="F168" s="66"/>
      <c r="G168" s="63"/>
      <c r="H168" s="67"/>
      <c r="I168" s="68"/>
      <c r="J168" s="68"/>
      <c r="K168" s="32" t="s">
        <v>65</v>
      </c>
      <c r="L168" s="75">
        <v>168</v>
      </c>
      <c r="M168" s="75"/>
      <c r="N168" s="70"/>
      <c r="O168" s="77" t="s">
        <v>179</v>
      </c>
      <c r="P168" s="79">
        <v>43829.49076388889</v>
      </c>
      <c r="Q168" s="77" t="s">
        <v>704</v>
      </c>
      <c r="R168" s="77">
        <v>0</v>
      </c>
      <c r="S168" s="77">
        <v>0</v>
      </c>
      <c r="T168" s="77">
        <v>0</v>
      </c>
      <c r="U168" s="77">
        <v>0</v>
      </c>
      <c r="V168" s="77"/>
      <c r="W168" s="77"/>
      <c r="X168" s="80" t="str">
        <f>HYPERLINK("https://writeupcafe.com/blog/marketing/1211754-inovies-is-a-digital-marketing-agency-in-hyderabad-2020/")</f>
        <v>https://writeupcafe.com/blog/marketing/1211754-inovies-is-a-digital-marketing-agency-in-hyderabad-2020/</v>
      </c>
      <c r="Y168" s="77" t="s">
        <v>1991</v>
      </c>
      <c r="Z168" s="77"/>
      <c r="AA168" s="77" t="s">
        <v>2131</v>
      </c>
      <c r="AB168" s="77" t="s">
        <v>2696</v>
      </c>
      <c r="AC168" s="81" t="s">
        <v>2720</v>
      </c>
      <c r="AD168" s="77" t="s">
        <v>2751</v>
      </c>
      <c r="AE168" s="80" t="str">
        <f>HYPERLINK("https://twitter.com/writeupcafe/status/1211614584362209280")</f>
        <v>https://twitter.com/writeupcafe/status/1211614584362209280</v>
      </c>
      <c r="AF168" s="79">
        <v>43829.49076388889</v>
      </c>
      <c r="AG168" s="85">
        <v>43829</v>
      </c>
      <c r="AH168" s="81" t="s">
        <v>2894</v>
      </c>
      <c r="AI168" s="77" t="b">
        <v>0</v>
      </c>
      <c r="AJ168" s="77"/>
      <c r="AK168" s="77"/>
      <c r="AL168" s="77"/>
      <c r="AM168" s="77"/>
      <c r="AN168" s="77"/>
      <c r="AO168" s="77"/>
      <c r="AP168" s="77"/>
      <c r="AQ168" s="77" t="s">
        <v>3949</v>
      </c>
      <c r="AR168" s="77"/>
      <c r="AS168" s="77"/>
      <c r="AT168" s="77"/>
      <c r="AU168" s="77"/>
      <c r="AV168" s="80" t="str">
        <f>HYPERLINK("https://pbs.twimg.com/media/ENCFCyMW4AA_kDq.jpg")</f>
        <v>https://pbs.twimg.com/media/ENCFCyMW4AA_kDq.jpg</v>
      </c>
      <c r="AW168" s="81" t="s">
        <v>4639</v>
      </c>
      <c r="AX168" s="81" t="s">
        <v>4639</v>
      </c>
      <c r="AY168" s="77"/>
      <c r="AZ168" s="81" t="s">
        <v>5773</v>
      </c>
      <c r="BA168" s="81" t="s">
        <v>5773</v>
      </c>
      <c r="BB168" s="81" t="s">
        <v>5773</v>
      </c>
      <c r="BC168" s="81" t="s">
        <v>4639</v>
      </c>
      <c r="BD168" s="77">
        <v>109868594</v>
      </c>
      <c r="BE168" s="77"/>
      <c r="BF168" s="77"/>
      <c r="BG168" s="77"/>
      <c r="BH168" s="77"/>
      <c r="BI168" s="77"/>
    </row>
    <row r="169" spans="1:61" ht="15">
      <c r="A169" s="62" t="s">
        <v>276</v>
      </c>
      <c r="B169" s="62" t="s">
        <v>276</v>
      </c>
      <c r="C169" s="63"/>
      <c r="D169" s="64"/>
      <c r="E169" s="65"/>
      <c r="F169" s="66"/>
      <c r="G169" s="63"/>
      <c r="H169" s="67"/>
      <c r="I169" s="68"/>
      <c r="J169" s="68"/>
      <c r="K169" s="32" t="s">
        <v>65</v>
      </c>
      <c r="L169" s="75">
        <v>169</v>
      </c>
      <c r="M169" s="75"/>
      <c r="N169" s="70"/>
      <c r="O169" s="77" t="s">
        <v>179</v>
      </c>
      <c r="P169" s="79">
        <v>43829.27997685185</v>
      </c>
      <c r="Q169" s="77" t="s">
        <v>705</v>
      </c>
      <c r="R169" s="77">
        <v>0</v>
      </c>
      <c r="S169" s="77">
        <v>0</v>
      </c>
      <c r="T169" s="77">
        <v>0</v>
      </c>
      <c r="U169" s="77">
        <v>0</v>
      </c>
      <c r="V169" s="77"/>
      <c r="W169" s="77"/>
      <c r="X169" s="80" t="str">
        <f>HYPERLINK("https://writeupcafe.com/blog/marketing/1211591-inovies-web-development-company/")</f>
        <v>https://writeupcafe.com/blog/marketing/1211591-inovies-web-development-company/</v>
      </c>
      <c r="Y169" s="77" t="s">
        <v>1991</v>
      </c>
      <c r="Z169" s="77"/>
      <c r="AA169" s="77" t="s">
        <v>2132</v>
      </c>
      <c r="AB169" s="77" t="s">
        <v>2696</v>
      </c>
      <c r="AC169" s="81" t="s">
        <v>2720</v>
      </c>
      <c r="AD169" s="77" t="s">
        <v>2751</v>
      </c>
      <c r="AE169" s="80" t="str">
        <f>HYPERLINK("https://twitter.com/writeupcafe/status/1211538196561104897")</f>
        <v>https://twitter.com/writeupcafe/status/1211538196561104897</v>
      </c>
      <c r="AF169" s="79">
        <v>43829.27997685185</v>
      </c>
      <c r="AG169" s="85">
        <v>43829</v>
      </c>
      <c r="AH169" s="81" t="s">
        <v>2895</v>
      </c>
      <c r="AI169" s="77" t="b">
        <v>0</v>
      </c>
      <c r="AJ169" s="77"/>
      <c r="AK169" s="77"/>
      <c r="AL169" s="77"/>
      <c r="AM169" s="77"/>
      <c r="AN169" s="77"/>
      <c r="AO169" s="77"/>
      <c r="AP169" s="77"/>
      <c r="AQ169" s="77" t="s">
        <v>3950</v>
      </c>
      <c r="AR169" s="77"/>
      <c r="AS169" s="77"/>
      <c r="AT169" s="77"/>
      <c r="AU169" s="77"/>
      <c r="AV169" s="80" t="str">
        <f>HYPERLINK("https://pbs.twimg.com/media/ENA_kcIXYAA_jFg.jpg")</f>
        <v>https://pbs.twimg.com/media/ENA_kcIXYAA_jFg.jpg</v>
      </c>
      <c r="AW169" s="81" t="s">
        <v>4640</v>
      </c>
      <c r="AX169" s="81" t="s">
        <v>4640</v>
      </c>
      <c r="AY169" s="77"/>
      <c r="AZ169" s="81" t="s">
        <v>5773</v>
      </c>
      <c r="BA169" s="81" t="s">
        <v>5773</v>
      </c>
      <c r="BB169" s="81" t="s">
        <v>5773</v>
      </c>
      <c r="BC169" s="81" t="s">
        <v>4640</v>
      </c>
      <c r="BD169" s="77">
        <v>109868594</v>
      </c>
      <c r="BE169" s="77"/>
      <c r="BF169" s="77"/>
      <c r="BG169" s="77"/>
      <c r="BH169" s="77"/>
      <c r="BI169" s="77"/>
    </row>
    <row r="170" spans="1:61" ht="15">
      <c r="A170" s="62" t="s">
        <v>276</v>
      </c>
      <c r="B170" s="62" t="s">
        <v>276</v>
      </c>
      <c r="C170" s="63"/>
      <c r="D170" s="64"/>
      <c r="E170" s="65"/>
      <c r="F170" s="66"/>
      <c r="G170" s="63"/>
      <c r="H170" s="67"/>
      <c r="I170" s="68"/>
      <c r="J170" s="68"/>
      <c r="K170" s="32" t="s">
        <v>65</v>
      </c>
      <c r="L170" s="75">
        <v>170</v>
      </c>
      <c r="M170" s="75"/>
      <c r="N170" s="70"/>
      <c r="O170" s="77" t="s">
        <v>179</v>
      </c>
      <c r="P170" s="79">
        <v>43826.293761574074</v>
      </c>
      <c r="Q170" s="77" t="s">
        <v>706</v>
      </c>
      <c r="R170" s="77">
        <v>0</v>
      </c>
      <c r="S170" s="77">
        <v>0</v>
      </c>
      <c r="T170" s="77">
        <v>0</v>
      </c>
      <c r="U170" s="77">
        <v>0</v>
      </c>
      <c r="V170" s="77"/>
      <c r="W170" s="77"/>
      <c r="X170" s="80" t="str">
        <f>HYPERLINK("https://writeupcafe.com/blog/marketing/1211048-inovies-ia-a-social-media-marketing-smm-service-company-in-hyderabad-2020/")</f>
        <v>https://writeupcafe.com/blog/marketing/1211048-inovies-ia-a-social-media-marketing-smm-service-company-in-hyderabad-2020/</v>
      </c>
      <c r="Y170" s="77" t="s">
        <v>1991</v>
      </c>
      <c r="Z170" s="77"/>
      <c r="AA170" s="77" t="s">
        <v>2133</v>
      </c>
      <c r="AB170" s="77" t="s">
        <v>2696</v>
      </c>
      <c r="AC170" s="81" t="s">
        <v>2720</v>
      </c>
      <c r="AD170" s="77" t="s">
        <v>2751</v>
      </c>
      <c r="AE170" s="80" t="str">
        <f>HYPERLINK("https://twitter.com/writeupcafe/status/1210456030565548034")</f>
        <v>https://twitter.com/writeupcafe/status/1210456030565548034</v>
      </c>
      <c r="AF170" s="79">
        <v>43826.293761574074</v>
      </c>
      <c r="AG170" s="85">
        <v>43826</v>
      </c>
      <c r="AH170" s="81" t="s">
        <v>2896</v>
      </c>
      <c r="AI170" s="77" t="b">
        <v>0</v>
      </c>
      <c r="AJ170" s="77"/>
      <c r="AK170" s="77"/>
      <c r="AL170" s="77"/>
      <c r="AM170" s="77"/>
      <c r="AN170" s="77"/>
      <c r="AO170" s="77"/>
      <c r="AP170" s="77"/>
      <c r="AQ170" s="77" t="s">
        <v>3951</v>
      </c>
      <c r="AR170" s="77"/>
      <c r="AS170" s="77"/>
      <c r="AT170" s="77"/>
      <c r="AU170" s="77"/>
      <c r="AV170" s="80" t="str">
        <f>HYPERLINK("https://pbs.twimg.com/media/EMxnWDLW4AEpspD.jpg")</f>
        <v>https://pbs.twimg.com/media/EMxnWDLW4AEpspD.jpg</v>
      </c>
      <c r="AW170" s="81" t="s">
        <v>4641</v>
      </c>
      <c r="AX170" s="81" t="s">
        <v>4641</v>
      </c>
      <c r="AY170" s="77"/>
      <c r="AZ170" s="81" t="s">
        <v>5773</v>
      </c>
      <c r="BA170" s="81" t="s">
        <v>5773</v>
      </c>
      <c r="BB170" s="81" t="s">
        <v>5773</v>
      </c>
      <c r="BC170" s="81" t="s">
        <v>4641</v>
      </c>
      <c r="BD170" s="77">
        <v>109868594</v>
      </c>
      <c r="BE170" s="77"/>
      <c r="BF170" s="77"/>
      <c r="BG170" s="77"/>
      <c r="BH170" s="77"/>
      <c r="BI170" s="77"/>
    </row>
    <row r="171" spans="1:61" ht="15">
      <c r="A171" s="62" t="s">
        <v>276</v>
      </c>
      <c r="B171" s="62" t="s">
        <v>276</v>
      </c>
      <c r="C171" s="63"/>
      <c r="D171" s="64"/>
      <c r="E171" s="65"/>
      <c r="F171" s="66"/>
      <c r="G171" s="63"/>
      <c r="H171" s="67"/>
      <c r="I171" s="68"/>
      <c r="J171" s="68"/>
      <c r="K171" s="32" t="s">
        <v>65</v>
      </c>
      <c r="L171" s="75">
        <v>171</v>
      </c>
      <c r="M171" s="75"/>
      <c r="N171" s="70"/>
      <c r="O171" s="77" t="s">
        <v>179</v>
      </c>
      <c r="P171" s="79">
        <v>43836.39179398148</v>
      </c>
      <c r="Q171" s="77" t="s">
        <v>707</v>
      </c>
      <c r="R171" s="77">
        <v>0</v>
      </c>
      <c r="S171" s="77">
        <v>0</v>
      </c>
      <c r="T171" s="77">
        <v>0</v>
      </c>
      <c r="U171" s="77">
        <v>0</v>
      </c>
      <c r="V171" s="77"/>
      <c r="W171" s="77"/>
      <c r="X171" s="80" t="str">
        <f>HYPERLINK("https://writeupcafe.com/blog/marketing/1213656-inovies-seo-services-company-based-in-hyderabad-india/")</f>
        <v>https://writeupcafe.com/blog/marketing/1213656-inovies-seo-services-company-based-in-hyderabad-india/</v>
      </c>
      <c r="Y171" s="77" t="s">
        <v>1991</v>
      </c>
      <c r="Z171" s="77"/>
      <c r="AA171" s="77" t="s">
        <v>2134</v>
      </c>
      <c r="AB171" s="77" t="s">
        <v>2696</v>
      </c>
      <c r="AC171" s="81" t="s">
        <v>2720</v>
      </c>
      <c r="AD171" s="77" t="s">
        <v>2751</v>
      </c>
      <c r="AE171" s="80" t="str">
        <f>HYPERLINK("https://twitter.com/writeupcafe/status/1214115433550188544")</f>
        <v>https://twitter.com/writeupcafe/status/1214115433550188544</v>
      </c>
      <c r="AF171" s="79">
        <v>43836.39179398148</v>
      </c>
      <c r="AG171" s="85">
        <v>43836</v>
      </c>
      <c r="AH171" s="81" t="s">
        <v>2897</v>
      </c>
      <c r="AI171" s="77" t="b">
        <v>0</v>
      </c>
      <c r="AJ171" s="77"/>
      <c r="AK171" s="77"/>
      <c r="AL171" s="77"/>
      <c r="AM171" s="77"/>
      <c r="AN171" s="77"/>
      <c r="AO171" s="77"/>
      <c r="AP171" s="77"/>
      <c r="AQ171" s="77" t="s">
        <v>3952</v>
      </c>
      <c r="AR171" s="77"/>
      <c r="AS171" s="77"/>
      <c r="AT171" s="77"/>
      <c r="AU171" s="77"/>
      <c r="AV171" s="80" t="str">
        <f>HYPERLINK("https://pbs.twimg.com/media/ENlnjXZX0AE54t8.jpg")</f>
        <v>https://pbs.twimg.com/media/ENlnjXZX0AE54t8.jpg</v>
      </c>
      <c r="AW171" s="81" t="s">
        <v>4642</v>
      </c>
      <c r="AX171" s="81" t="s">
        <v>4642</v>
      </c>
      <c r="AY171" s="77"/>
      <c r="AZ171" s="81" t="s">
        <v>5773</v>
      </c>
      <c r="BA171" s="81" t="s">
        <v>5773</v>
      </c>
      <c r="BB171" s="81" t="s">
        <v>5773</v>
      </c>
      <c r="BC171" s="81" t="s">
        <v>4642</v>
      </c>
      <c r="BD171" s="77">
        <v>109868594</v>
      </c>
      <c r="BE171" s="77"/>
      <c r="BF171" s="77"/>
      <c r="BG171" s="77"/>
      <c r="BH171" s="77"/>
      <c r="BI171" s="77"/>
    </row>
    <row r="172" spans="1:61" ht="15">
      <c r="A172" s="62" t="s">
        <v>276</v>
      </c>
      <c r="B172" s="62" t="s">
        <v>276</v>
      </c>
      <c r="C172" s="63"/>
      <c r="D172" s="64"/>
      <c r="E172" s="65"/>
      <c r="F172" s="66"/>
      <c r="G172" s="63"/>
      <c r="H172" s="67"/>
      <c r="I172" s="68"/>
      <c r="J172" s="68"/>
      <c r="K172" s="32" t="s">
        <v>65</v>
      </c>
      <c r="L172" s="75">
        <v>172</v>
      </c>
      <c r="M172" s="75"/>
      <c r="N172" s="70"/>
      <c r="O172" s="77" t="s">
        <v>179</v>
      </c>
      <c r="P172" s="79">
        <v>43834.24815972222</v>
      </c>
      <c r="Q172" s="77" t="s">
        <v>708</v>
      </c>
      <c r="R172" s="77">
        <v>0</v>
      </c>
      <c r="S172" s="77">
        <v>0</v>
      </c>
      <c r="T172" s="77">
        <v>0</v>
      </c>
      <c r="U172" s="77">
        <v>0</v>
      </c>
      <c r="V172" s="77"/>
      <c r="W172" s="77"/>
      <c r="X172" s="80" t="str">
        <f>HYPERLINK("https://writeupcafe.com/blog/marketing/1213163-inovies-is-a-content-marketing-solutions-and-digital-marketing-agencies-in-hyderabad/")</f>
        <v>https://writeupcafe.com/blog/marketing/1213163-inovies-is-a-content-marketing-solutions-and-digital-marketing-agencies-in-hyderabad/</v>
      </c>
      <c r="Y172" s="77" t="s">
        <v>1991</v>
      </c>
      <c r="Z172" s="77"/>
      <c r="AA172" s="77" t="s">
        <v>2135</v>
      </c>
      <c r="AB172" s="77" t="s">
        <v>2696</v>
      </c>
      <c r="AC172" s="81" t="s">
        <v>2720</v>
      </c>
      <c r="AD172" s="77" t="s">
        <v>2751</v>
      </c>
      <c r="AE172" s="80" t="str">
        <f>HYPERLINK("https://twitter.com/writeupcafe/status/1213338608175894528")</f>
        <v>https://twitter.com/writeupcafe/status/1213338608175894528</v>
      </c>
      <c r="AF172" s="79">
        <v>43834.24815972222</v>
      </c>
      <c r="AG172" s="85">
        <v>43834</v>
      </c>
      <c r="AH172" s="81" t="s">
        <v>2898</v>
      </c>
      <c r="AI172" s="77" t="b">
        <v>0</v>
      </c>
      <c r="AJ172" s="77"/>
      <c r="AK172" s="77"/>
      <c r="AL172" s="77"/>
      <c r="AM172" s="77"/>
      <c r="AN172" s="77"/>
      <c r="AO172" s="77"/>
      <c r="AP172" s="77"/>
      <c r="AQ172" s="77" t="s">
        <v>3953</v>
      </c>
      <c r="AR172" s="77"/>
      <c r="AS172" s="77"/>
      <c r="AT172" s="77"/>
      <c r="AU172" s="77"/>
      <c r="AV172" s="80" t="str">
        <f>HYPERLINK("https://pbs.twimg.com/media/ENalCL7WsAA1SX0.jpg")</f>
        <v>https://pbs.twimg.com/media/ENalCL7WsAA1SX0.jpg</v>
      </c>
      <c r="AW172" s="81" t="s">
        <v>4643</v>
      </c>
      <c r="AX172" s="81" t="s">
        <v>4643</v>
      </c>
      <c r="AY172" s="77"/>
      <c r="AZ172" s="81" t="s">
        <v>5773</v>
      </c>
      <c r="BA172" s="81" t="s">
        <v>5773</v>
      </c>
      <c r="BB172" s="81" t="s">
        <v>5773</v>
      </c>
      <c r="BC172" s="81" t="s">
        <v>4643</v>
      </c>
      <c r="BD172" s="77">
        <v>109868594</v>
      </c>
      <c r="BE172" s="77"/>
      <c r="BF172" s="77"/>
      <c r="BG172" s="77"/>
      <c r="BH172" s="77"/>
      <c r="BI172" s="77"/>
    </row>
    <row r="173" spans="1:61" ht="15">
      <c r="A173" s="62" t="s">
        <v>276</v>
      </c>
      <c r="B173" s="62" t="s">
        <v>276</v>
      </c>
      <c r="C173" s="63"/>
      <c r="D173" s="64"/>
      <c r="E173" s="65"/>
      <c r="F173" s="66"/>
      <c r="G173" s="63"/>
      <c r="H173" s="67"/>
      <c r="I173" s="68"/>
      <c r="J173" s="68"/>
      <c r="K173" s="32" t="s">
        <v>65</v>
      </c>
      <c r="L173" s="75">
        <v>173</v>
      </c>
      <c r="M173" s="75"/>
      <c r="N173" s="70"/>
      <c r="O173" s="77" t="s">
        <v>179</v>
      </c>
      <c r="P173" s="79">
        <v>43874.2515162037</v>
      </c>
      <c r="Q173" s="77" t="s">
        <v>709</v>
      </c>
      <c r="R173" s="77">
        <v>0</v>
      </c>
      <c r="S173" s="77">
        <v>0</v>
      </c>
      <c r="T173" s="77">
        <v>0</v>
      </c>
      <c r="U173" s="77">
        <v>0</v>
      </c>
      <c r="V173" s="77"/>
      <c r="W173" s="77"/>
      <c r="X173" s="80" t="str">
        <f>HYPERLINK("https://writeupcafe.com/blog/business/1223476-inovies-web-development-service-hyd/")</f>
        <v>https://writeupcafe.com/blog/business/1223476-inovies-web-development-service-hyd/</v>
      </c>
      <c r="Y173" s="77" t="s">
        <v>1991</v>
      </c>
      <c r="Z173" s="77"/>
      <c r="AA173" s="77" t="s">
        <v>2136</v>
      </c>
      <c r="AB173" s="77" t="s">
        <v>2696</v>
      </c>
      <c r="AC173" s="81" t="s">
        <v>2720</v>
      </c>
      <c r="AD173" s="77" t="s">
        <v>2751</v>
      </c>
      <c r="AE173" s="80" t="str">
        <f>HYPERLINK("https://twitter.com/writeupcafe/status/1227835339714129920")</f>
        <v>https://twitter.com/writeupcafe/status/1227835339714129920</v>
      </c>
      <c r="AF173" s="79">
        <v>43874.2515162037</v>
      </c>
      <c r="AG173" s="85">
        <v>43874</v>
      </c>
      <c r="AH173" s="81" t="s">
        <v>2899</v>
      </c>
      <c r="AI173" s="77" t="b">
        <v>0</v>
      </c>
      <c r="AJ173" s="77"/>
      <c r="AK173" s="77"/>
      <c r="AL173" s="77"/>
      <c r="AM173" s="77"/>
      <c r="AN173" s="77"/>
      <c r="AO173" s="77"/>
      <c r="AP173" s="77"/>
      <c r="AQ173" s="77" t="s">
        <v>3954</v>
      </c>
      <c r="AR173" s="77"/>
      <c r="AS173" s="77"/>
      <c r="AT173" s="77"/>
      <c r="AU173" s="77"/>
      <c r="AV173" s="80" t="str">
        <f>HYPERLINK("https://pbs.twimg.com/media/EQolvB1UUAEjVKy.jpg")</f>
        <v>https://pbs.twimg.com/media/EQolvB1UUAEjVKy.jpg</v>
      </c>
      <c r="AW173" s="81" t="s">
        <v>4644</v>
      </c>
      <c r="AX173" s="81" t="s">
        <v>4644</v>
      </c>
      <c r="AY173" s="77"/>
      <c r="AZ173" s="81" t="s">
        <v>5773</v>
      </c>
      <c r="BA173" s="81" t="s">
        <v>5773</v>
      </c>
      <c r="BB173" s="81" t="s">
        <v>5773</v>
      </c>
      <c r="BC173" s="81" t="s">
        <v>4644</v>
      </c>
      <c r="BD173" s="77">
        <v>109868594</v>
      </c>
      <c r="BE173" s="77"/>
      <c r="BF173" s="77"/>
      <c r="BG173" s="77"/>
      <c r="BH173" s="77"/>
      <c r="BI173" s="77"/>
    </row>
    <row r="174" spans="1:61" ht="15">
      <c r="A174" s="62" t="s">
        <v>276</v>
      </c>
      <c r="B174" s="62" t="s">
        <v>276</v>
      </c>
      <c r="C174" s="63"/>
      <c r="D174" s="64"/>
      <c r="E174" s="65"/>
      <c r="F174" s="66"/>
      <c r="G174" s="63"/>
      <c r="H174" s="67"/>
      <c r="I174" s="68"/>
      <c r="J174" s="68"/>
      <c r="K174" s="32" t="s">
        <v>65</v>
      </c>
      <c r="L174" s="75">
        <v>174</v>
      </c>
      <c r="M174" s="75"/>
      <c r="N174" s="70"/>
      <c r="O174" s="77" t="s">
        <v>179</v>
      </c>
      <c r="P174" s="79">
        <v>43873.252905092595</v>
      </c>
      <c r="Q174" s="77" t="s">
        <v>710</v>
      </c>
      <c r="R174" s="77">
        <v>0</v>
      </c>
      <c r="S174" s="77">
        <v>0</v>
      </c>
      <c r="T174" s="77">
        <v>0</v>
      </c>
      <c r="U174" s="77">
        <v>0</v>
      </c>
      <c r="V174" s="77"/>
      <c r="W174" s="77"/>
      <c r="X174" s="80" t="str">
        <f>HYPERLINK("https://writeupcafe.com/blog/social-media/1223120-inovies-social-media-marketing-agency/")</f>
        <v>https://writeupcafe.com/blog/social-media/1223120-inovies-social-media-marketing-agency/</v>
      </c>
      <c r="Y174" s="77" t="s">
        <v>1991</v>
      </c>
      <c r="Z174" s="77"/>
      <c r="AA174" s="77" t="s">
        <v>2137</v>
      </c>
      <c r="AB174" s="77" t="s">
        <v>2696</v>
      </c>
      <c r="AC174" s="81" t="s">
        <v>2720</v>
      </c>
      <c r="AD174" s="77" t="s">
        <v>2751</v>
      </c>
      <c r="AE174" s="80" t="str">
        <f>HYPERLINK("https://twitter.com/writeupcafe/status/1227473454749900800")</f>
        <v>https://twitter.com/writeupcafe/status/1227473454749900800</v>
      </c>
      <c r="AF174" s="79">
        <v>43873.252905092595</v>
      </c>
      <c r="AG174" s="85">
        <v>43873</v>
      </c>
      <c r="AH174" s="81" t="s">
        <v>2900</v>
      </c>
      <c r="AI174" s="77" t="b">
        <v>0</v>
      </c>
      <c r="AJ174" s="77"/>
      <c r="AK174" s="77"/>
      <c r="AL174" s="77"/>
      <c r="AM174" s="77"/>
      <c r="AN174" s="77"/>
      <c r="AO174" s="77"/>
      <c r="AP174" s="77"/>
      <c r="AQ174" s="77" t="s">
        <v>3955</v>
      </c>
      <c r="AR174" s="77"/>
      <c r="AS174" s="77"/>
      <c r="AT174" s="77"/>
      <c r="AU174" s="77"/>
      <c r="AV174" s="80" t="str">
        <f>HYPERLINK("https://pbs.twimg.com/media/EQjcmh3WkAET5Je.jpg")</f>
        <v>https://pbs.twimg.com/media/EQjcmh3WkAET5Je.jpg</v>
      </c>
      <c r="AW174" s="81" t="s">
        <v>4645</v>
      </c>
      <c r="AX174" s="81" t="s">
        <v>4645</v>
      </c>
      <c r="AY174" s="77"/>
      <c r="AZ174" s="81" t="s">
        <v>5773</v>
      </c>
      <c r="BA174" s="81" t="s">
        <v>5773</v>
      </c>
      <c r="BB174" s="81" t="s">
        <v>5773</v>
      </c>
      <c r="BC174" s="81" t="s">
        <v>4645</v>
      </c>
      <c r="BD174" s="77">
        <v>109868594</v>
      </c>
      <c r="BE174" s="77"/>
      <c r="BF174" s="77"/>
      <c r="BG174" s="77"/>
      <c r="BH174" s="77"/>
      <c r="BI174" s="77"/>
    </row>
    <row r="175" spans="1:61" ht="15">
      <c r="A175" s="62" t="s">
        <v>276</v>
      </c>
      <c r="B175" s="62" t="s">
        <v>276</v>
      </c>
      <c r="C175" s="63"/>
      <c r="D175" s="64"/>
      <c r="E175" s="65"/>
      <c r="F175" s="66"/>
      <c r="G175" s="63"/>
      <c r="H175" s="67"/>
      <c r="I175" s="68"/>
      <c r="J175" s="68"/>
      <c r="K175" s="32" t="s">
        <v>65</v>
      </c>
      <c r="L175" s="75">
        <v>175</v>
      </c>
      <c r="M175" s="75"/>
      <c r="N175" s="70"/>
      <c r="O175" s="77" t="s">
        <v>179</v>
      </c>
      <c r="P175" s="79">
        <v>43839.234918981485</v>
      </c>
      <c r="Q175" s="77" t="s">
        <v>711</v>
      </c>
      <c r="R175" s="77">
        <v>0</v>
      </c>
      <c r="S175" s="77">
        <v>0</v>
      </c>
      <c r="T175" s="77">
        <v>0</v>
      </c>
      <c r="U175" s="77">
        <v>0</v>
      </c>
      <c r="V175" s="77"/>
      <c r="W175" s="77"/>
      <c r="X175" s="80" t="str">
        <f>HYPERLINK("https://writeupcafe.com/blog/business/1214603-best-website-design-services-in-hyderabad-inovies/")</f>
        <v>https://writeupcafe.com/blog/business/1214603-best-website-design-services-in-hyderabad-inovies/</v>
      </c>
      <c r="Y175" s="77" t="s">
        <v>1991</v>
      </c>
      <c r="Z175" s="77"/>
      <c r="AA175" s="77" t="s">
        <v>2138</v>
      </c>
      <c r="AB175" s="77" t="s">
        <v>2696</v>
      </c>
      <c r="AC175" s="81" t="s">
        <v>2720</v>
      </c>
      <c r="AD175" s="77" t="s">
        <v>2751</v>
      </c>
      <c r="AE175" s="80" t="str">
        <f>HYPERLINK("https://twitter.com/writeupcafe/status/1215145750029422594")</f>
        <v>https://twitter.com/writeupcafe/status/1215145750029422594</v>
      </c>
      <c r="AF175" s="79">
        <v>43839.234918981485</v>
      </c>
      <c r="AG175" s="85">
        <v>43839</v>
      </c>
      <c r="AH175" s="81" t="s">
        <v>2901</v>
      </c>
      <c r="AI175" s="77" t="b">
        <v>0</v>
      </c>
      <c r="AJ175" s="77"/>
      <c r="AK175" s="77"/>
      <c r="AL175" s="77"/>
      <c r="AM175" s="77"/>
      <c r="AN175" s="77"/>
      <c r="AO175" s="77"/>
      <c r="AP175" s="77"/>
      <c r="AQ175" s="77" t="s">
        <v>3956</v>
      </c>
      <c r="AR175" s="77"/>
      <c r="AS175" s="77"/>
      <c r="AT175" s="77"/>
      <c r="AU175" s="77"/>
      <c r="AV175" s="80" t="str">
        <f>HYPERLINK("https://pbs.twimg.com/media/EN0QnsGUcAA5QfZ.jpg")</f>
        <v>https://pbs.twimg.com/media/EN0QnsGUcAA5QfZ.jpg</v>
      </c>
      <c r="AW175" s="81" t="s">
        <v>4646</v>
      </c>
      <c r="AX175" s="81" t="s">
        <v>4646</v>
      </c>
      <c r="AY175" s="77"/>
      <c r="AZ175" s="81" t="s">
        <v>5773</v>
      </c>
      <c r="BA175" s="81" t="s">
        <v>5773</v>
      </c>
      <c r="BB175" s="81" t="s">
        <v>5773</v>
      </c>
      <c r="BC175" s="81" t="s">
        <v>4646</v>
      </c>
      <c r="BD175" s="77">
        <v>109868594</v>
      </c>
      <c r="BE175" s="77"/>
      <c r="BF175" s="77"/>
      <c r="BG175" s="77"/>
      <c r="BH175" s="77"/>
      <c r="BI175" s="77"/>
    </row>
    <row r="176" spans="1:61" ht="15">
      <c r="A176" s="62" t="s">
        <v>276</v>
      </c>
      <c r="B176" s="62" t="s">
        <v>276</v>
      </c>
      <c r="C176" s="63"/>
      <c r="D176" s="64"/>
      <c r="E176" s="65"/>
      <c r="F176" s="66"/>
      <c r="G176" s="63"/>
      <c r="H176" s="67"/>
      <c r="I176" s="68"/>
      <c r="J176" s="68"/>
      <c r="K176" s="32" t="s">
        <v>65</v>
      </c>
      <c r="L176" s="75">
        <v>176</v>
      </c>
      <c r="M176" s="75"/>
      <c r="N176" s="70"/>
      <c r="O176" s="77" t="s">
        <v>179</v>
      </c>
      <c r="P176" s="79">
        <v>43838.24048611111</v>
      </c>
      <c r="Q176" s="77" t="s">
        <v>712</v>
      </c>
      <c r="R176" s="77">
        <v>0</v>
      </c>
      <c r="S176" s="77">
        <v>0</v>
      </c>
      <c r="T176" s="77">
        <v>0</v>
      </c>
      <c r="U176" s="77">
        <v>0</v>
      </c>
      <c r="V176" s="77"/>
      <c r="W176" s="77"/>
      <c r="X176" s="80" t="str">
        <f>HYPERLINK("https://writeupcafe.com/blog/business/1214246-advertising-agencies-for-business-sales-inovies/")</f>
        <v>https://writeupcafe.com/blog/business/1214246-advertising-agencies-for-business-sales-inovies/</v>
      </c>
      <c r="Y176" s="77" t="s">
        <v>1991</v>
      </c>
      <c r="Z176" s="77"/>
      <c r="AA176" s="77" t="s">
        <v>2139</v>
      </c>
      <c r="AB176" s="77" t="s">
        <v>2696</v>
      </c>
      <c r="AC176" s="81" t="s">
        <v>2720</v>
      </c>
      <c r="AD176" s="77" t="s">
        <v>2751</v>
      </c>
      <c r="AE176" s="80" t="str">
        <f>HYPERLINK("https://twitter.com/writeupcafe/status/1214785378382753792")</f>
        <v>https://twitter.com/writeupcafe/status/1214785378382753792</v>
      </c>
      <c r="AF176" s="79">
        <v>43838.24048611111</v>
      </c>
      <c r="AG176" s="85">
        <v>43838</v>
      </c>
      <c r="AH176" s="81" t="s">
        <v>2902</v>
      </c>
      <c r="AI176" s="77" t="b">
        <v>0</v>
      </c>
      <c r="AJ176" s="77"/>
      <c r="AK176" s="77"/>
      <c r="AL176" s="77"/>
      <c r="AM176" s="77"/>
      <c r="AN176" s="77"/>
      <c r="AO176" s="77"/>
      <c r="AP176" s="77"/>
      <c r="AQ176" s="77" t="s">
        <v>3957</v>
      </c>
      <c r="AR176" s="77"/>
      <c r="AS176" s="77"/>
      <c r="AT176" s="77"/>
      <c r="AU176" s="77"/>
      <c r="AV176" s="80" t="str">
        <f>HYPERLINK("https://pbs.twimg.com/media/ENvI3TQWsAAVGQA.jpg")</f>
        <v>https://pbs.twimg.com/media/ENvI3TQWsAAVGQA.jpg</v>
      </c>
      <c r="AW176" s="81" t="s">
        <v>4647</v>
      </c>
      <c r="AX176" s="81" t="s">
        <v>4647</v>
      </c>
      <c r="AY176" s="77"/>
      <c r="AZ176" s="81" t="s">
        <v>5773</v>
      </c>
      <c r="BA176" s="81" t="s">
        <v>5773</v>
      </c>
      <c r="BB176" s="81" t="s">
        <v>5773</v>
      </c>
      <c r="BC176" s="81" t="s">
        <v>4647</v>
      </c>
      <c r="BD176" s="77">
        <v>109868594</v>
      </c>
      <c r="BE176" s="77"/>
      <c r="BF176" s="77"/>
      <c r="BG176" s="77"/>
      <c r="BH176" s="77"/>
      <c r="BI176" s="77"/>
    </row>
    <row r="177" spans="1:61" ht="15">
      <c r="A177" s="62" t="s">
        <v>276</v>
      </c>
      <c r="B177" s="62" t="s">
        <v>276</v>
      </c>
      <c r="C177" s="63"/>
      <c r="D177" s="64"/>
      <c r="E177" s="65"/>
      <c r="F177" s="66"/>
      <c r="G177" s="63"/>
      <c r="H177" s="67"/>
      <c r="I177" s="68"/>
      <c r="J177" s="68"/>
      <c r="K177" s="32" t="s">
        <v>65</v>
      </c>
      <c r="L177" s="75">
        <v>177</v>
      </c>
      <c r="M177" s="75"/>
      <c r="N177" s="70"/>
      <c r="O177" s="77" t="s">
        <v>179</v>
      </c>
      <c r="P177" s="79">
        <v>43837.398726851854</v>
      </c>
      <c r="Q177" s="77" t="s">
        <v>713</v>
      </c>
      <c r="R177" s="77">
        <v>0</v>
      </c>
      <c r="S177" s="77">
        <v>0</v>
      </c>
      <c r="T177" s="77">
        <v>0</v>
      </c>
      <c r="U177" s="77">
        <v>0</v>
      </c>
      <c r="V177" s="77"/>
      <c r="W177" s="77"/>
      <c r="X177" s="80" t="str">
        <f>HYPERLINK("https://writeupcafe.com/blog/marketing/1214041-inovies-is-one-of-the-best-website-content-writing-services-in-hyderabad/")</f>
        <v>https://writeupcafe.com/blog/marketing/1214041-inovies-is-one-of-the-best-website-content-writing-services-in-hyderabad/</v>
      </c>
      <c r="Y177" s="77" t="s">
        <v>1991</v>
      </c>
      <c r="Z177" s="77"/>
      <c r="AA177" s="77" t="s">
        <v>2140</v>
      </c>
      <c r="AB177" s="77" t="s">
        <v>2696</v>
      </c>
      <c r="AC177" s="81" t="s">
        <v>2720</v>
      </c>
      <c r="AD177" s="77" t="s">
        <v>2751</v>
      </c>
      <c r="AE177" s="80" t="str">
        <f>HYPERLINK("https://twitter.com/writeupcafe/status/1214480335930572800")</f>
        <v>https://twitter.com/writeupcafe/status/1214480335930572800</v>
      </c>
      <c r="AF177" s="79">
        <v>43837.398726851854</v>
      </c>
      <c r="AG177" s="85">
        <v>43837</v>
      </c>
      <c r="AH177" s="81" t="s">
        <v>2903</v>
      </c>
      <c r="AI177" s="77" t="b">
        <v>0</v>
      </c>
      <c r="AJ177" s="77"/>
      <c r="AK177" s="77"/>
      <c r="AL177" s="77"/>
      <c r="AM177" s="77"/>
      <c r="AN177" s="77"/>
      <c r="AO177" s="77"/>
      <c r="AP177" s="77"/>
      <c r="AQ177" s="77" t="s">
        <v>3958</v>
      </c>
      <c r="AR177" s="77"/>
      <c r="AS177" s="77"/>
      <c r="AT177" s="77"/>
      <c r="AU177" s="77"/>
      <c r="AV177" s="80" t="str">
        <f>HYPERLINK("https://pbs.twimg.com/media/ENqzbffW4AEdf3I.jpg")</f>
        <v>https://pbs.twimg.com/media/ENqzbffW4AEdf3I.jpg</v>
      </c>
      <c r="AW177" s="81" t="s">
        <v>4648</v>
      </c>
      <c r="AX177" s="81" t="s">
        <v>4648</v>
      </c>
      <c r="AY177" s="77"/>
      <c r="AZ177" s="81" t="s">
        <v>5773</v>
      </c>
      <c r="BA177" s="81" t="s">
        <v>5773</v>
      </c>
      <c r="BB177" s="81" t="s">
        <v>5773</v>
      </c>
      <c r="BC177" s="81" t="s">
        <v>4648</v>
      </c>
      <c r="BD177" s="77">
        <v>109868594</v>
      </c>
      <c r="BE177" s="77"/>
      <c r="BF177" s="77"/>
      <c r="BG177" s="77"/>
      <c r="BH177" s="77"/>
      <c r="BI177" s="77"/>
    </row>
    <row r="178" spans="1:61" ht="15">
      <c r="A178" s="62" t="s">
        <v>276</v>
      </c>
      <c r="B178" s="62" t="s">
        <v>276</v>
      </c>
      <c r="C178" s="63"/>
      <c r="D178" s="64"/>
      <c r="E178" s="65"/>
      <c r="F178" s="66"/>
      <c r="G178" s="63"/>
      <c r="H178" s="67"/>
      <c r="I178" s="68"/>
      <c r="J178" s="68"/>
      <c r="K178" s="32" t="s">
        <v>65</v>
      </c>
      <c r="L178" s="75">
        <v>178</v>
      </c>
      <c r="M178" s="75"/>
      <c r="N178" s="70"/>
      <c r="O178" s="77" t="s">
        <v>179</v>
      </c>
      <c r="P178" s="79">
        <v>43809.438310185185</v>
      </c>
      <c r="Q178" s="77" t="s">
        <v>714</v>
      </c>
      <c r="R178" s="77">
        <v>0</v>
      </c>
      <c r="S178" s="77">
        <v>0</v>
      </c>
      <c r="T178" s="77">
        <v>0</v>
      </c>
      <c r="U178" s="77">
        <v>0</v>
      </c>
      <c r="V178" s="77"/>
      <c r="W178" s="77"/>
      <c r="X178" s="80" t="str">
        <f>HYPERLINK("https://writeupcafe.com/blog/marketing/1206692-inovies-is-best-digital-marketing-agency-seo-sem-services-in-hyderabad/")</f>
        <v>https://writeupcafe.com/blog/marketing/1206692-inovies-is-best-digital-marketing-agency-seo-sem-services-in-hyderabad/</v>
      </c>
      <c r="Y178" s="77" t="s">
        <v>1991</v>
      </c>
      <c r="Z178" s="77"/>
      <c r="AA178" s="77" t="s">
        <v>2141</v>
      </c>
      <c r="AB178" s="77" t="s">
        <v>2696</v>
      </c>
      <c r="AC178" s="81" t="s">
        <v>2720</v>
      </c>
      <c r="AD178" s="77" t="s">
        <v>2751</v>
      </c>
      <c r="AE178" s="80" t="str">
        <f>HYPERLINK("https://twitter.com/writeupcafe/status/1204347819315912704")</f>
        <v>https://twitter.com/writeupcafe/status/1204347819315912704</v>
      </c>
      <c r="AF178" s="79">
        <v>43809.438310185185</v>
      </c>
      <c r="AG178" s="85">
        <v>43809</v>
      </c>
      <c r="AH178" s="81" t="s">
        <v>2904</v>
      </c>
      <c r="AI178" s="77" t="b">
        <v>0</v>
      </c>
      <c r="AJ178" s="77"/>
      <c r="AK178" s="77"/>
      <c r="AL178" s="77"/>
      <c r="AM178" s="77"/>
      <c r="AN178" s="77"/>
      <c r="AO178" s="77"/>
      <c r="AP178" s="77"/>
      <c r="AQ178" s="77" t="s">
        <v>3959</v>
      </c>
      <c r="AR178" s="77"/>
      <c r="AS178" s="77"/>
      <c r="AT178" s="77"/>
      <c r="AU178" s="77"/>
      <c r="AV178" s="80" t="str">
        <f>HYPERLINK("https://pbs.twimg.com/media/ELaz9YRXkAILow7.jpg")</f>
        <v>https://pbs.twimg.com/media/ELaz9YRXkAILow7.jpg</v>
      </c>
      <c r="AW178" s="81" t="s">
        <v>4649</v>
      </c>
      <c r="AX178" s="81" t="s">
        <v>4649</v>
      </c>
      <c r="AY178" s="77"/>
      <c r="AZ178" s="81" t="s">
        <v>5773</v>
      </c>
      <c r="BA178" s="81" t="s">
        <v>5773</v>
      </c>
      <c r="BB178" s="81" t="s">
        <v>5773</v>
      </c>
      <c r="BC178" s="81" t="s">
        <v>4649</v>
      </c>
      <c r="BD178" s="77">
        <v>109868594</v>
      </c>
      <c r="BE178" s="77"/>
      <c r="BF178" s="77"/>
      <c r="BG178" s="77"/>
      <c r="BH178" s="77"/>
      <c r="BI178" s="77"/>
    </row>
    <row r="179" spans="1:61" ht="15">
      <c r="A179" s="62" t="s">
        <v>276</v>
      </c>
      <c r="B179" s="62" t="s">
        <v>276</v>
      </c>
      <c r="C179" s="63"/>
      <c r="D179" s="64"/>
      <c r="E179" s="65"/>
      <c r="F179" s="66"/>
      <c r="G179" s="63"/>
      <c r="H179" s="67"/>
      <c r="I179" s="68"/>
      <c r="J179" s="68"/>
      <c r="K179" s="32" t="s">
        <v>65</v>
      </c>
      <c r="L179" s="75">
        <v>179</v>
      </c>
      <c r="M179" s="75"/>
      <c r="N179" s="70"/>
      <c r="O179" s="77" t="s">
        <v>179</v>
      </c>
      <c r="P179" s="79">
        <v>43808.53444444444</v>
      </c>
      <c r="Q179" s="77" t="s">
        <v>715</v>
      </c>
      <c r="R179" s="77">
        <v>0</v>
      </c>
      <c r="S179" s="77">
        <v>0</v>
      </c>
      <c r="T179" s="77">
        <v>0</v>
      </c>
      <c r="U179" s="77">
        <v>0</v>
      </c>
      <c r="V179" s="77"/>
      <c r="W179" s="77"/>
      <c r="X179" s="80" t="str">
        <f>HYPERLINK("https://writeupcafe.com/blog/visual-design/1206461-inovies-is-best-website-design-company-2/")</f>
        <v>https://writeupcafe.com/blog/visual-design/1206461-inovies-is-best-website-design-company-2/</v>
      </c>
      <c r="Y179" s="77" t="s">
        <v>1991</v>
      </c>
      <c r="Z179" s="77"/>
      <c r="AA179" s="77" t="s">
        <v>2142</v>
      </c>
      <c r="AB179" s="77" t="s">
        <v>2696</v>
      </c>
      <c r="AC179" s="81" t="s">
        <v>2720</v>
      </c>
      <c r="AD179" s="77" t="s">
        <v>2751</v>
      </c>
      <c r="AE179" s="80" t="str">
        <f>HYPERLINK("https://twitter.com/writeupcafe/status/1204020267552366592")</f>
        <v>https://twitter.com/writeupcafe/status/1204020267552366592</v>
      </c>
      <c r="AF179" s="79">
        <v>43808.53444444444</v>
      </c>
      <c r="AG179" s="85">
        <v>43808</v>
      </c>
      <c r="AH179" s="81" t="s">
        <v>2905</v>
      </c>
      <c r="AI179" s="77" t="b">
        <v>0</v>
      </c>
      <c r="AJ179" s="77"/>
      <c r="AK179" s="77"/>
      <c r="AL179" s="77"/>
      <c r="AM179" s="77"/>
      <c r="AN179" s="77"/>
      <c r="AO179" s="77"/>
      <c r="AP179" s="77"/>
      <c r="AQ179" s="77" t="s">
        <v>3960</v>
      </c>
      <c r="AR179" s="77"/>
      <c r="AS179" s="77"/>
      <c r="AT179" s="77"/>
      <c r="AU179" s="77"/>
      <c r="AV179" s="80" t="str">
        <f>HYPERLINK("https://pbs.twimg.com/media/ELWKDX9UYAAMufF.jpg")</f>
        <v>https://pbs.twimg.com/media/ELWKDX9UYAAMufF.jpg</v>
      </c>
      <c r="AW179" s="81" t="s">
        <v>4650</v>
      </c>
      <c r="AX179" s="81" t="s">
        <v>4650</v>
      </c>
      <c r="AY179" s="77"/>
      <c r="AZ179" s="81" t="s">
        <v>5773</v>
      </c>
      <c r="BA179" s="81" t="s">
        <v>5773</v>
      </c>
      <c r="BB179" s="81" t="s">
        <v>5773</v>
      </c>
      <c r="BC179" s="81" t="s">
        <v>4650</v>
      </c>
      <c r="BD179" s="77">
        <v>109868594</v>
      </c>
      <c r="BE179" s="77"/>
      <c r="BF179" s="77"/>
      <c r="BG179" s="77"/>
      <c r="BH179" s="77"/>
      <c r="BI179" s="77"/>
    </row>
    <row r="180" spans="1:61" ht="15">
      <c r="A180" s="62" t="s">
        <v>276</v>
      </c>
      <c r="B180" s="62" t="s">
        <v>276</v>
      </c>
      <c r="C180" s="63"/>
      <c r="D180" s="64"/>
      <c r="E180" s="65"/>
      <c r="F180" s="66"/>
      <c r="G180" s="63"/>
      <c r="H180" s="67"/>
      <c r="I180" s="68"/>
      <c r="J180" s="68"/>
      <c r="K180" s="32" t="s">
        <v>65</v>
      </c>
      <c r="L180" s="75">
        <v>180</v>
      </c>
      <c r="M180" s="75"/>
      <c r="N180" s="70"/>
      <c r="O180" s="77" t="s">
        <v>179</v>
      </c>
      <c r="P180" s="79">
        <v>43808.52777777778</v>
      </c>
      <c r="Q180" s="77" t="s">
        <v>716</v>
      </c>
      <c r="R180" s="77">
        <v>0</v>
      </c>
      <c r="S180" s="77">
        <v>0</v>
      </c>
      <c r="T180" s="77">
        <v>0</v>
      </c>
      <c r="U180" s="77">
        <v>0</v>
      </c>
      <c r="V180" s="77"/>
      <c r="W180" s="77"/>
      <c r="X180" s="80" t="str">
        <f>HYPERLINK("https://writeupcafe.com/blog/marketing/1206456-inovies-is-best-digital-marketing-services-in-hyderabad/")</f>
        <v>https://writeupcafe.com/blog/marketing/1206456-inovies-is-best-digital-marketing-services-in-hyderabad/</v>
      </c>
      <c r="Y180" s="77" t="s">
        <v>1991</v>
      </c>
      <c r="Z180" s="77"/>
      <c r="AA180" s="77" t="s">
        <v>2143</v>
      </c>
      <c r="AB180" s="77" t="s">
        <v>2696</v>
      </c>
      <c r="AC180" s="81" t="s">
        <v>2720</v>
      </c>
      <c r="AD180" s="77" t="s">
        <v>2751</v>
      </c>
      <c r="AE180" s="80" t="str">
        <f>HYPERLINK("https://twitter.com/writeupcafe/status/1204017854401699840")</f>
        <v>https://twitter.com/writeupcafe/status/1204017854401699840</v>
      </c>
      <c r="AF180" s="79">
        <v>43808.52777777778</v>
      </c>
      <c r="AG180" s="85">
        <v>43808</v>
      </c>
      <c r="AH180" s="81" t="s">
        <v>2838</v>
      </c>
      <c r="AI180" s="77" t="b">
        <v>0</v>
      </c>
      <c r="AJ180" s="77"/>
      <c r="AK180" s="77"/>
      <c r="AL180" s="77"/>
      <c r="AM180" s="77"/>
      <c r="AN180" s="77"/>
      <c r="AO180" s="77"/>
      <c r="AP180" s="77"/>
      <c r="AQ180" s="77" t="s">
        <v>3961</v>
      </c>
      <c r="AR180" s="77"/>
      <c r="AS180" s="77"/>
      <c r="AT180" s="77"/>
      <c r="AU180" s="77"/>
      <c r="AV180" s="80" t="str">
        <f>HYPERLINK("https://pbs.twimg.com/media/ELWH26VXYAAxVz1.jpg")</f>
        <v>https://pbs.twimg.com/media/ELWH26VXYAAxVz1.jpg</v>
      </c>
      <c r="AW180" s="81" t="s">
        <v>4651</v>
      </c>
      <c r="AX180" s="81" t="s">
        <v>4651</v>
      </c>
      <c r="AY180" s="77"/>
      <c r="AZ180" s="81" t="s">
        <v>5773</v>
      </c>
      <c r="BA180" s="81" t="s">
        <v>5773</v>
      </c>
      <c r="BB180" s="81" t="s">
        <v>5773</v>
      </c>
      <c r="BC180" s="81" t="s">
        <v>4651</v>
      </c>
      <c r="BD180" s="77">
        <v>109868594</v>
      </c>
      <c r="BE180" s="77"/>
      <c r="BF180" s="77"/>
      <c r="BG180" s="77"/>
      <c r="BH180" s="77"/>
      <c r="BI180" s="77"/>
    </row>
    <row r="181" spans="1:61" ht="15">
      <c r="A181" s="62" t="s">
        <v>276</v>
      </c>
      <c r="B181" s="62" t="s">
        <v>276</v>
      </c>
      <c r="C181" s="63"/>
      <c r="D181" s="64"/>
      <c r="E181" s="65"/>
      <c r="F181" s="66"/>
      <c r="G181" s="63"/>
      <c r="H181" s="67"/>
      <c r="I181" s="68"/>
      <c r="J181" s="68"/>
      <c r="K181" s="32" t="s">
        <v>65</v>
      </c>
      <c r="L181" s="75">
        <v>181</v>
      </c>
      <c r="M181" s="75"/>
      <c r="N181" s="70"/>
      <c r="O181" s="77" t="s">
        <v>179</v>
      </c>
      <c r="P181" s="79">
        <v>43805.433020833334</v>
      </c>
      <c r="Q181" s="77" t="s">
        <v>717</v>
      </c>
      <c r="R181" s="77">
        <v>0</v>
      </c>
      <c r="S181" s="77">
        <v>0</v>
      </c>
      <c r="T181" s="77">
        <v>0</v>
      </c>
      <c r="U181" s="77">
        <v>0</v>
      </c>
      <c r="V181" s="77"/>
      <c r="W181" s="77"/>
      <c r="X181" s="80" t="str">
        <f>HYPERLINK("https://writeupcafe.com/blog/visual-design/1206056-inovies-is-best-website-design-company/")</f>
        <v>https://writeupcafe.com/blog/visual-design/1206056-inovies-is-best-website-design-company/</v>
      </c>
      <c r="Y181" s="77" t="s">
        <v>1991</v>
      </c>
      <c r="Z181" s="77"/>
      <c r="AA181" s="77" t="s">
        <v>2144</v>
      </c>
      <c r="AB181" s="77" t="s">
        <v>2696</v>
      </c>
      <c r="AC181" s="81" t="s">
        <v>2720</v>
      </c>
      <c r="AD181" s="77" t="s">
        <v>2751</v>
      </c>
      <c r="AE181" s="80" t="str">
        <f>HYPERLINK("https://twitter.com/writeupcafe/status/1202896351199145985")</f>
        <v>https://twitter.com/writeupcafe/status/1202896351199145985</v>
      </c>
      <c r="AF181" s="79">
        <v>43805.433020833334</v>
      </c>
      <c r="AG181" s="85">
        <v>43805</v>
      </c>
      <c r="AH181" s="81" t="s">
        <v>2906</v>
      </c>
      <c r="AI181" s="77" t="b">
        <v>0</v>
      </c>
      <c r="AJ181" s="77"/>
      <c r="AK181" s="77"/>
      <c r="AL181" s="77"/>
      <c r="AM181" s="77"/>
      <c r="AN181" s="77"/>
      <c r="AO181" s="77"/>
      <c r="AP181" s="77"/>
      <c r="AQ181" s="77" t="s">
        <v>3962</v>
      </c>
      <c r="AR181" s="77"/>
      <c r="AS181" s="77"/>
      <c r="AT181" s="77"/>
      <c r="AU181" s="77"/>
      <c r="AV181" s="80" t="str">
        <f>HYPERLINK("https://pbs.twimg.com/media/ELGL20_XYAA0lSl.jpg")</f>
        <v>https://pbs.twimg.com/media/ELGL20_XYAA0lSl.jpg</v>
      </c>
      <c r="AW181" s="81" t="s">
        <v>4652</v>
      </c>
      <c r="AX181" s="81" t="s">
        <v>4652</v>
      </c>
      <c r="AY181" s="77"/>
      <c r="AZ181" s="81" t="s">
        <v>5773</v>
      </c>
      <c r="BA181" s="81" t="s">
        <v>5773</v>
      </c>
      <c r="BB181" s="81" t="s">
        <v>5773</v>
      </c>
      <c r="BC181" s="81" t="s">
        <v>4652</v>
      </c>
      <c r="BD181" s="77">
        <v>109868594</v>
      </c>
      <c r="BE181" s="77"/>
      <c r="BF181" s="77"/>
      <c r="BG181" s="77"/>
      <c r="BH181" s="77"/>
      <c r="BI181" s="77"/>
    </row>
    <row r="182" spans="1:61" ht="15">
      <c r="A182" s="62" t="s">
        <v>276</v>
      </c>
      <c r="B182" s="62" t="s">
        <v>276</v>
      </c>
      <c r="C182" s="63"/>
      <c r="D182" s="64"/>
      <c r="E182" s="65"/>
      <c r="F182" s="66"/>
      <c r="G182" s="63"/>
      <c r="H182" s="67"/>
      <c r="I182" s="68"/>
      <c r="J182" s="68"/>
      <c r="K182" s="32" t="s">
        <v>65</v>
      </c>
      <c r="L182" s="75">
        <v>182</v>
      </c>
      <c r="M182" s="75"/>
      <c r="N182" s="70"/>
      <c r="O182" s="77" t="s">
        <v>179</v>
      </c>
      <c r="P182" s="79">
        <v>43805.42643518518</v>
      </c>
      <c r="Q182" s="77" t="s">
        <v>718</v>
      </c>
      <c r="R182" s="77">
        <v>0</v>
      </c>
      <c r="S182" s="77">
        <v>0</v>
      </c>
      <c r="T182" s="77">
        <v>0</v>
      </c>
      <c r="U182" s="77">
        <v>0</v>
      </c>
      <c r="V182" s="77"/>
      <c r="W182" s="77"/>
      <c r="X182" s="80" t="str">
        <f>HYPERLINK("https://writeupcafe.com/blog/marketing/1206053-inovies-is-top-digital-marketing-agency-in-hyderabad/")</f>
        <v>https://writeupcafe.com/blog/marketing/1206053-inovies-is-top-digital-marketing-agency-in-hyderabad/</v>
      </c>
      <c r="Y182" s="77" t="s">
        <v>1991</v>
      </c>
      <c r="Z182" s="77"/>
      <c r="AA182" s="77" t="s">
        <v>2145</v>
      </c>
      <c r="AB182" s="77" t="s">
        <v>2696</v>
      </c>
      <c r="AC182" s="81" t="s">
        <v>2720</v>
      </c>
      <c r="AD182" s="77" t="s">
        <v>2751</v>
      </c>
      <c r="AE182" s="80" t="str">
        <f>HYPERLINK("https://twitter.com/writeupcafe/status/1202893962836684801")</f>
        <v>https://twitter.com/writeupcafe/status/1202893962836684801</v>
      </c>
      <c r="AF182" s="79">
        <v>43805.42643518518</v>
      </c>
      <c r="AG182" s="85">
        <v>43805</v>
      </c>
      <c r="AH182" s="81" t="s">
        <v>2907</v>
      </c>
      <c r="AI182" s="77" t="b">
        <v>0</v>
      </c>
      <c r="AJ182" s="77"/>
      <c r="AK182" s="77"/>
      <c r="AL182" s="77"/>
      <c r="AM182" s="77"/>
      <c r="AN182" s="77"/>
      <c r="AO182" s="77"/>
      <c r="AP182" s="77"/>
      <c r="AQ182" s="77" t="s">
        <v>3963</v>
      </c>
      <c r="AR182" s="77"/>
      <c r="AS182" s="77"/>
      <c r="AT182" s="77"/>
      <c r="AU182" s="77"/>
      <c r="AV182" s="80" t="str">
        <f>HYPERLINK("https://pbs.twimg.com/media/ELGJrzaWkAE3lBe.jpg")</f>
        <v>https://pbs.twimg.com/media/ELGJrzaWkAE3lBe.jpg</v>
      </c>
      <c r="AW182" s="81" t="s">
        <v>4653</v>
      </c>
      <c r="AX182" s="81" t="s">
        <v>4653</v>
      </c>
      <c r="AY182" s="77"/>
      <c r="AZ182" s="81" t="s">
        <v>5773</v>
      </c>
      <c r="BA182" s="81" t="s">
        <v>5773</v>
      </c>
      <c r="BB182" s="81" t="s">
        <v>5773</v>
      </c>
      <c r="BC182" s="81" t="s">
        <v>4653</v>
      </c>
      <c r="BD182" s="77">
        <v>109868594</v>
      </c>
      <c r="BE182" s="77"/>
      <c r="BF182" s="77"/>
      <c r="BG182" s="77"/>
      <c r="BH182" s="77"/>
      <c r="BI182" s="77"/>
    </row>
    <row r="183" spans="1:61" ht="15">
      <c r="A183" s="62" t="s">
        <v>276</v>
      </c>
      <c r="B183" s="62" t="s">
        <v>276</v>
      </c>
      <c r="C183" s="63"/>
      <c r="D183" s="64"/>
      <c r="E183" s="65"/>
      <c r="F183" s="66"/>
      <c r="G183" s="63"/>
      <c r="H183" s="67"/>
      <c r="I183" s="68"/>
      <c r="J183" s="68"/>
      <c r="K183" s="32" t="s">
        <v>65</v>
      </c>
      <c r="L183" s="75">
        <v>183</v>
      </c>
      <c r="M183" s="75"/>
      <c r="N183" s="70"/>
      <c r="O183" s="77" t="s">
        <v>179</v>
      </c>
      <c r="P183" s="79">
        <v>43804.25990740741</v>
      </c>
      <c r="Q183" s="77" t="s">
        <v>719</v>
      </c>
      <c r="R183" s="77">
        <v>0</v>
      </c>
      <c r="S183" s="77">
        <v>0</v>
      </c>
      <c r="T183" s="77">
        <v>0</v>
      </c>
      <c r="U183" s="77">
        <v>0</v>
      </c>
      <c r="V183" s="77"/>
      <c r="W183" s="77"/>
      <c r="X183" s="80" t="str">
        <f>HYPERLINK("https://writeupcafe.com/blog/visual-design/1205665-inovies-is-top-most-best-web-designing-company-based-in-hyderabad-india/")</f>
        <v>https://writeupcafe.com/blog/visual-design/1205665-inovies-is-top-most-best-web-designing-company-based-in-hyderabad-india/</v>
      </c>
      <c r="Y183" s="77" t="s">
        <v>1991</v>
      </c>
      <c r="Z183" s="77"/>
      <c r="AA183" s="77" t="s">
        <v>2146</v>
      </c>
      <c r="AB183" s="77" t="s">
        <v>2696</v>
      </c>
      <c r="AC183" s="81" t="s">
        <v>2720</v>
      </c>
      <c r="AD183" s="77" t="s">
        <v>2751</v>
      </c>
      <c r="AE183" s="80" t="str">
        <f>HYPERLINK("https://twitter.com/writeupcafe/status/1202471229006983168")</f>
        <v>https://twitter.com/writeupcafe/status/1202471229006983168</v>
      </c>
      <c r="AF183" s="79">
        <v>43804.25990740741</v>
      </c>
      <c r="AG183" s="85">
        <v>43804</v>
      </c>
      <c r="AH183" s="81" t="s">
        <v>2908</v>
      </c>
      <c r="AI183" s="77" t="b">
        <v>0</v>
      </c>
      <c r="AJ183" s="77"/>
      <c r="AK183" s="77"/>
      <c r="AL183" s="77"/>
      <c r="AM183" s="77"/>
      <c r="AN183" s="77"/>
      <c r="AO183" s="77"/>
      <c r="AP183" s="77"/>
      <c r="AQ183" s="77" t="s">
        <v>3964</v>
      </c>
      <c r="AR183" s="77"/>
      <c r="AS183" s="77"/>
      <c r="AT183" s="77"/>
      <c r="AU183" s="77"/>
      <c r="AV183" s="80" t="str">
        <f>HYPERLINK("https://pbs.twimg.com/media/ELAJNdkXkAAuoWs.jpg")</f>
        <v>https://pbs.twimg.com/media/ELAJNdkXkAAuoWs.jpg</v>
      </c>
      <c r="AW183" s="81" t="s">
        <v>4654</v>
      </c>
      <c r="AX183" s="81" t="s">
        <v>4654</v>
      </c>
      <c r="AY183" s="77"/>
      <c r="AZ183" s="81" t="s">
        <v>5773</v>
      </c>
      <c r="BA183" s="81" t="s">
        <v>5773</v>
      </c>
      <c r="BB183" s="81" t="s">
        <v>5773</v>
      </c>
      <c r="BC183" s="81" t="s">
        <v>4654</v>
      </c>
      <c r="BD183" s="77">
        <v>109868594</v>
      </c>
      <c r="BE183" s="77"/>
      <c r="BF183" s="77"/>
      <c r="BG183" s="77"/>
      <c r="BH183" s="77"/>
      <c r="BI183" s="77"/>
    </row>
    <row r="184" spans="1:61" ht="15">
      <c r="A184" s="62" t="s">
        <v>276</v>
      </c>
      <c r="B184" s="62" t="s">
        <v>276</v>
      </c>
      <c r="C184" s="63"/>
      <c r="D184" s="64"/>
      <c r="E184" s="65"/>
      <c r="F184" s="66"/>
      <c r="G184" s="63"/>
      <c r="H184" s="67"/>
      <c r="I184" s="68"/>
      <c r="J184" s="68"/>
      <c r="K184" s="32" t="s">
        <v>65</v>
      </c>
      <c r="L184" s="75">
        <v>184</v>
      </c>
      <c r="M184" s="75"/>
      <c r="N184" s="70"/>
      <c r="O184" s="77" t="s">
        <v>179</v>
      </c>
      <c r="P184" s="79">
        <v>43804.23920138889</v>
      </c>
      <c r="Q184" s="77" t="s">
        <v>720</v>
      </c>
      <c r="R184" s="77">
        <v>0</v>
      </c>
      <c r="S184" s="77">
        <v>0</v>
      </c>
      <c r="T184" s="77">
        <v>0</v>
      </c>
      <c r="U184" s="77">
        <v>0</v>
      </c>
      <c r="V184" s="77"/>
      <c r="W184" s="77"/>
      <c r="X184" s="80" t="str">
        <f>HYPERLINK("https://writeupcafe.com/blog/business/1205656-digital-marketing-seo-service-inovies/")</f>
        <v>https://writeupcafe.com/blog/business/1205656-digital-marketing-seo-service-inovies/</v>
      </c>
      <c r="Y184" s="77" t="s">
        <v>1991</v>
      </c>
      <c r="Z184" s="77"/>
      <c r="AA184" s="77" t="s">
        <v>2147</v>
      </c>
      <c r="AB184" s="77" t="s">
        <v>2696</v>
      </c>
      <c r="AC184" s="81" t="s">
        <v>2720</v>
      </c>
      <c r="AD184" s="77" t="s">
        <v>2755</v>
      </c>
      <c r="AE184" s="80" t="str">
        <f>HYPERLINK("https://twitter.com/writeupcafe/status/1202463724310843393")</f>
        <v>https://twitter.com/writeupcafe/status/1202463724310843393</v>
      </c>
      <c r="AF184" s="79">
        <v>43804.23920138889</v>
      </c>
      <c r="AG184" s="85">
        <v>43804</v>
      </c>
      <c r="AH184" s="81" t="s">
        <v>2909</v>
      </c>
      <c r="AI184" s="77" t="b">
        <v>0</v>
      </c>
      <c r="AJ184" s="77"/>
      <c r="AK184" s="77"/>
      <c r="AL184" s="77"/>
      <c r="AM184" s="77"/>
      <c r="AN184" s="77"/>
      <c r="AO184" s="77"/>
      <c r="AP184" s="77"/>
      <c r="AQ184" s="77" t="s">
        <v>3965</v>
      </c>
      <c r="AR184" s="77"/>
      <c r="AS184" s="77"/>
      <c r="AT184" s="77"/>
      <c r="AU184" s="77"/>
      <c r="AV184" s="80" t="str">
        <f>HYPERLINK("https://pbs.twimg.com/media/ELACYo7WoAAMmtT.png")</f>
        <v>https://pbs.twimg.com/media/ELACYo7WoAAMmtT.png</v>
      </c>
      <c r="AW184" s="81" t="s">
        <v>4655</v>
      </c>
      <c r="AX184" s="81" t="s">
        <v>4655</v>
      </c>
      <c r="AY184" s="77"/>
      <c r="AZ184" s="81" t="s">
        <v>5773</v>
      </c>
      <c r="BA184" s="81" t="s">
        <v>5773</v>
      </c>
      <c r="BB184" s="81" t="s">
        <v>5773</v>
      </c>
      <c r="BC184" s="81" t="s">
        <v>4655</v>
      </c>
      <c r="BD184" s="77">
        <v>109868594</v>
      </c>
      <c r="BE184" s="77"/>
      <c r="BF184" s="77"/>
      <c r="BG184" s="77"/>
      <c r="BH184" s="77"/>
      <c r="BI184" s="77"/>
    </row>
    <row r="185" spans="1:61" ht="15">
      <c r="A185" s="62" t="s">
        <v>277</v>
      </c>
      <c r="B185" s="62" t="s">
        <v>277</v>
      </c>
      <c r="C185" s="63"/>
      <c r="D185" s="64"/>
      <c r="E185" s="65"/>
      <c r="F185" s="66"/>
      <c r="G185" s="63"/>
      <c r="H185" s="67"/>
      <c r="I185" s="68"/>
      <c r="J185" s="68"/>
      <c r="K185" s="32" t="s">
        <v>65</v>
      </c>
      <c r="L185" s="75">
        <v>185</v>
      </c>
      <c r="M185" s="75"/>
      <c r="N185" s="70"/>
      <c r="O185" s="77" t="s">
        <v>179</v>
      </c>
      <c r="P185" s="79">
        <v>43801.49914351852</v>
      </c>
      <c r="Q185" s="77" t="s">
        <v>721</v>
      </c>
      <c r="R185" s="77">
        <v>0</v>
      </c>
      <c r="S185" s="77">
        <v>1</v>
      </c>
      <c r="T185" s="77">
        <v>0</v>
      </c>
      <c r="U185" s="77">
        <v>0</v>
      </c>
      <c r="V185" s="77"/>
      <c r="W185" s="81" t="s">
        <v>1728</v>
      </c>
      <c r="X185" s="80" t="str">
        <f>HYPERLINK("https://www.inovies.com/digital-marketing-company/")</f>
        <v>https://www.inovies.com/digital-marketing-company/</v>
      </c>
      <c r="Y185" s="77" t="s">
        <v>1982</v>
      </c>
      <c r="Z185" s="77"/>
      <c r="AA185" s="77"/>
      <c r="AB185" s="77"/>
      <c r="AC185" s="81" t="s">
        <v>2707</v>
      </c>
      <c r="AD185" s="77" t="s">
        <v>2751</v>
      </c>
      <c r="AE185" s="80" t="str">
        <f>HYPERLINK("https://twitter.com/nishaadweta/status/1201470759832440834")</f>
        <v>https://twitter.com/nishaadweta/status/1201470759832440834</v>
      </c>
      <c r="AF185" s="79">
        <v>43801.49914351852</v>
      </c>
      <c r="AG185" s="85">
        <v>43801</v>
      </c>
      <c r="AH185" s="81" t="s">
        <v>2910</v>
      </c>
      <c r="AI185" s="77" t="b">
        <v>0</v>
      </c>
      <c r="AJ185" s="77"/>
      <c r="AK185" s="77"/>
      <c r="AL185" s="77"/>
      <c r="AM185" s="77"/>
      <c r="AN185" s="77"/>
      <c r="AO185" s="77"/>
      <c r="AP185" s="77"/>
      <c r="AQ185" s="77"/>
      <c r="AR185" s="77"/>
      <c r="AS185" s="77"/>
      <c r="AT185" s="77"/>
      <c r="AU185" s="77"/>
      <c r="AV185" s="80" t="str">
        <f>HYPERLINK("https://abs.twimg.com/sticky/default_profile_images/default_profile_normal.png")</f>
        <v>https://abs.twimg.com/sticky/default_profile_images/default_profile_normal.png</v>
      </c>
      <c r="AW185" s="81" t="s">
        <v>4656</v>
      </c>
      <c r="AX185" s="81" t="s">
        <v>4656</v>
      </c>
      <c r="AY185" s="77"/>
      <c r="AZ185" s="81" t="s">
        <v>5773</v>
      </c>
      <c r="BA185" s="81" t="s">
        <v>5773</v>
      </c>
      <c r="BB185" s="81" t="s">
        <v>5773</v>
      </c>
      <c r="BC185" s="81" t="s">
        <v>4656</v>
      </c>
      <c r="BD185" s="81" t="s">
        <v>5800</v>
      </c>
      <c r="BE185" s="77"/>
      <c r="BF185" s="77"/>
      <c r="BG185" s="77"/>
      <c r="BH185" s="77"/>
      <c r="BI185" s="77"/>
    </row>
    <row r="186" spans="1:61" ht="15">
      <c r="A186" s="62" t="s">
        <v>278</v>
      </c>
      <c r="B186" s="62" t="s">
        <v>278</v>
      </c>
      <c r="C186" s="63"/>
      <c r="D186" s="64"/>
      <c r="E186" s="65"/>
      <c r="F186" s="66"/>
      <c r="G186" s="63"/>
      <c r="H186" s="67"/>
      <c r="I186" s="68"/>
      <c r="J186" s="68"/>
      <c r="K186" s="32" t="s">
        <v>65</v>
      </c>
      <c r="L186" s="75">
        <v>186</v>
      </c>
      <c r="M186" s="75"/>
      <c r="N186" s="70"/>
      <c r="O186" s="77" t="s">
        <v>179</v>
      </c>
      <c r="P186" s="79">
        <v>40694.16875</v>
      </c>
      <c r="Q186" s="77" t="s">
        <v>722</v>
      </c>
      <c r="R186" s="77">
        <v>0</v>
      </c>
      <c r="S186" s="77">
        <v>0</v>
      </c>
      <c r="T186" s="77">
        <v>0</v>
      </c>
      <c r="U186" s="77">
        <v>0</v>
      </c>
      <c r="V186" s="77"/>
      <c r="W186" s="77"/>
      <c r="X186" s="77"/>
      <c r="Y186" s="77"/>
      <c r="Z186" s="77"/>
      <c r="AA186" s="77"/>
      <c r="AB186" s="77"/>
      <c r="AC186" s="81" t="s">
        <v>2721</v>
      </c>
      <c r="AD186" s="77" t="s">
        <v>2751</v>
      </c>
      <c r="AE186" s="80" t="str">
        <f>HYPERLINK("https://twitter.com/tamhaneclinic/status/75411934006099968")</f>
        <v>https://twitter.com/tamhaneclinic/status/75411934006099968</v>
      </c>
      <c r="AF186" s="79">
        <v>40694.16875</v>
      </c>
      <c r="AG186" s="85">
        <v>40694</v>
      </c>
      <c r="AH186" s="81" t="s">
        <v>2911</v>
      </c>
      <c r="AI186" s="77"/>
      <c r="AJ186" s="77"/>
      <c r="AK186" s="77"/>
      <c r="AL186" s="77"/>
      <c r="AM186" s="77"/>
      <c r="AN186" s="77"/>
      <c r="AO186" s="77"/>
      <c r="AP186" s="77"/>
      <c r="AQ186" s="77"/>
      <c r="AR186" s="77"/>
      <c r="AS186" s="77"/>
      <c r="AT186" s="77"/>
      <c r="AU186" s="77"/>
      <c r="AV186" s="80" t="str">
        <f>HYPERLINK("https://pbs.twimg.com/profile_images/1604870577293910016/OEp2-UO0_normal.jpg")</f>
        <v>https://pbs.twimg.com/profile_images/1604870577293910016/OEp2-UO0_normal.jpg</v>
      </c>
      <c r="AW186" s="81" t="s">
        <v>4657</v>
      </c>
      <c r="AX186" s="81" t="s">
        <v>4657</v>
      </c>
      <c r="AY186" s="77"/>
      <c r="AZ186" s="81" t="s">
        <v>5773</v>
      </c>
      <c r="BA186" s="81" t="s">
        <v>5773</v>
      </c>
      <c r="BB186" s="81" t="s">
        <v>5773</v>
      </c>
      <c r="BC186" s="81" t="s">
        <v>4657</v>
      </c>
      <c r="BD186" s="77">
        <v>69217051</v>
      </c>
      <c r="BE186" s="77"/>
      <c r="BF186" s="77"/>
      <c r="BG186" s="77"/>
      <c r="BH186" s="77"/>
      <c r="BI186" s="77"/>
    </row>
    <row r="187" spans="1:61" ht="15">
      <c r="A187" s="62" t="s">
        <v>278</v>
      </c>
      <c r="B187" s="62" t="s">
        <v>278</v>
      </c>
      <c r="C187" s="63"/>
      <c r="D187" s="64"/>
      <c r="E187" s="65"/>
      <c r="F187" s="66"/>
      <c r="G187" s="63"/>
      <c r="H187" s="67"/>
      <c r="I187" s="68"/>
      <c r="J187" s="68"/>
      <c r="K187" s="32" t="s">
        <v>65</v>
      </c>
      <c r="L187" s="75">
        <v>187</v>
      </c>
      <c r="M187" s="75"/>
      <c r="N187" s="70"/>
      <c r="O187" s="77" t="s">
        <v>179</v>
      </c>
      <c r="P187" s="79">
        <v>40813.223599537036</v>
      </c>
      <c r="Q187" s="77" t="s">
        <v>723</v>
      </c>
      <c r="R187" s="77">
        <v>0</v>
      </c>
      <c r="S187" s="77">
        <v>0</v>
      </c>
      <c r="T187" s="77">
        <v>0</v>
      </c>
      <c r="U187" s="77">
        <v>0</v>
      </c>
      <c r="V187" s="77"/>
      <c r="W187" s="77"/>
      <c r="X187" s="80" t="str">
        <f>HYPERLINK("http://p.ost.im/p/e2T3PN")</f>
        <v>http://p.ost.im/p/e2T3PN</v>
      </c>
      <c r="Y187" s="77" t="s">
        <v>1992</v>
      </c>
      <c r="Z187" s="77"/>
      <c r="AA187" s="77"/>
      <c r="AB187" s="77"/>
      <c r="AC187" s="81" t="s">
        <v>2721</v>
      </c>
      <c r="AD187" s="77" t="s">
        <v>2751</v>
      </c>
      <c r="AE187" s="80" t="str">
        <f>HYPERLINK("https://twitter.com/tamhaneclinic/status/118555966512955392")</f>
        <v>https://twitter.com/tamhaneclinic/status/118555966512955392</v>
      </c>
      <c r="AF187" s="79">
        <v>40813.223599537036</v>
      </c>
      <c r="AG187" s="85">
        <v>40813</v>
      </c>
      <c r="AH187" s="81" t="s">
        <v>2912</v>
      </c>
      <c r="AI187" s="77" t="b">
        <v>0</v>
      </c>
      <c r="AJ187" s="77"/>
      <c r="AK187" s="77"/>
      <c r="AL187" s="77"/>
      <c r="AM187" s="77"/>
      <c r="AN187" s="77"/>
      <c r="AO187" s="77"/>
      <c r="AP187" s="77"/>
      <c r="AQ187" s="77"/>
      <c r="AR187" s="77"/>
      <c r="AS187" s="77"/>
      <c r="AT187" s="77"/>
      <c r="AU187" s="77"/>
      <c r="AV187" s="80" t="str">
        <f>HYPERLINK("https://pbs.twimg.com/profile_images/1604870577293910016/OEp2-UO0_normal.jpg")</f>
        <v>https://pbs.twimg.com/profile_images/1604870577293910016/OEp2-UO0_normal.jpg</v>
      </c>
      <c r="AW187" s="81" t="s">
        <v>4658</v>
      </c>
      <c r="AX187" s="81" t="s">
        <v>4658</v>
      </c>
      <c r="AY187" s="77"/>
      <c r="AZ187" s="81" t="s">
        <v>5773</v>
      </c>
      <c r="BA187" s="81" t="s">
        <v>5773</v>
      </c>
      <c r="BB187" s="81" t="s">
        <v>5773</v>
      </c>
      <c r="BC187" s="81" t="s">
        <v>4658</v>
      </c>
      <c r="BD187" s="77">
        <v>69217051</v>
      </c>
      <c r="BE187" s="77"/>
      <c r="BF187" s="77"/>
      <c r="BG187" s="77"/>
      <c r="BH187" s="77"/>
      <c r="BI187" s="77"/>
    </row>
    <row r="188" spans="1:61" ht="15">
      <c r="A188" s="62" t="s">
        <v>278</v>
      </c>
      <c r="B188" s="62" t="s">
        <v>278</v>
      </c>
      <c r="C188" s="63"/>
      <c r="D188" s="64"/>
      <c r="E188" s="65"/>
      <c r="F188" s="66"/>
      <c r="G188" s="63"/>
      <c r="H188" s="67"/>
      <c r="I188" s="68"/>
      <c r="J188" s="68"/>
      <c r="K188" s="32" t="s">
        <v>65</v>
      </c>
      <c r="L188" s="75">
        <v>188</v>
      </c>
      <c r="M188" s="75"/>
      <c r="N188" s="70"/>
      <c r="O188" s="77" t="s">
        <v>179</v>
      </c>
      <c r="P188" s="79">
        <v>40703.27912037037</v>
      </c>
      <c r="Q188" s="77" t="s">
        <v>724</v>
      </c>
      <c r="R188" s="77">
        <v>0</v>
      </c>
      <c r="S188" s="77">
        <v>0</v>
      </c>
      <c r="T188" s="77">
        <v>0</v>
      </c>
      <c r="U188" s="77">
        <v>0</v>
      </c>
      <c r="V188" s="77"/>
      <c r="W188" s="77"/>
      <c r="X188" s="77"/>
      <c r="Y188" s="77"/>
      <c r="Z188" s="77"/>
      <c r="AA188" s="77"/>
      <c r="AB188" s="77"/>
      <c r="AC188" s="81" t="s">
        <v>2721</v>
      </c>
      <c r="AD188" s="77" t="s">
        <v>2751</v>
      </c>
      <c r="AE188" s="80" t="str">
        <f>HYPERLINK("https://twitter.com/tamhaneclinic/status/78713421905924096")</f>
        <v>https://twitter.com/tamhaneclinic/status/78713421905924096</v>
      </c>
      <c r="AF188" s="79">
        <v>40703.27912037037</v>
      </c>
      <c r="AG188" s="85">
        <v>40703</v>
      </c>
      <c r="AH188" s="81" t="s">
        <v>2913</v>
      </c>
      <c r="AI188" s="77"/>
      <c r="AJ188" s="77"/>
      <c r="AK188" s="77"/>
      <c r="AL188" s="77"/>
      <c r="AM188" s="77"/>
      <c r="AN188" s="77"/>
      <c r="AO188" s="77"/>
      <c r="AP188" s="77"/>
      <c r="AQ188" s="77"/>
      <c r="AR188" s="77"/>
      <c r="AS188" s="77"/>
      <c r="AT188" s="77"/>
      <c r="AU188" s="77"/>
      <c r="AV188" s="80" t="str">
        <f>HYPERLINK("https://pbs.twimg.com/profile_images/1604870577293910016/OEp2-UO0_normal.jpg")</f>
        <v>https://pbs.twimg.com/profile_images/1604870577293910016/OEp2-UO0_normal.jpg</v>
      </c>
      <c r="AW188" s="81" t="s">
        <v>4659</v>
      </c>
      <c r="AX188" s="81" t="s">
        <v>4659</v>
      </c>
      <c r="AY188" s="77"/>
      <c r="AZ188" s="81" t="s">
        <v>5773</v>
      </c>
      <c r="BA188" s="81" t="s">
        <v>5773</v>
      </c>
      <c r="BB188" s="81" t="s">
        <v>5773</v>
      </c>
      <c r="BC188" s="81" t="s">
        <v>4659</v>
      </c>
      <c r="BD188" s="77">
        <v>69217051</v>
      </c>
      <c r="BE188" s="77"/>
      <c r="BF188" s="77"/>
      <c r="BG188" s="77"/>
      <c r="BH188" s="77"/>
      <c r="BI188" s="77"/>
    </row>
    <row r="189" spans="1:61" ht="15">
      <c r="A189" s="62" t="s">
        <v>278</v>
      </c>
      <c r="B189" s="62" t="s">
        <v>278</v>
      </c>
      <c r="C189" s="63"/>
      <c r="D189" s="64"/>
      <c r="E189" s="65"/>
      <c r="F189" s="66"/>
      <c r="G189" s="63"/>
      <c r="H189" s="67"/>
      <c r="I189" s="68"/>
      <c r="J189" s="68"/>
      <c r="K189" s="32" t="s">
        <v>65</v>
      </c>
      <c r="L189" s="75">
        <v>189</v>
      </c>
      <c r="M189" s="75"/>
      <c r="N189" s="70"/>
      <c r="O189" s="77" t="s">
        <v>179</v>
      </c>
      <c r="P189" s="79">
        <v>40583.40231481481</v>
      </c>
      <c r="Q189" s="77" t="s">
        <v>725</v>
      </c>
      <c r="R189" s="77">
        <v>0</v>
      </c>
      <c r="S189" s="77">
        <v>0</v>
      </c>
      <c r="T189" s="77">
        <v>0</v>
      </c>
      <c r="U189" s="77">
        <v>0</v>
      </c>
      <c r="V189" s="77"/>
      <c r="W189" s="77"/>
      <c r="X189" s="77"/>
      <c r="Y189" s="77"/>
      <c r="Z189" s="77"/>
      <c r="AA189" s="77"/>
      <c r="AB189" s="77"/>
      <c r="AC189" s="81" t="s">
        <v>2721</v>
      </c>
      <c r="AD189" s="77" t="s">
        <v>2751</v>
      </c>
      <c r="AE189" s="80" t="str">
        <f>HYPERLINK("https://twitter.com/tamhaneclinic/status/35271519277940736")</f>
        <v>https://twitter.com/tamhaneclinic/status/35271519277940736</v>
      </c>
      <c r="AF189" s="79">
        <v>40583.40231481481</v>
      </c>
      <c r="AG189" s="85">
        <v>40583</v>
      </c>
      <c r="AH189" s="81" t="s">
        <v>2914</v>
      </c>
      <c r="AI189" s="77"/>
      <c r="AJ189" s="77"/>
      <c r="AK189" s="77"/>
      <c r="AL189" s="77"/>
      <c r="AM189" s="77"/>
      <c r="AN189" s="77"/>
      <c r="AO189" s="77"/>
      <c r="AP189" s="77"/>
      <c r="AQ189" s="77"/>
      <c r="AR189" s="77"/>
      <c r="AS189" s="77"/>
      <c r="AT189" s="77"/>
      <c r="AU189" s="77"/>
      <c r="AV189" s="80" t="str">
        <f>HYPERLINK("https://pbs.twimg.com/profile_images/1604870577293910016/OEp2-UO0_normal.jpg")</f>
        <v>https://pbs.twimg.com/profile_images/1604870577293910016/OEp2-UO0_normal.jpg</v>
      </c>
      <c r="AW189" s="81" t="s">
        <v>4660</v>
      </c>
      <c r="AX189" s="81" t="s">
        <v>4660</v>
      </c>
      <c r="AY189" s="77"/>
      <c r="AZ189" s="81" t="s">
        <v>5773</v>
      </c>
      <c r="BA189" s="81" t="s">
        <v>5773</v>
      </c>
      <c r="BB189" s="81" t="s">
        <v>5773</v>
      </c>
      <c r="BC189" s="81" t="s">
        <v>4660</v>
      </c>
      <c r="BD189" s="77">
        <v>69217051</v>
      </c>
      <c r="BE189" s="77"/>
      <c r="BF189" s="77"/>
      <c r="BG189" s="77"/>
      <c r="BH189" s="77"/>
      <c r="BI189" s="77"/>
    </row>
    <row r="190" spans="1:61" ht="15">
      <c r="A190" s="62" t="s">
        <v>278</v>
      </c>
      <c r="B190" s="62" t="s">
        <v>278</v>
      </c>
      <c r="C190" s="63"/>
      <c r="D190" s="64"/>
      <c r="E190" s="65"/>
      <c r="F190" s="66"/>
      <c r="G190" s="63"/>
      <c r="H190" s="67"/>
      <c r="I190" s="68"/>
      <c r="J190" s="68"/>
      <c r="K190" s="32" t="s">
        <v>65</v>
      </c>
      <c r="L190" s="75">
        <v>190</v>
      </c>
      <c r="M190" s="75"/>
      <c r="N190" s="70"/>
      <c r="O190" s="77" t="s">
        <v>179</v>
      </c>
      <c r="P190" s="79">
        <v>40583.21922453704</v>
      </c>
      <c r="Q190" s="77" t="s">
        <v>726</v>
      </c>
      <c r="R190" s="77">
        <v>0</v>
      </c>
      <c r="S190" s="77">
        <v>0</v>
      </c>
      <c r="T190" s="77">
        <v>0</v>
      </c>
      <c r="U190" s="77">
        <v>0</v>
      </c>
      <c r="V190" s="77"/>
      <c r="W190" s="77"/>
      <c r="X190" s="77"/>
      <c r="Y190" s="77"/>
      <c r="Z190" s="77"/>
      <c r="AA190" s="77"/>
      <c r="AB190" s="77"/>
      <c r="AC190" s="81" t="s">
        <v>2721</v>
      </c>
      <c r="AD190" s="77" t="s">
        <v>2751</v>
      </c>
      <c r="AE190" s="80" t="str">
        <f>HYPERLINK("https://twitter.com/tamhaneclinic/status/35205169905934336")</f>
        <v>https://twitter.com/tamhaneclinic/status/35205169905934336</v>
      </c>
      <c r="AF190" s="79">
        <v>40583.21922453704</v>
      </c>
      <c r="AG190" s="85">
        <v>40583</v>
      </c>
      <c r="AH190" s="81" t="s">
        <v>2915</v>
      </c>
      <c r="AI190" s="77"/>
      <c r="AJ190" s="77"/>
      <c r="AK190" s="77"/>
      <c r="AL190" s="77"/>
      <c r="AM190" s="77"/>
      <c r="AN190" s="77"/>
      <c r="AO190" s="77"/>
      <c r="AP190" s="77"/>
      <c r="AQ190" s="77"/>
      <c r="AR190" s="77"/>
      <c r="AS190" s="77"/>
      <c r="AT190" s="77"/>
      <c r="AU190" s="77"/>
      <c r="AV190" s="80" t="str">
        <f>HYPERLINK("https://pbs.twimg.com/profile_images/1604870577293910016/OEp2-UO0_normal.jpg")</f>
        <v>https://pbs.twimg.com/profile_images/1604870577293910016/OEp2-UO0_normal.jpg</v>
      </c>
      <c r="AW190" s="81" t="s">
        <v>4661</v>
      </c>
      <c r="AX190" s="81" t="s">
        <v>4661</v>
      </c>
      <c r="AY190" s="77"/>
      <c r="AZ190" s="81" t="s">
        <v>5773</v>
      </c>
      <c r="BA190" s="81" t="s">
        <v>5773</v>
      </c>
      <c r="BB190" s="81" t="s">
        <v>5773</v>
      </c>
      <c r="BC190" s="81" t="s">
        <v>4661</v>
      </c>
      <c r="BD190" s="77">
        <v>69217051</v>
      </c>
      <c r="BE190" s="77"/>
      <c r="BF190" s="77"/>
      <c r="BG190" s="77"/>
      <c r="BH190" s="77"/>
      <c r="BI190" s="77"/>
    </row>
    <row r="191" spans="1:61" ht="15">
      <c r="A191" s="62" t="s">
        <v>278</v>
      </c>
      <c r="B191" s="62" t="s">
        <v>278</v>
      </c>
      <c r="C191" s="63"/>
      <c r="D191" s="64"/>
      <c r="E191" s="65"/>
      <c r="F191" s="66"/>
      <c r="G191" s="63"/>
      <c r="H191" s="67"/>
      <c r="I191" s="68"/>
      <c r="J191" s="68"/>
      <c r="K191" s="32" t="s">
        <v>65</v>
      </c>
      <c r="L191" s="75">
        <v>191</v>
      </c>
      <c r="M191" s="75"/>
      <c r="N191" s="70"/>
      <c r="O191" s="77" t="s">
        <v>179</v>
      </c>
      <c r="P191" s="79">
        <v>40581.431805555556</v>
      </c>
      <c r="Q191" s="77" t="s">
        <v>727</v>
      </c>
      <c r="R191" s="77">
        <v>0</v>
      </c>
      <c r="S191" s="77">
        <v>0</v>
      </c>
      <c r="T191" s="77">
        <v>0</v>
      </c>
      <c r="U191" s="77">
        <v>0</v>
      </c>
      <c r="V191" s="77"/>
      <c r="W191" s="77"/>
      <c r="X191" s="77"/>
      <c r="Y191" s="77"/>
      <c r="Z191" s="77"/>
      <c r="AA191" s="77"/>
      <c r="AB191" s="77"/>
      <c r="AC191" s="81" t="s">
        <v>2721</v>
      </c>
      <c r="AD191" s="77" t="s">
        <v>2751</v>
      </c>
      <c r="AE191" s="80" t="str">
        <f>HYPERLINK("https://twitter.com/tamhaneclinic/status/34557431317004288")</f>
        <v>https://twitter.com/tamhaneclinic/status/34557431317004288</v>
      </c>
      <c r="AF191" s="79">
        <v>40581.431805555556</v>
      </c>
      <c r="AG191" s="85">
        <v>40581</v>
      </c>
      <c r="AH191" s="81" t="s">
        <v>2916</v>
      </c>
      <c r="AI191" s="77"/>
      <c r="AJ191" s="77"/>
      <c r="AK191" s="77"/>
      <c r="AL191" s="77"/>
      <c r="AM191" s="77"/>
      <c r="AN191" s="77"/>
      <c r="AO191" s="77"/>
      <c r="AP191" s="77"/>
      <c r="AQ191" s="77"/>
      <c r="AR191" s="77"/>
      <c r="AS191" s="77"/>
      <c r="AT191" s="77"/>
      <c r="AU191" s="77"/>
      <c r="AV191" s="80" t="str">
        <f>HYPERLINK("https://pbs.twimg.com/profile_images/1604870577293910016/OEp2-UO0_normal.jpg")</f>
        <v>https://pbs.twimg.com/profile_images/1604870577293910016/OEp2-UO0_normal.jpg</v>
      </c>
      <c r="AW191" s="81" t="s">
        <v>4662</v>
      </c>
      <c r="AX191" s="81" t="s">
        <v>4662</v>
      </c>
      <c r="AY191" s="77"/>
      <c r="AZ191" s="81" t="s">
        <v>5773</v>
      </c>
      <c r="BA191" s="81" t="s">
        <v>5773</v>
      </c>
      <c r="BB191" s="81" t="s">
        <v>5773</v>
      </c>
      <c r="BC191" s="81" t="s">
        <v>4662</v>
      </c>
      <c r="BD191" s="77">
        <v>69217051</v>
      </c>
      <c r="BE191" s="77"/>
      <c r="BF191" s="77"/>
      <c r="BG191" s="77"/>
      <c r="BH191" s="77"/>
      <c r="BI191" s="77"/>
    </row>
    <row r="192" spans="1:61" ht="15">
      <c r="A192" s="62" t="s">
        <v>279</v>
      </c>
      <c r="B192" s="62" t="s">
        <v>299</v>
      </c>
      <c r="C192" s="63"/>
      <c r="D192" s="64"/>
      <c r="E192" s="65"/>
      <c r="F192" s="66"/>
      <c r="G192" s="63"/>
      <c r="H192" s="67"/>
      <c r="I192" s="68"/>
      <c r="J192" s="68"/>
      <c r="K192" s="32" t="s">
        <v>65</v>
      </c>
      <c r="L192" s="75">
        <v>192</v>
      </c>
      <c r="M192" s="75"/>
      <c r="N192" s="70"/>
      <c r="O192" s="77" t="s">
        <v>571</v>
      </c>
      <c r="P192" s="79">
        <v>42956.8022337963</v>
      </c>
      <c r="Q192" s="77" t="s">
        <v>728</v>
      </c>
      <c r="R192" s="77">
        <v>0</v>
      </c>
      <c r="S192" s="77">
        <v>0</v>
      </c>
      <c r="T192" s="77">
        <v>0</v>
      </c>
      <c r="U192" s="77">
        <v>0</v>
      </c>
      <c r="V192" s="77"/>
      <c r="W192" s="77"/>
      <c r="X192" s="77" t="s">
        <v>1958</v>
      </c>
      <c r="Y192" s="77" t="s">
        <v>1993</v>
      </c>
      <c r="Z192" s="77" t="s">
        <v>299</v>
      </c>
      <c r="AA192" s="77"/>
      <c r="AB192" s="77"/>
      <c r="AC192" s="81" t="s">
        <v>2711</v>
      </c>
      <c r="AD192" s="77" t="s">
        <v>2751</v>
      </c>
      <c r="AE192" s="80" t="str">
        <f>HYPERLINK("https://twitter.com/kalungigroup/status/895362849614290946")</f>
        <v>https://twitter.com/kalungigroup/status/895362849614290946</v>
      </c>
      <c r="AF192" s="79">
        <v>42956.8022337963</v>
      </c>
      <c r="AG192" s="85">
        <v>42956</v>
      </c>
      <c r="AH192" s="81" t="s">
        <v>2917</v>
      </c>
      <c r="AI192" s="77" t="b">
        <v>0</v>
      </c>
      <c r="AJ192" s="77"/>
      <c r="AK192" s="77"/>
      <c r="AL192" s="77"/>
      <c r="AM192" s="77"/>
      <c r="AN192" s="77"/>
      <c r="AO192" s="77"/>
      <c r="AP192" s="77"/>
      <c r="AQ192" s="77"/>
      <c r="AR192" s="77"/>
      <c r="AS192" s="77"/>
      <c r="AT192" s="77"/>
      <c r="AU192" s="77"/>
      <c r="AV192" s="80" t="str">
        <f>HYPERLINK("https://pbs.twimg.com/profile_images/1284171186533007361/WKaMzZml_normal.jpg")</f>
        <v>https://pbs.twimg.com/profile_images/1284171186533007361/WKaMzZml_normal.jpg</v>
      </c>
      <c r="AW192" s="81" t="s">
        <v>4663</v>
      </c>
      <c r="AX192" s="81" t="s">
        <v>4663</v>
      </c>
      <c r="AY192" s="81" t="s">
        <v>5721</v>
      </c>
      <c r="AZ192" s="81" t="s">
        <v>5773</v>
      </c>
      <c r="BA192" s="81" t="s">
        <v>5773</v>
      </c>
      <c r="BB192" s="81" t="s">
        <v>5773</v>
      </c>
      <c r="BC192" s="81" t="s">
        <v>4663</v>
      </c>
      <c r="BD192" s="77">
        <v>2899903684</v>
      </c>
      <c r="BE192" s="77"/>
      <c r="BF192" s="77"/>
      <c r="BG192" s="77"/>
      <c r="BH192" s="77"/>
      <c r="BI192" s="77"/>
    </row>
    <row r="193" spans="1:61" ht="15">
      <c r="A193" s="62" t="s">
        <v>280</v>
      </c>
      <c r="B193" s="62" t="s">
        <v>280</v>
      </c>
      <c r="C193" s="63"/>
      <c r="D193" s="64"/>
      <c r="E193" s="65"/>
      <c r="F193" s="66"/>
      <c r="G193" s="63"/>
      <c r="H193" s="67"/>
      <c r="I193" s="68"/>
      <c r="J193" s="68"/>
      <c r="K193" s="32" t="s">
        <v>65</v>
      </c>
      <c r="L193" s="75">
        <v>193</v>
      </c>
      <c r="M193" s="75"/>
      <c r="N193" s="70"/>
      <c r="O193" s="77" t="s">
        <v>179</v>
      </c>
      <c r="P193" s="79">
        <v>40694.16877314815</v>
      </c>
      <c r="Q193" s="77" t="s">
        <v>729</v>
      </c>
      <c r="R193" s="77">
        <v>0</v>
      </c>
      <c r="S193" s="77">
        <v>0</v>
      </c>
      <c r="T193" s="77">
        <v>0</v>
      </c>
      <c r="U193" s="77">
        <v>0</v>
      </c>
      <c r="V193" s="77"/>
      <c r="W193" s="77"/>
      <c r="X193" s="77"/>
      <c r="Y193" s="77"/>
      <c r="Z193" s="77"/>
      <c r="AA193" s="77"/>
      <c r="AB193" s="77"/>
      <c r="AC193" s="81" t="s">
        <v>2722</v>
      </c>
      <c r="AD193" s="77" t="s">
        <v>2751</v>
      </c>
      <c r="AE193" s="80" t="str">
        <f>HYPERLINK("https://twitter.com/youroq/status/75411939467079680")</f>
        <v>https://twitter.com/youroq/status/75411939467079680</v>
      </c>
      <c r="AF193" s="79">
        <v>40694.16877314815</v>
      </c>
      <c r="AG193" s="85">
        <v>40694</v>
      </c>
      <c r="AH193" s="81" t="s">
        <v>2918</v>
      </c>
      <c r="AI193" s="77"/>
      <c r="AJ193" s="77"/>
      <c r="AK193" s="77"/>
      <c r="AL193" s="77"/>
      <c r="AM193" s="77"/>
      <c r="AN193" s="77"/>
      <c r="AO193" s="77"/>
      <c r="AP193" s="77"/>
      <c r="AQ193" s="77"/>
      <c r="AR193" s="77"/>
      <c r="AS193" s="77"/>
      <c r="AT193" s="77"/>
      <c r="AU193" s="77"/>
      <c r="AV193" s="80" t="str">
        <f>HYPERLINK("https://pbs.twimg.com/profile_images/1132348781/YouRoQ_Y_normal.png")</f>
        <v>https://pbs.twimg.com/profile_images/1132348781/YouRoQ_Y_normal.png</v>
      </c>
      <c r="AW193" s="81" t="s">
        <v>4664</v>
      </c>
      <c r="AX193" s="81" t="s">
        <v>4664</v>
      </c>
      <c r="AY193" s="77"/>
      <c r="AZ193" s="81" t="s">
        <v>5773</v>
      </c>
      <c r="BA193" s="81" t="s">
        <v>5773</v>
      </c>
      <c r="BB193" s="81" t="s">
        <v>5773</v>
      </c>
      <c r="BC193" s="81" t="s">
        <v>4664</v>
      </c>
      <c r="BD193" s="77">
        <v>192772352</v>
      </c>
      <c r="BE193" s="77"/>
      <c r="BF193" s="77"/>
      <c r="BG193" s="77"/>
      <c r="BH193" s="77"/>
      <c r="BI193" s="77"/>
    </row>
    <row r="194" spans="1:61" ht="15">
      <c r="A194" s="62" t="s">
        <v>281</v>
      </c>
      <c r="B194" s="62" t="s">
        <v>281</v>
      </c>
      <c r="C194" s="63"/>
      <c r="D194" s="64"/>
      <c r="E194" s="65"/>
      <c r="F194" s="66"/>
      <c r="G194" s="63"/>
      <c r="H194" s="67"/>
      <c r="I194" s="68"/>
      <c r="J194" s="68"/>
      <c r="K194" s="32" t="s">
        <v>65</v>
      </c>
      <c r="L194" s="75">
        <v>194</v>
      </c>
      <c r="M194" s="75"/>
      <c r="N194" s="70"/>
      <c r="O194" s="77" t="s">
        <v>179</v>
      </c>
      <c r="P194" s="79">
        <v>43963.18971064815</v>
      </c>
      <c r="Q194" s="77" t="s">
        <v>730</v>
      </c>
      <c r="R194" s="77">
        <v>0</v>
      </c>
      <c r="S194" s="77">
        <v>0</v>
      </c>
      <c r="T194" s="77">
        <v>0</v>
      </c>
      <c r="U194" s="77">
        <v>0</v>
      </c>
      <c r="V194" s="77"/>
      <c r="W194" s="81" t="s">
        <v>1729</v>
      </c>
      <c r="X194" s="77" t="s">
        <v>1959</v>
      </c>
      <c r="Y194" s="77" t="s">
        <v>1994</v>
      </c>
      <c r="Z194" s="77"/>
      <c r="AA194" s="77" t="s">
        <v>2148</v>
      </c>
      <c r="AB194" s="77" t="s">
        <v>2696</v>
      </c>
      <c r="AC194" s="81" t="s">
        <v>2707</v>
      </c>
      <c r="AD194" s="77" t="s">
        <v>2751</v>
      </c>
      <c r="AE194" s="80" t="str">
        <f>HYPERLINK("https://twitter.com/anithapujya/status/1260065463024840709")</f>
        <v>https://twitter.com/anithapujya/status/1260065463024840709</v>
      </c>
      <c r="AF194" s="79">
        <v>43963.18971064815</v>
      </c>
      <c r="AG194" s="85">
        <v>43963</v>
      </c>
      <c r="AH194" s="81" t="s">
        <v>2919</v>
      </c>
      <c r="AI194" s="77" t="b">
        <v>0</v>
      </c>
      <c r="AJ194" s="77"/>
      <c r="AK194" s="77"/>
      <c r="AL194" s="77"/>
      <c r="AM194" s="77"/>
      <c r="AN194" s="77"/>
      <c r="AO194" s="77"/>
      <c r="AP194" s="77"/>
      <c r="AQ194" s="77" t="s">
        <v>3966</v>
      </c>
      <c r="AR194" s="77"/>
      <c r="AS194" s="77"/>
      <c r="AT194" s="77"/>
      <c r="AU194" s="77"/>
      <c r="AV194" s="80" t="str">
        <f>HYPERLINK("https://pbs.twimg.com/media/EXym2AhU8AEAGj8.png")</f>
        <v>https://pbs.twimg.com/media/EXym2AhU8AEAGj8.png</v>
      </c>
      <c r="AW194" s="81" t="s">
        <v>4665</v>
      </c>
      <c r="AX194" s="81" t="s">
        <v>4665</v>
      </c>
      <c r="AY194" s="77"/>
      <c r="AZ194" s="81" t="s">
        <v>5773</v>
      </c>
      <c r="BA194" s="81" t="s">
        <v>5773</v>
      </c>
      <c r="BB194" s="81" t="s">
        <v>5773</v>
      </c>
      <c r="BC194" s="81" t="s">
        <v>4665</v>
      </c>
      <c r="BD194" s="81" t="s">
        <v>5801</v>
      </c>
      <c r="BE194" s="77"/>
      <c r="BF194" s="77"/>
      <c r="BG194" s="77"/>
      <c r="BH194" s="77"/>
      <c r="BI194" s="77"/>
    </row>
    <row r="195" spans="1:61" ht="15">
      <c r="A195" s="62" t="s">
        <v>281</v>
      </c>
      <c r="B195" s="62" t="s">
        <v>281</v>
      </c>
      <c r="C195" s="63"/>
      <c r="D195" s="64"/>
      <c r="E195" s="65"/>
      <c r="F195" s="66"/>
      <c r="G195" s="63"/>
      <c r="H195" s="67"/>
      <c r="I195" s="68"/>
      <c r="J195" s="68"/>
      <c r="K195" s="32" t="s">
        <v>65</v>
      </c>
      <c r="L195" s="75">
        <v>195</v>
      </c>
      <c r="M195" s="75"/>
      <c r="N195" s="70"/>
      <c r="O195" s="77" t="s">
        <v>179</v>
      </c>
      <c r="P195" s="79">
        <v>43965.63721064815</v>
      </c>
      <c r="Q195" s="77" t="s">
        <v>731</v>
      </c>
      <c r="R195" s="77">
        <v>0</v>
      </c>
      <c r="S195" s="77">
        <v>0</v>
      </c>
      <c r="T195" s="77">
        <v>0</v>
      </c>
      <c r="U195" s="77">
        <v>0</v>
      </c>
      <c r="V195" s="77"/>
      <c r="W195" s="81" t="s">
        <v>1730</v>
      </c>
      <c r="X195" s="80" t="str">
        <f>HYPERLINK("https://www.inovies.com/web-design/")</f>
        <v>https://www.inovies.com/web-design/</v>
      </c>
      <c r="Y195" s="77" t="s">
        <v>1982</v>
      </c>
      <c r="Z195" s="77"/>
      <c r="AA195" s="77" t="s">
        <v>2149</v>
      </c>
      <c r="AB195" s="77" t="s">
        <v>2696</v>
      </c>
      <c r="AC195" s="81" t="s">
        <v>2707</v>
      </c>
      <c r="AD195" s="77" t="s">
        <v>2751</v>
      </c>
      <c r="AE195" s="80" t="str">
        <f>HYPERLINK("https://twitter.com/anithapujya/status/1260952407510355968")</f>
        <v>https://twitter.com/anithapujya/status/1260952407510355968</v>
      </c>
      <c r="AF195" s="79">
        <v>43965.63721064815</v>
      </c>
      <c r="AG195" s="85">
        <v>43965</v>
      </c>
      <c r="AH195" s="81" t="s">
        <v>2920</v>
      </c>
      <c r="AI195" s="77" t="b">
        <v>0</v>
      </c>
      <c r="AJ195" s="77"/>
      <c r="AK195" s="77"/>
      <c r="AL195" s="77"/>
      <c r="AM195" s="77"/>
      <c r="AN195" s="77"/>
      <c r="AO195" s="77"/>
      <c r="AP195" s="77"/>
      <c r="AQ195" s="77" t="s">
        <v>3967</v>
      </c>
      <c r="AR195" s="77"/>
      <c r="AS195" s="77"/>
      <c r="AT195" s="77"/>
      <c r="AU195" s="77"/>
      <c r="AV195" s="80" t="str">
        <f>HYPERLINK("https://pbs.twimg.com/media/EX_NgYBU0AI6oIM.jpg")</f>
        <v>https://pbs.twimg.com/media/EX_NgYBU0AI6oIM.jpg</v>
      </c>
      <c r="AW195" s="81" t="s">
        <v>4666</v>
      </c>
      <c r="AX195" s="81" t="s">
        <v>4666</v>
      </c>
      <c r="AY195" s="77"/>
      <c r="AZ195" s="81" t="s">
        <v>5773</v>
      </c>
      <c r="BA195" s="81" t="s">
        <v>5773</v>
      </c>
      <c r="BB195" s="81" t="s">
        <v>5773</v>
      </c>
      <c r="BC195" s="81" t="s">
        <v>4666</v>
      </c>
      <c r="BD195" s="81" t="s">
        <v>5801</v>
      </c>
      <c r="BE195" s="77"/>
      <c r="BF195" s="77"/>
      <c r="BG195" s="77"/>
      <c r="BH195" s="77"/>
      <c r="BI195" s="77"/>
    </row>
    <row r="196" spans="1:61" ht="15">
      <c r="A196" s="62" t="s">
        <v>281</v>
      </c>
      <c r="B196" s="62" t="s">
        <v>281</v>
      </c>
      <c r="C196" s="63"/>
      <c r="D196" s="64"/>
      <c r="E196" s="65"/>
      <c r="F196" s="66"/>
      <c r="G196" s="63"/>
      <c r="H196" s="67"/>
      <c r="I196" s="68"/>
      <c r="J196" s="68"/>
      <c r="K196" s="32" t="s">
        <v>65</v>
      </c>
      <c r="L196" s="75">
        <v>196</v>
      </c>
      <c r="M196" s="75"/>
      <c r="N196" s="70"/>
      <c r="O196" s="77" t="s">
        <v>179</v>
      </c>
      <c r="P196" s="79">
        <v>43964.45287037037</v>
      </c>
      <c r="Q196" s="77" t="s">
        <v>732</v>
      </c>
      <c r="R196" s="77">
        <v>1</v>
      </c>
      <c r="S196" s="77">
        <v>0</v>
      </c>
      <c r="T196" s="77">
        <v>0</v>
      </c>
      <c r="U196" s="77">
        <v>0</v>
      </c>
      <c r="V196" s="77"/>
      <c r="W196" s="81" t="s">
        <v>1731</v>
      </c>
      <c r="X196" s="80" t="str">
        <f>HYPERLINK("https://www.inovies.com/web-design/web-designing-company-in-hyderabad")</f>
        <v>https://www.inovies.com/web-design/web-designing-company-in-hyderabad</v>
      </c>
      <c r="Y196" s="77" t="s">
        <v>1982</v>
      </c>
      <c r="Z196" s="77"/>
      <c r="AA196" s="77" t="s">
        <v>2150</v>
      </c>
      <c r="AB196" s="77" t="s">
        <v>2696</v>
      </c>
      <c r="AC196" s="81" t="s">
        <v>2707</v>
      </c>
      <c r="AD196" s="77" t="s">
        <v>2751</v>
      </c>
      <c r="AE196" s="80" t="str">
        <f>HYPERLINK("https://twitter.com/anithapujya/status/1260523215891226624")</f>
        <v>https://twitter.com/anithapujya/status/1260523215891226624</v>
      </c>
      <c r="AF196" s="79">
        <v>43964.45287037037</v>
      </c>
      <c r="AG196" s="85">
        <v>43964</v>
      </c>
      <c r="AH196" s="81" t="s">
        <v>2921</v>
      </c>
      <c r="AI196" s="77" t="b">
        <v>0</v>
      </c>
      <c r="AJ196" s="77"/>
      <c r="AK196" s="77"/>
      <c r="AL196" s="77"/>
      <c r="AM196" s="77"/>
      <c r="AN196" s="77"/>
      <c r="AO196" s="77"/>
      <c r="AP196" s="77"/>
      <c r="AQ196" s="77" t="s">
        <v>3968</v>
      </c>
      <c r="AR196" s="77"/>
      <c r="AS196" s="77"/>
      <c r="AT196" s="77"/>
      <c r="AU196" s="77"/>
      <c r="AV196" s="80" t="str">
        <f>HYPERLINK("https://pbs.twimg.com/media/EX5HJpAVAAArT4c.jpg")</f>
        <v>https://pbs.twimg.com/media/EX5HJpAVAAArT4c.jpg</v>
      </c>
      <c r="AW196" s="81" t="s">
        <v>4667</v>
      </c>
      <c r="AX196" s="81" t="s">
        <v>4667</v>
      </c>
      <c r="AY196" s="77"/>
      <c r="AZ196" s="81" t="s">
        <v>5773</v>
      </c>
      <c r="BA196" s="81" t="s">
        <v>5773</v>
      </c>
      <c r="BB196" s="81" t="s">
        <v>5773</v>
      </c>
      <c r="BC196" s="81" t="s">
        <v>4667</v>
      </c>
      <c r="BD196" s="81" t="s">
        <v>5801</v>
      </c>
      <c r="BE196" s="77"/>
      <c r="BF196" s="77"/>
      <c r="BG196" s="77"/>
      <c r="BH196" s="77"/>
      <c r="BI196" s="77"/>
    </row>
    <row r="197" spans="1:61" ht="15">
      <c r="A197" s="62" t="s">
        <v>281</v>
      </c>
      <c r="B197" s="62" t="s">
        <v>281</v>
      </c>
      <c r="C197" s="63"/>
      <c r="D197" s="64"/>
      <c r="E197" s="65"/>
      <c r="F197" s="66"/>
      <c r="G197" s="63"/>
      <c r="H197" s="67"/>
      <c r="I197" s="68"/>
      <c r="J197" s="68"/>
      <c r="K197" s="32" t="s">
        <v>65</v>
      </c>
      <c r="L197" s="75">
        <v>197</v>
      </c>
      <c r="M197" s="75"/>
      <c r="N197" s="70"/>
      <c r="O197" s="77" t="s">
        <v>179</v>
      </c>
      <c r="P197" s="79">
        <v>43832.50494212963</v>
      </c>
      <c r="Q197" s="77" t="s">
        <v>733</v>
      </c>
      <c r="R197" s="77">
        <v>0</v>
      </c>
      <c r="S197" s="77">
        <v>0</v>
      </c>
      <c r="T197" s="77">
        <v>0</v>
      </c>
      <c r="U197" s="77">
        <v>0</v>
      </c>
      <c r="V197" s="77"/>
      <c r="W197" s="81" t="s">
        <v>1732</v>
      </c>
      <c r="X197" s="80" t="str">
        <f>HYPERLINK("https://cutt.ly/tryQ5Y8")</f>
        <v>https://cutt.ly/tryQ5Y8</v>
      </c>
      <c r="Y197" s="77" t="s">
        <v>1995</v>
      </c>
      <c r="Z197" s="77"/>
      <c r="AA197" s="77" t="s">
        <v>2151</v>
      </c>
      <c r="AB197" s="77" t="s">
        <v>2696</v>
      </c>
      <c r="AC197" s="81" t="s">
        <v>2707</v>
      </c>
      <c r="AD197" s="77" t="s">
        <v>2751</v>
      </c>
      <c r="AE197" s="80" t="str">
        <f>HYPERLINK("https://twitter.com/anithapujya/status/1212706887092670464")</f>
        <v>https://twitter.com/anithapujya/status/1212706887092670464</v>
      </c>
      <c r="AF197" s="79">
        <v>43832.50494212963</v>
      </c>
      <c r="AG197" s="85">
        <v>43832</v>
      </c>
      <c r="AH197" s="81" t="s">
        <v>2922</v>
      </c>
      <c r="AI197" s="77" t="b">
        <v>0</v>
      </c>
      <c r="AJ197" s="77"/>
      <c r="AK197" s="77"/>
      <c r="AL197" s="77"/>
      <c r="AM197" s="77"/>
      <c r="AN197" s="77"/>
      <c r="AO197" s="77"/>
      <c r="AP197" s="77"/>
      <c r="AQ197" s="77" t="s">
        <v>3969</v>
      </c>
      <c r="AR197" s="77"/>
      <c r="AS197" s="77"/>
      <c r="AT197" s="77"/>
      <c r="AU197" s="77"/>
      <c r="AV197" s="80" t="str">
        <f>HYPERLINK("https://pbs.twimg.com/media/ENRmdJqUUAAZPB4.jpg")</f>
        <v>https://pbs.twimg.com/media/ENRmdJqUUAAZPB4.jpg</v>
      </c>
      <c r="AW197" s="81" t="s">
        <v>4668</v>
      </c>
      <c r="AX197" s="81" t="s">
        <v>4668</v>
      </c>
      <c r="AY197" s="77"/>
      <c r="AZ197" s="81" t="s">
        <v>5773</v>
      </c>
      <c r="BA197" s="81" t="s">
        <v>5773</v>
      </c>
      <c r="BB197" s="81" t="s">
        <v>5773</v>
      </c>
      <c r="BC197" s="81" t="s">
        <v>4668</v>
      </c>
      <c r="BD197" s="81" t="s">
        <v>5801</v>
      </c>
      <c r="BE197" s="77"/>
      <c r="BF197" s="77"/>
      <c r="BG197" s="77"/>
      <c r="BH197" s="77"/>
      <c r="BI197" s="77"/>
    </row>
    <row r="198" spans="1:61" ht="15">
      <c r="A198" s="62" t="s">
        <v>281</v>
      </c>
      <c r="B198" s="62" t="s">
        <v>281</v>
      </c>
      <c r="C198" s="63"/>
      <c r="D198" s="64"/>
      <c r="E198" s="65"/>
      <c r="F198" s="66"/>
      <c r="G198" s="63"/>
      <c r="H198" s="67"/>
      <c r="I198" s="68"/>
      <c r="J198" s="68"/>
      <c r="K198" s="32" t="s">
        <v>65</v>
      </c>
      <c r="L198" s="75">
        <v>198</v>
      </c>
      <c r="M198" s="75"/>
      <c r="N198" s="70"/>
      <c r="O198" s="77" t="s">
        <v>179</v>
      </c>
      <c r="P198" s="79">
        <v>43830.39863425926</v>
      </c>
      <c r="Q198" s="77" t="s">
        <v>734</v>
      </c>
      <c r="R198" s="77">
        <v>0</v>
      </c>
      <c r="S198" s="77">
        <v>0</v>
      </c>
      <c r="T198" s="77">
        <v>0</v>
      </c>
      <c r="U198" s="77">
        <v>0</v>
      </c>
      <c r="V198" s="77"/>
      <c r="W198" s="81" t="s">
        <v>1733</v>
      </c>
      <c r="X198" s="80" t="str">
        <f>HYPERLINK("https://www.inovies.com/digital-marketing-company/content-marketing-strategy-company")</f>
        <v>https://www.inovies.com/digital-marketing-company/content-marketing-strategy-company</v>
      </c>
      <c r="Y198" s="77" t="s">
        <v>1982</v>
      </c>
      <c r="Z198" s="77"/>
      <c r="AA198" s="77" t="s">
        <v>2152</v>
      </c>
      <c r="AB198" s="77" t="s">
        <v>2696</v>
      </c>
      <c r="AC198" s="81" t="s">
        <v>2707</v>
      </c>
      <c r="AD198" s="77" t="s">
        <v>2751</v>
      </c>
      <c r="AE198" s="80" t="str">
        <f>HYPERLINK("https://twitter.com/anithapujya/status/1211943584410132480")</f>
        <v>https://twitter.com/anithapujya/status/1211943584410132480</v>
      </c>
      <c r="AF198" s="79">
        <v>43830.39863425926</v>
      </c>
      <c r="AG198" s="85">
        <v>43830</v>
      </c>
      <c r="AH198" s="81" t="s">
        <v>2923</v>
      </c>
      <c r="AI198" s="77" t="b">
        <v>0</v>
      </c>
      <c r="AJ198" s="77"/>
      <c r="AK198" s="77"/>
      <c r="AL198" s="77"/>
      <c r="AM198" s="77"/>
      <c r="AN198" s="77"/>
      <c r="AO198" s="77"/>
      <c r="AP198" s="77"/>
      <c r="AQ198" s="77" t="s">
        <v>3970</v>
      </c>
      <c r="AR198" s="77"/>
      <c r="AS198" s="77"/>
      <c r="AT198" s="77"/>
      <c r="AU198" s="77"/>
      <c r="AV198" s="80" t="str">
        <f>HYPERLINK("https://pbs.twimg.com/media/ENGwQiAU4AA6DbZ.jpg")</f>
        <v>https://pbs.twimg.com/media/ENGwQiAU4AA6DbZ.jpg</v>
      </c>
      <c r="AW198" s="81" t="s">
        <v>4669</v>
      </c>
      <c r="AX198" s="81" t="s">
        <v>4669</v>
      </c>
      <c r="AY198" s="77"/>
      <c r="AZ198" s="81" t="s">
        <v>5773</v>
      </c>
      <c r="BA198" s="81" t="s">
        <v>5773</v>
      </c>
      <c r="BB198" s="81" t="s">
        <v>5773</v>
      </c>
      <c r="BC198" s="81" t="s">
        <v>4669</v>
      </c>
      <c r="BD198" s="81" t="s">
        <v>5801</v>
      </c>
      <c r="BE198" s="77"/>
      <c r="BF198" s="77"/>
      <c r="BG198" s="77"/>
      <c r="BH198" s="77"/>
      <c r="BI198" s="77"/>
    </row>
    <row r="199" spans="1:61" ht="15">
      <c r="A199" s="62" t="s">
        <v>281</v>
      </c>
      <c r="B199" s="62" t="s">
        <v>281</v>
      </c>
      <c r="C199" s="63"/>
      <c r="D199" s="64"/>
      <c r="E199" s="65"/>
      <c r="F199" s="66"/>
      <c r="G199" s="63"/>
      <c r="H199" s="67"/>
      <c r="I199" s="68"/>
      <c r="J199" s="68"/>
      <c r="K199" s="32" t="s">
        <v>65</v>
      </c>
      <c r="L199" s="75">
        <v>199</v>
      </c>
      <c r="M199" s="75"/>
      <c r="N199" s="70"/>
      <c r="O199" s="77" t="s">
        <v>179</v>
      </c>
      <c r="P199" s="79">
        <v>43829.4894212963</v>
      </c>
      <c r="Q199" s="77" t="s">
        <v>735</v>
      </c>
      <c r="R199" s="77">
        <v>0</v>
      </c>
      <c r="S199" s="77">
        <v>0</v>
      </c>
      <c r="T199" s="77">
        <v>0</v>
      </c>
      <c r="U199" s="77">
        <v>0</v>
      </c>
      <c r="V199" s="77"/>
      <c r="W199" s="81" t="s">
        <v>1734</v>
      </c>
      <c r="X199" s="80" t="str">
        <f>HYPERLINK("https://www.inovies.com/digital-marketing-company/")</f>
        <v>https://www.inovies.com/digital-marketing-company/</v>
      </c>
      <c r="Y199" s="77" t="s">
        <v>1982</v>
      </c>
      <c r="Z199" s="77"/>
      <c r="AA199" s="77" t="s">
        <v>2153</v>
      </c>
      <c r="AB199" s="77" t="s">
        <v>2696</v>
      </c>
      <c r="AC199" s="81" t="s">
        <v>2707</v>
      </c>
      <c r="AD199" s="77" t="s">
        <v>2751</v>
      </c>
      <c r="AE199" s="80" t="str">
        <f>HYPERLINK("https://twitter.com/anithapujya/status/1211614097197846529")</f>
        <v>https://twitter.com/anithapujya/status/1211614097197846529</v>
      </c>
      <c r="AF199" s="79">
        <v>43829.4894212963</v>
      </c>
      <c r="AG199" s="85">
        <v>43829</v>
      </c>
      <c r="AH199" s="81" t="s">
        <v>2924</v>
      </c>
      <c r="AI199" s="77" t="b">
        <v>0</v>
      </c>
      <c r="AJ199" s="77"/>
      <c r="AK199" s="77"/>
      <c r="AL199" s="77"/>
      <c r="AM199" s="77"/>
      <c r="AN199" s="77"/>
      <c r="AO199" s="77"/>
      <c r="AP199" s="77"/>
      <c r="AQ199" s="77" t="s">
        <v>3971</v>
      </c>
      <c r="AR199" s="77"/>
      <c r="AS199" s="77"/>
      <c r="AT199" s="77"/>
      <c r="AU199" s="77"/>
      <c r="AV199" s="80" t="str">
        <f>HYPERLINK("https://pbs.twimg.com/media/ENCEmKrUcAARLh8.jpg")</f>
        <v>https://pbs.twimg.com/media/ENCEmKrUcAARLh8.jpg</v>
      </c>
      <c r="AW199" s="81" t="s">
        <v>4670</v>
      </c>
      <c r="AX199" s="81" t="s">
        <v>4670</v>
      </c>
      <c r="AY199" s="77"/>
      <c r="AZ199" s="81" t="s">
        <v>5773</v>
      </c>
      <c r="BA199" s="81" t="s">
        <v>5773</v>
      </c>
      <c r="BB199" s="81" t="s">
        <v>5773</v>
      </c>
      <c r="BC199" s="81" t="s">
        <v>4670</v>
      </c>
      <c r="BD199" s="81" t="s">
        <v>5801</v>
      </c>
      <c r="BE199" s="77"/>
      <c r="BF199" s="77"/>
      <c r="BG199" s="77"/>
      <c r="BH199" s="77"/>
      <c r="BI199" s="77"/>
    </row>
    <row r="200" spans="1:61" ht="15">
      <c r="A200" s="62" t="s">
        <v>281</v>
      </c>
      <c r="B200" s="62" t="s">
        <v>281</v>
      </c>
      <c r="C200" s="63"/>
      <c r="D200" s="64"/>
      <c r="E200" s="65"/>
      <c r="F200" s="66"/>
      <c r="G200" s="63"/>
      <c r="H200" s="67"/>
      <c r="I200" s="68"/>
      <c r="J200" s="68"/>
      <c r="K200" s="32" t="s">
        <v>65</v>
      </c>
      <c r="L200" s="75">
        <v>200</v>
      </c>
      <c r="M200" s="75"/>
      <c r="N200" s="70"/>
      <c r="O200" s="77" t="s">
        <v>179</v>
      </c>
      <c r="P200" s="79">
        <v>43826.295798611114</v>
      </c>
      <c r="Q200" s="77" t="s">
        <v>736</v>
      </c>
      <c r="R200" s="77">
        <v>0</v>
      </c>
      <c r="S200" s="77">
        <v>0</v>
      </c>
      <c r="T200" s="77">
        <v>0</v>
      </c>
      <c r="U200" s="77">
        <v>0</v>
      </c>
      <c r="V200" s="77"/>
      <c r="W200" s="81" t="s">
        <v>1735</v>
      </c>
      <c r="X200" s="80" t="str">
        <f>HYPERLINK("https://www.inovies.com/digital-marketing-company/social-media-marketing-company")</f>
        <v>https://www.inovies.com/digital-marketing-company/social-media-marketing-company</v>
      </c>
      <c r="Y200" s="77" t="s">
        <v>1982</v>
      </c>
      <c r="Z200" s="77"/>
      <c r="AA200" s="77" t="s">
        <v>2154</v>
      </c>
      <c r="AB200" s="77" t="s">
        <v>2696</v>
      </c>
      <c r="AC200" s="81" t="s">
        <v>2707</v>
      </c>
      <c r="AD200" s="77" t="s">
        <v>2751</v>
      </c>
      <c r="AE200" s="80" t="str">
        <f>HYPERLINK("https://twitter.com/anithapujya/status/1210456768389644288")</f>
        <v>https://twitter.com/anithapujya/status/1210456768389644288</v>
      </c>
      <c r="AF200" s="79">
        <v>43826.295798611114</v>
      </c>
      <c r="AG200" s="85">
        <v>43826</v>
      </c>
      <c r="AH200" s="81" t="s">
        <v>2925</v>
      </c>
      <c r="AI200" s="77" t="b">
        <v>0</v>
      </c>
      <c r="AJ200" s="77"/>
      <c r="AK200" s="77"/>
      <c r="AL200" s="77"/>
      <c r="AM200" s="77"/>
      <c r="AN200" s="77"/>
      <c r="AO200" s="77"/>
      <c r="AP200" s="77"/>
      <c r="AQ200" s="77" t="s">
        <v>3972</v>
      </c>
      <c r="AR200" s="77"/>
      <c r="AS200" s="77"/>
      <c r="AT200" s="77"/>
      <c r="AU200" s="77"/>
      <c r="AV200" s="80" t="str">
        <f>HYPERLINK("https://pbs.twimg.com/media/EMxoAZXUcAAHduO.jpg")</f>
        <v>https://pbs.twimg.com/media/EMxoAZXUcAAHduO.jpg</v>
      </c>
      <c r="AW200" s="81" t="s">
        <v>4671</v>
      </c>
      <c r="AX200" s="81" t="s">
        <v>4671</v>
      </c>
      <c r="AY200" s="77"/>
      <c r="AZ200" s="81" t="s">
        <v>5773</v>
      </c>
      <c r="BA200" s="81" t="s">
        <v>5773</v>
      </c>
      <c r="BB200" s="81" t="s">
        <v>5773</v>
      </c>
      <c r="BC200" s="81" t="s">
        <v>4671</v>
      </c>
      <c r="BD200" s="81" t="s">
        <v>5801</v>
      </c>
      <c r="BE200" s="77"/>
      <c r="BF200" s="77"/>
      <c r="BG200" s="77"/>
      <c r="BH200" s="77"/>
      <c r="BI200" s="77"/>
    </row>
    <row r="201" spans="1:61" ht="15">
      <c r="A201" s="62" t="s">
        <v>281</v>
      </c>
      <c r="B201" s="62" t="s">
        <v>281</v>
      </c>
      <c r="C201" s="63"/>
      <c r="D201" s="64"/>
      <c r="E201" s="65"/>
      <c r="F201" s="66"/>
      <c r="G201" s="63"/>
      <c r="H201" s="67"/>
      <c r="I201" s="68"/>
      <c r="J201" s="68"/>
      <c r="K201" s="32" t="s">
        <v>65</v>
      </c>
      <c r="L201" s="75">
        <v>201</v>
      </c>
      <c r="M201" s="75"/>
      <c r="N201" s="70"/>
      <c r="O201" s="77" t="s">
        <v>179</v>
      </c>
      <c r="P201" s="79">
        <v>43825.432025462964</v>
      </c>
      <c r="Q201" s="77" t="s">
        <v>737</v>
      </c>
      <c r="R201" s="77">
        <v>0</v>
      </c>
      <c r="S201" s="77">
        <v>0</v>
      </c>
      <c r="T201" s="77">
        <v>0</v>
      </c>
      <c r="U201" s="77">
        <v>0</v>
      </c>
      <c r="V201" s="77"/>
      <c r="W201" s="81" t="s">
        <v>1736</v>
      </c>
      <c r="X201" s="80" t="str">
        <f>HYPERLINK("https://www.inovies.com/digital-marketing-company/social-media-marketing-company")</f>
        <v>https://www.inovies.com/digital-marketing-company/social-media-marketing-company</v>
      </c>
      <c r="Y201" s="77" t="s">
        <v>1982</v>
      </c>
      <c r="Z201" s="77"/>
      <c r="AA201" s="77" t="s">
        <v>2155</v>
      </c>
      <c r="AB201" s="77" t="s">
        <v>2696</v>
      </c>
      <c r="AC201" s="81" t="s">
        <v>2707</v>
      </c>
      <c r="AD201" s="77" t="s">
        <v>2751</v>
      </c>
      <c r="AE201" s="80" t="str">
        <f>HYPERLINK("https://twitter.com/anithapujya/status/1210143746030850048")</f>
        <v>https://twitter.com/anithapujya/status/1210143746030850048</v>
      </c>
      <c r="AF201" s="79">
        <v>43825.432025462964</v>
      </c>
      <c r="AG201" s="85">
        <v>43825</v>
      </c>
      <c r="AH201" s="81" t="s">
        <v>2926</v>
      </c>
      <c r="AI201" s="77" t="b">
        <v>0</v>
      </c>
      <c r="AJ201" s="77"/>
      <c r="AK201" s="77"/>
      <c r="AL201" s="77"/>
      <c r="AM201" s="77"/>
      <c r="AN201" s="77"/>
      <c r="AO201" s="77"/>
      <c r="AP201" s="77"/>
      <c r="AQ201" s="77" t="s">
        <v>3973</v>
      </c>
      <c r="AR201" s="77"/>
      <c r="AS201" s="77"/>
      <c r="AT201" s="77"/>
      <c r="AU201" s="77"/>
      <c r="AV201" s="80" t="str">
        <f>HYPERLINK("https://pbs.twimg.com/media/EMtLTXDUcAADnKx.jpg")</f>
        <v>https://pbs.twimg.com/media/EMtLTXDUcAADnKx.jpg</v>
      </c>
      <c r="AW201" s="81" t="s">
        <v>4672</v>
      </c>
      <c r="AX201" s="81" t="s">
        <v>4672</v>
      </c>
      <c r="AY201" s="77"/>
      <c r="AZ201" s="81" t="s">
        <v>5773</v>
      </c>
      <c r="BA201" s="81" t="s">
        <v>5773</v>
      </c>
      <c r="BB201" s="81" t="s">
        <v>5773</v>
      </c>
      <c r="BC201" s="81" t="s">
        <v>4672</v>
      </c>
      <c r="BD201" s="81" t="s">
        <v>5801</v>
      </c>
      <c r="BE201" s="77"/>
      <c r="BF201" s="77"/>
      <c r="BG201" s="77"/>
      <c r="BH201" s="77"/>
      <c r="BI201" s="77"/>
    </row>
    <row r="202" spans="1:61" ht="15">
      <c r="A202" s="62" t="s">
        <v>281</v>
      </c>
      <c r="B202" s="62" t="s">
        <v>281</v>
      </c>
      <c r="C202" s="63"/>
      <c r="D202" s="64"/>
      <c r="E202" s="65"/>
      <c r="F202" s="66"/>
      <c r="G202" s="63"/>
      <c r="H202" s="67"/>
      <c r="I202" s="68"/>
      <c r="J202" s="68"/>
      <c r="K202" s="32" t="s">
        <v>65</v>
      </c>
      <c r="L202" s="75">
        <v>202</v>
      </c>
      <c r="M202" s="75"/>
      <c r="N202" s="70"/>
      <c r="O202" s="77" t="s">
        <v>179</v>
      </c>
      <c r="P202" s="79">
        <v>43834.247453703705</v>
      </c>
      <c r="Q202" s="77" t="s">
        <v>738</v>
      </c>
      <c r="R202" s="77">
        <v>0</v>
      </c>
      <c r="S202" s="77">
        <v>0</v>
      </c>
      <c r="T202" s="77">
        <v>0</v>
      </c>
      <c r="U202" s="77">
        <v>0</v>
      </c>
      <c r="V202" s="77"/>
      <c r="W202" s="81" t="s">
        <v>1732</v>
      </c>
      <c r="X202" s="80" t="str">
        <f>HYPERLINK("https://tinyurl.com/vhu9mmb")</f>
        <v>https://tinyurl.com/vhu9mmb</v>
      </c>
      <c r="Y202" s="77" t="s">
        <v>1986</v>
      </c>
      <c r="Z202" s="77"/>
      <c r="AA202" s="77" t="s">
        <v>2156</v>
      </c>
      <c r="AB202" s="77" t="s">
        <v>2696</v>
      </c>
      <c r="AC202" s="81" t="s">
        <v>2707</v>
      </c>
      <c r="AD202" s="77" t="s">
        <v>2751</v>
      </c>
      <c r="AE202" s="80" t="str">
        <f>HYPERLINK("https://twitter.com/anithapujya/status/1213338349898829827")</f>
        <v>https://twitter.com/anithapujya/status/1213338349898829827</v>
      </c>
      <c r="AF202" s="79">
        <v>43834.247453703705</v>
      </c>
      <c r="AG202" s="85">
        <v>43834</v>
      </c>
      <c r="AH202" s="81" t="s">
        <v>2927</v>
      </c>
      <c r="AI202" s="77" t="b">
        <v>0</v>
      </c>
      <c r="AJ202" s="77"/>
      <c r="AK202" s="77"/>
      <c r="AL202" s="77"/>
      <c r="AM202" s="77"/>
      <c r="AN202" s="77"/>
      <c r="AO202" s="77"/>
      <c r="AP202" s="77"/>
      <c r="AQ202" s="77" t="s">
        <v>3974</v>
      </c>
      <c r="AR202" s="77"/>
      <c r="AS202" s="77"/>
      <c r="AT202" s="77"/>
      <c r="AU202" s="77"/>
      <c r="AV202" s="80" t="str">
        <f>HYPERLINK("https://pbs.twimg.com/media/ENakx4kUEAIE8n3.jpg")</f>
        <v>https://pbs.twimg.com/media/ENakx4kUEAIE8n3.jpg</v>
      </c>
      <c r="AW202" s="81" t="s">
        <v>4673</v>
      </c>
      <c r="AX202" s="81" t="s">
        <v>4673</v>
      </c>
      <c r="AY202" s="77"/>
      <c r="AZ202" s="81" t="s">
        <v>5773</v>
      </c>
      <c r="BA202" s="81" t="s">
        <v>5773</v>
      </c>
      <c r="BB202" s="81" t="s">
        <v>5773</v>
      </c>
      <c r="BC202" s="81" t="s">
        <v>4673</v>
      </c>
      <c r="BD202" s="81" t="s">
        <v>5801</v>
      </c>
      <c r="BE202" s="77"/>
      <c r="BF202" s="77"/>
      <c r="BG202" s="77"/>
      <c r="BH202" s="77"/>
      <c r="BI202" s="77"/>
    </row>
    <row r="203" spans="1:61" ht="15">
      <c r="A203" s="62" t="s">
        <v>281</v>
      </c>
      <c r="B203" s="62" t="s">
        <v>281</v>
      </c>
      <c r="C203" s="63"/>
      <c r="D203" s="64"/>
      <c r="E203" s="65"/>
      <c r="F203" s="66"/>
      <c r="G203" s="63"/>
      <c r="H203" s="67"/>
      <c r="I203" s="68"/>
      <c r="J203" s="68"/>
      <c r="K203" s="32" t="s">
        <v>65</v>
      </c>
      <c r="L203" s="75">
        <v>203</v>
      </c>
      <c r="M203" s="75"/>
      <c r="N203" s="70"/>
      <c r="O203" s="77" t="s">
        <v>179</v>
      </c>
      <c r="P203" s="79">
        <v>43837.398125</v>
      </c>
      <c r="Q203" s="77" t="s">
        <v>739</v>
      </c>
      <c r="R203" s="77">
        <v>0</v>
      </c>
      <c r="S203" s="77">
        <v>0</v>
      </c>
      <c r="T203" s="77">
        <v>0</v>
      </c>
      <c r="U203" s="77">
        <v>0</v>
      </c>
      <c r="V203" s="77"/>
      <c r="W203" s="81" t="s">
        <v>1732</v>
      </c>
      <c r="X203" s="80" t="str">
        <f>HYPERLINK("https://www.inovies.com/digital-marketing-company/content-marketing-strategy-company")</f>
        <v>https://www.inovies.com/digital-marketing-company/content-marketing-strategy-company</v>
      </c>
      <c r="Y203" s="77" t="s">
        <v>1982</v>
      </c>
      <c r="Z203" s="77"/>
      <c r="AA203" s="77" t="s">
        <v>2157</v>
      </c>
      <c r="AB203" s="77" t="s">
        <v>2696</v>
      </c>
      <c r="AC203" s="81" t="s">
        <v>2707</v>
      </c>
      <c r="AD203" s="77" t="s">
        <v>2751</v>
      </c>
      <c r="AE203" s="80" t="str">
        <f>HYPERLINK("https://twitter.com/anithapujya/status/1214480115825954816")</f>
        <v>https://twitter.com/anithapujya/status/1214480115825954816</v>
      </c>
      <c r="AF203" s="79">
        <v>43837.398125</v>
      </c>
      <c r="AG203" s="85">
        <v>43837</v>
      </c>
      <c r="AH203" s="81" t="s">
        <v>2928</v>
      </c>
      <c r="AI203" s="77" t="b">
        <v>0</v>
      </c>
      <c r="AJ203" s="77"/>
      <c r="AK203" s="77"/>
      <c r="AL203" s="77"/>
      <c r="AM203" s="77"/>
      <c r="AN203" s="77"/>
      <c r="AO203" s="77"/>
      <c r="AP203" s="77"/>
      <c r="AQ203" s="77" t="s">
        <v>3975</v>
      </c>
      <c r="AR203" s="77"/>
      <c r="AS203" s="77"/>
      <c r="AT203" s="77"/>
      <c r="AU203" s="77"/>
      <c r="AV203" s="80" t="str">
        <f>HYPERLINK("https://pbs.twimg.com/media/ENqzIqEVUAEU8C0.jpg")</f>
        <v>https://pbs.twimg.com/media/ENqzIqEVUAEU8C0.jpg</v>
      </c>
      <c r="AW203" s="81" t="s">
        <v>4674</v>
      </c>
      <c r="AX203" s="81" t="s">
        <v>4674</v>
      </c>
      <c r="AY203" s="77"/>
      <c r="AZ203" s="81" t="s">
        <v>5773</v>
      </c>
      <c r="BA203" s="81" t="s">
        <v>5773</v>
      </c>
      <c r="BB203" s="81" t="s">
        <v>5773</v>
      </c>
      <c r="BC203" s="81" t="s">
        <v>4674</v>
      </c>
      <c r="BD203" s="81" t="s">
        <v>5801</v>
      </c>
      <c r="BE203" s="77"/>
      <c r="BF203" s="77"/>
      <c r="BG203" s="77"/>
      <c r="BH203" s="77"/>
      <c r="BI203" s="77"/>
    </row>
    <row r="204" spans="1:61" ht="15">
      <c r="A204" s="62" t="s">
        <v>281</v>
      </c>
      <c r="B204" s="62" t="s">
        <v>281</v>
      </c>
      <c r="C204" s="63"/>
      <c r="D204" s="64"/>
      <c r="E204" s="65"/>
      <c r="F204" s="66"/>
      <c r="G204" s="63"/>
      <c r="H204" s="67"/>
      <c r="I204" s="68"/>
      <c r="J204" s="68"/>
      <c r="K204" s="32" t="s">
        <v>65</v>
      </c>
      <c r="L204" s="75">
        <v>204</v>
      </c>
      <c r="M204" s="75"/>
      <c r="N204" s="70"/>
      <c r="O204" s="77" t="s">
        <v>179</v>
      </c>
      <c r="P204" s="79">
        <v>43836.3946875</v>
      </c>
      <c r="Q204" s="77" t="s">
        <v>740</v>
      </c>
      <c r="R204" s="77">
        <v>0</v>
      </c>
      <c r="S204" s="77">
        <v>0</v>
      </c>
      <c r="T204" s="77">
        <v>0</v>
      </c>
      <c r="U204" s="77">
        <v>0</v>
      </c>
      <c r="V204" s="77"/>
      <c r="W204" s="81" t="s">
        <v>1737</v>
      </c>
      <c r="X204" s="80" t="str">
        <f>HYPERLINK("https://www.inovies.com/digital-marketing-company/seo-company")</f>
        <v>https://www.inovies.com/digital-marketing-company/seo-company</v>
      </c>
      <c r="Y204" s="77" t="s">
        <v>1982</v>
      </c>
      <c r="Z204" s="77"/>
      <c r="AA204" s="77" t="s">
        <v>2158</v>
      </c>
      <c r="AB204" s="77" t="s">
        <v>2696</v>
      </c>
      <c r="AC204" s="81" t="s">
        <v>2707</v>
      </c>
      <c r="AD204" s="77" t="s">
        <v>2751</v>
      </c>
      <c r="AE204" s="80" t="str">
        <f>HYPERLINK("https://twitter.com/anithapujya/status/1214116483443200000")</f>
        <v>https://twitter.com/anithapujya/status/1214116483443200000</v>
      </c>
      <c r="AF204" s="79">
        <v>43836.3946875</v>
      </c>
      <c r="AG204" s="85">
        <v>43836</v>
      </c>
      <c r="AH204" s="81" t="s">
        <v>2929</v>
      </c>
      <c r="AI204" s="77" t="b">
        <v>0</v>
      </c>
      <c r="AJ204" s="77"/>
      <c r="AK204" s="77"/>
      <c r="AL204" s="77"/>
      <c r="AM204" s="77"/>
      <c r="AN204" s="77"/>
      <c r="AO204" s="77"/>
      <c r="AP204" s="77"/>
      <c r="AQ204" s="77" t="s">
        <v>3976</v>
      </c>
      <c r="AR204" s="77"/>
      <c r="AS204" s="77"/>
      <c r="AT204" s="77"/>
      <c r="AU204" s="77"/>
      <c r="AV204" s="80" t="str">
        <f>HYPERLINK("https://pbs.twimg.com/media/ENloWQ9UcAIGXeG.jpg")</f>
        <v>https://pbs.twimg.com/media/ENloWQ9UcAIGXeG.jpg</v>
      </c>
      <c r="AW204" s="81" t="s">
        <v>4675</v>
      </c>
      <c r="AX204" s="81" t="s">
        <v>4675</v>
      </c>
      <c r="AY204" s="77"/>
      <c r="AZ204" s="81" t="s">
        <v>5773</v>
      </c>
      <c r="BA204" s="81" t="s">
        <v>5773</v>
      </c>
      <c r="BB204" s="81" t="s">
        <v>5773</v>
      </c>
      <c r="BC204" s="81" t="s">
        <v>4675</v>
      </c>
      <c r="BD204" s="81" t="s">
        <v>5801</v>
      </c>
      <c r="BE204" s="77"/>
      <c r="BF204" s="77"/>
      <c r="BG204" s="77"/>
      <c r="BH204" s="77"/>
      <c r="BI204" s="77"/>
    </row>
    <row r="205" spans="1:61" ht="15">
      <c r="A205" s="62" t="s">
        <v>281</v>
      </c>
      <c r="B205" s="62" t="s">
        <v>281</v>
      </c>
      <c r="C205" s="63"/>
      <c r="D205" s="64"/>
      <c r="E205" s="65"/>
      <c r="F205" s="66"/>
      <c r="G205" s="63"/>
      <c r="H205" s="67"/>
      <c r="I205" s="68"/>
      <c r="J205" s="68"/>
      <c r="K205" s="32" t="s">
        <v>65</v>
      </c>
      <c r="L205" s="75">
        <v>205</v>
      </c>
      <c r="M205" s="75"/>
      <c r="N205" s="70"/>
      <c r="O205" s="77" t="s">
        <v>179</v>
      </c>
      <c r="P205" s="79">
        <v>43809.45521990741</v>
      </c>
      <c r="Q205" s="77" t="s">
        <v>741</v>
      </c>
      <c r="R205" s="77">
        <v>0</v>
      </c>
      <c r="S205" s="77">
        <v>0</v>
      </c>
      <c r="T205" s="77">
        <v>0</v>
      </c>
      <c r="U205" s="77">
        <v>0</v>
      </c>
      <c r="V205" s="77"/>
      <c r="W205" s="81" t="s">
        <v>1738</v>
      </c>
      <c r="X205" s="80" t="str">
        <f>HYPERLINK("http://b.link/web57")</f>
        <v>http://b.link/web57</v>
      </c>
      <c r="Y205" s="77" t="s">
        <v>1996</v>
      </c>
      <c r="Z205" s="77"/>
      <c r="AA205" s="77"/>
      <c r="AB205" s="77"/>
      <c r="AC205" s="81" t="s">
        <v>2707</v>
      </c>
      <c r="AD205" s="77" t="s">
        <v>2751</v>
      </c>
      <c r="AE205" s="80" t="str">
        <f>HYPERLINK("https://twitter.com/anithapujya/status/1204353948477353985")</f>
        <v>https://twitter.com/anithapujya/status/1204353948477353985</v>
      </c>
      <c r="AF205" s="79">
        <v>43809.45521990741</v>
      </c>
      <c r="AG205" s="85">
        <v>43809</v>
      </c>
      <c r="AH205" s="81" t="s">
        <v>2930</v>
      </c>
      <c r="AI205" s="77" t="b">
        <v>0</v>
      </c>
      <c r="AJ205" s="77"/>
      <c r="AK205" s="77"/>
      <c r="AL205" s="77"/>
      <c r="AM205" s="77"/>
      <c r="AN205" s="77"/>
      <c r="AO205" s="77"/>
      <c r="AP205" s="77"/>
      <c r="AQ205" s="77"/>
      <c r="AR205" s="77"/>
      <c r="AS205" s="77"/>
      <c r="AT205" s="77"/>
      <c r="AU205" s="77"/>
      <c r="AV205" s="80" t="str">
        <f>HYPERLINK("https://abs.twimg.com/sticky/default_profile_images/default_profile_normal.png")</f>
        <v>https://abs.twimg.com/sticky/default_profile_images/default_profile_normal.png</v>
      </c>
      <c r="AW205" s="81" t="s">
        <v>4676</v>
      </c>
      <c r="AX205" s="81" t="s">
        <v>4676</v>
      </c>
      <c r="AY205" s="77"/>
      <c r="AZ205" s="81" t="s">
        <v>5773</v>
      </c>
      <c r="BA205" s="81" t="s">
        <v>5773</v>
      </c>
      <c r="BB205" s="81" t="s">
        <v>5773</v>
      </c>
      <c r="BC205" s="81" t="s">
        <v>4676</v>
      </c>
      <c r="BD205" s="81" t="s">
        <v>5801</v>
      </c>
      <c r="BE205" s="77"/>
      <c r="BF205" s="77"/>
      <c r="BG205" s="77"/>
      <c r="BH205" s="77"/>
      <c r="BI205" s="77"/>
    </row>
    <row r="206" spans="1:61" ht="15">
      <c r="A206" s="62" t="s">
        <v>281</v>
      </c>
      <c r="B206" s="62" t="s">
        <v>281</v>
      </c>
      <c r="C206" s="63"/>
      <c r="D206" s="64"/>
      <c r="E206" s="65"/>
      <c r="F206" s="66"/>
      <c r="G206" s="63"/>
      <c r="H206" s="67"/>
      <c r="I206" s="68"/>
      <c r="J206" s="68"/>
      <c r="K206" s="32" t="s">
        <v>65</v>
      </c>
      <c r="L206" s="75">
        <v>206</v>
      </c>
      <c r="M206" s="75"/>
      <c r="N206" s="70"/>
      <c r="O206" s="77" t="s">
        <v>179</v>
      </c>
      <c r="P206" s="79">
        <v>43808.53341435185</v>
      </c>
      <c r="Q206" s="77" t="s">
        <v>742</v>
      </c>
      <c r="R206" s="77">
        <v>0</v>
      </c>
      <c r="S206" s="77">
        <v>0</v>
      </c>
      <c r="T206" s="77">
        <v>0</v>
      </c>
      <c r="U206" s="77">
        <v>0</v>
      </c>
      <c r="V206" s="77"/>
      <c r="W206" s="81" t="s">
        <v>1739</v>
      </c>
      <c r="X206" s="80" t="str">
        <f>HYPERLINK("https://is.gd/SLU0Su")</f>
        <v>https://is.gd/SLU0Su</v>
      </c>
      <c r="Y206" s="77" t="s">
        <v>1997</v>
      </c>
      <c r="Z206" s="77"/>
      <c r="AA206" s="77" t="s">
        <v>2159</v>
      </c>
      <c r="AB206" s="77" t="s">
        <v>2696</v>
      </c>
      <c r="AC206" s="81" t="s">
        <v>2707</v>
      </c>
      <c r="AD206" s="77" t="s">
        <v>2751</v>
      </c>
      <c r="AE206" s="80" t="str">
        <f>HYPERLINK("https://twitter.com/anithapujya/status/1204019896843026432")</f>
        <v>https://twitter.com/anithapujya/status/1204019896843026432</v>
      </c>
      <c r="AF206" s="79">
        <v>43808.53341435185</v>
      </c>
      <c r="AG206" s="85">
        <v>43808</v>
      </c>
      <c r="AH206" s="81" t="s">
        <v>2931</v>
      </c>
      <c r="AI206" s="77" t="b">
        <v>0</v>
      </c>
      <c r="AJ206" s="77"/>
      <c r="AK206" s="77"/>
      <c r="AL206" s="77"/>
      <c r="AM206" s="77"/>
      <c r="AN206" s="77"/>
      <c r="AO206" s="77"/>
      <c r="AP206" s="77"/>
      <c r="AQ206" s="77" t="s">
        <v>3977</v>
      </c>
      <c r="AR206" s="77"/>
      <c r="AS206" s="77"/>
      <c r="AT206" s="77"/>
      <c r="AU206" s="77"/>
      <c r="AV206" s="80" t="str">
        <f>HYPERLINK("https://pbs.twimg.com/media/ELWJtLIVAAUI4N8.jpg")</f>
        <v>https://pbs.twimg.com/media/ELWJtLIVAAUI4N8.jpg</v>
      </c>
      <c r="AW206" s="81" t="s">
        <v>4677</v>
      </c>
      <c r="AX206" s="81" t="s">
        <v>4677</v>
      </c>
      <c r="AY206" s="77"/>
      <c r="AZ206" s="81" t="s">
        <v>5773</v>
      </c>
      <c r="BA206" s="81" t="s">
        <v>5773</v>
      </c>
      <c r="BB206" s="81" t="s">
        <v>5773</v>
      </c>
      <c r="BC206" s="81" t="s">
        <v>4677</v>
      </c>
      <c r="BD206" s="81" t="s">
        <v>5801</v>
      </c>
      <c r="BE206" s="77"/>
      <c r="BF206" s="77"/>
      <c r="BG206" s="77"/>
      <c r="BH206" s="77"/>
      <c r="BI206" s="77"/>
    </row>
    <row r="207" spans="1:61" ht="15">
      <c r="A207" s="62" t="s">
        <v>281</v>
      </c>
      <c r="B207" s="62" t="s">
        <v>281</v>
      </c>
      <c r="C207" s="63"/>
      <c r="D207" s="64"/>
      <c r="E207" s="65"/>
      <c r="F207" s="66"/>
      <c r="G207" s="63"/>
      <c r="H207" s="67"/>
      <c r="I207" s="68"/>
      <c r="J207" s="68"/>
      <c r="K207" s="32" t="s">
        <v>65</v>
      </c>
      <c r="L207" s="75">
        <v>207</v>
      </c>
      <c r="M207" s="75"/>
      <c r="N207" s="70"/>
      <c r="O207" s="77" t="s">
        <v>179</v>
      </c>
      <c r="P207" s="79">
        <v>43808.528657407405</v>
      </c>
      <c r="Q207" s="77" t="s">
        <v>743</v>
      </c>
      <c r="R207" s="77">
        <v>0</v>
      </c>
      <c r="S207" s="77">
        <v>0</v>
      </c>
      <c r="T207" s="77">
        <v>0</v>
      </c>
      <c r="U207" s="77">
        <v>0</v>
      </c>
      <c r="V207" s="77"/>
      <c r="W207" s="81" t="s">
        <v>1740</v>
      </c>
      <c r="X207" s="80" t="str">
        <f>HYPERLINK("https://is.gd/MOoHAn")</f>
        <v>https://is.gd/MOoHAn</v>
      </c>
      <c r="Y207" s="77" t="s">
        <v>1997</v>
      </c>
      <c r="Z207" s="77"/>
      <c r="AA207" s="77" t="s">
        <v>2160</v>
      </c>
      <c r="AB207" s="77" t="s">
        <v>2696</v>
      </c>
      <c r="AC207" s="81" t="s">
        <v>2707</v>
      </c>
      <c r="AD207" s="77" t="s">
        <v>2751</v>
      </c>
      <c r="AE207" s="80" t="str">
        <f>HYPERLINK("https://twitter.com/anithapujya/status/1204018172824674309")</f>
        <v>https://twitter.com/anithapujya/status/1204018172824674309</v>
      </c>
      <c r="AF207" s="79">
        <v>43808.528657407405</v>
      </c>
      <c r="AG207" s="85">
        <v>43808</v>
      </c>
      <c r="AH207" s="81" t="s">
        <v>2932</v>
      </c>
      <c r="AI207" s="77" t="b">
        <v>0</v>
      </c>
      <c r="AJ207" s="77"/>
      <c r="AK207" s="77"/>
      <c r="AL207" s="77"/>
      <c r="AM207" s="77"/>
      <c r="AN207" s="77"/>
      <c r="AO207" s="77"/>
      <c r="AP207" s="77"/>
      <c r="AQ207" s="77" t="s">
        <v>3978</v>
      </c>
      <c r="AR207" s="77"/>
      <c r="AS207" s="77"/>
      <c r="AT207" s="77"/>
      <c r="AU207" s="77"/>
      <c r="AV207" s="80" t="str">
        <f>HYPERLINK("https://pbs.twimg.com/media/ELWIJL1UUAE91U0.jpg")</f>
        <v>https://pbs.twimg.com/media/ELWIJL1UUAE91U0.jpg</v>
      </c>
      <c r="AW207" s="81" t="s">
        <v>4678</v>
      </c>
      <c r="AX207" s="81" t="s">
        <v>4678</v>
      </c>
      <c r="AY207" s="77"/>
      <c r="AZ207" s="81" t="s">
        <v>5773</v>
      </c>
      <c r="BA207" s="81" t="s">
        <v>5773</v>
      </c>
      <c r="BB207" s="81" t="s">
        <v>5773</v>
      </c>
      <c r="BC207" s="81" t="s">
        <v>4678</v>
      </c>
      <c r="BD207" s="81" t="s">
        <v>5801</v>
      </c>
      <c r="BE207" s="77"/>
      <c r="BF207" s="77"/>
      <c r="BG207" s="77"/>
      <c r="BH207" s="77"/>
      <c r="BI207" s="77"/>
    </row>
    <row r="208" spans="1:61" ht="15">
      <c r="A208" s="62" t="s">
        <v>281</v>
      </c>
      <c r="B208" s="62" t="s">
        <v>281</v>
      </c>
      <c r="C208" s="63"/>
      <c r="D208" s="64"/>
      <c r="E208" s="65"/>
      <c r="F208" s="66"/>
      <c r="G208" s="63"/>
      <c r="H208" s="67"/>
      <c r="I208" s="68"/>
      <c r="J208" s="68"/>
      <c r="K208" s="32" t="s">
        <v>65</v>
      </c>
      <c r="L208" s="75">
        <v>208</v>
      </c>
      <c r="M208" s="75"/>
      <c r="N208" s="70"/>
      <c r="O208" s="77" t="s">
        <v>179</v>
      </c>
      <c r="P208" s="79">
        <v>43804.26908564815</v>
      </c>
      <c r="Q208" s="77" t="s">
        <v>744</v>
      </c>
      <c r="R208" s="77">
        <v>0</v>
      </c>
      <c r="S208" s="77">
        <v>0</v>
      </c>
      <c r="T208" s="77">
        <v>0</v>
      </c>
      <c r="U208" s="77">
        <v>0</v>
      </c>
      <c r="V208" s="77"/>
      <c r="W208" s="81" t="s">
        <v>1741</v>
      </c>
      <c r="X208" s="80" t="str">
        <f>HYPERLINK("https://www.inovies.com/web-design/")</f>
        <v>https://www.inovies.com/web-design/</v>
      </c>
      <c r="Y208" s="77" t="s">
        <v>1982</v>
      </c>
      <c r="Z208" s="77"/>
      <c r="AA208" s="77" t="s">
        <v>2161</v>
      </c>
      <c r="AB208" s="77" t="s">
        <v>2696</v>
      </c>
      <c r="AC208" s="81" t="s">
        <v>2707</v>
      </c>
      <c r="AD208" s="77" t="s">
        <v>2751</v>
      </c>
      <c r="AE208" s="80" t="str">
        <f>HYPERLINK("https://twitter.com/anithapujya/status/1202474554062331904")</f>
        <v>https://twitter.com/anithapujya/status/1202474554062331904</v>
      </c>
      <c r="AF208" s="79">
        <v>43804.26908564815</v>
      </c>
      <c r="AG208" s="85">
        <v>43804</v>
      </c>
      <c r="AH208" s="81" t="s">
        <v>2933</v>
      </c>
      <c r="AI208" s="77" t="b">
        <v>0</v>
      </c>
      <c r="AJ208" s="77"/>
      <c r="AK208" s="77"/>
      <c r="AL208" s="77"/>
      <c r="AM208" s="77"/>
      <c r="AN208" s="77"/>
      <c r="AO208" s="77"/>
      <c r="AP208" s="77"/>
      <c r="AQ208" s="77" t="s">
        <v>3979</v>
      </c>
      <c r="AR208" s="77"/>
      <c r="AS208" s="77"/>
      <c r="AT208" s="77"/>
      <c r="AU208" s="77"/>
      <c r="AV208" s="80" t="str">
        <f>HYPERLINK("https://pbs.twimg.com/media/ELAMOnhUYAAsXfO.jpg")</f>
        <v>https://pbs.twimg.com/media/ELAMOnhUYAAsXfO.jpg</v>
      </c>
      <c r="AW208" s="81" t="s">
        <v>4679</v>
      </c>
      <c r="AX208" s="81" t="s">
        <v>4679</v>
      </c>
      <c r="AY208" s="77"/>
      <c r="AZ208" s="81" t="s">
        <v>5773</v>
      </c>
      <c r="BA208" s="81" t="s">
        <v>5773</v>
      </c>
      <c r="BB208" s="81" t="s">
        <v>5773</v>
      </c>
      <c r="BC208" s="81" t="s">
        <v>4679</v>
      </c>
      <c r="BD208" s="81" t="s">
        <v>5801</v>
      </c>
      <c r="BE208" s="77"/>
      <c r="BF208" s="77"/>
      <c r="BG208" s="77"/>
      <c r="BH208" s="77"/>
      <c r="BI208" s="77"/>
    </row>
    <row r="209" spans="1:61" ht="15">
      <c r="A209" s="62" t="s">
        <v>281</v>
      </c>
      <c r="B209" s="62" t="s">
        <v>281</v>
      </c>
      <c r="C209" s="63"/>
      <c r="D209" s="64"/>
      <c r="E209" s="65"/>
      <c r="F209" s="66"/>
      <c r="G209" s="63"/>
      <c r="H209" s="67"/>
      <c r="I209" s="68"/>
      <c r="J209" s="68"/>
      <c r="K209" s="32" t="s">
        <v>65</v>
      </c>
      <c r="L209" s="75">
        <v>209</v>
      </c>
      <c r="M209" s="75"/>
      <c r="N209" s="70"/>
      <c r="O209" s="77" t="s">
        <v>179</v>
      </c>
      <c r="P209" s="79">
        <v>43804.26153935185</v>
      </c>
      <c r="Q209" s="77" t="s">
        <v>745</v>
      </c>
      <c r="R209" s="77">
        <v>0</v>
      </c>
      <c r="S209" s="77">
        <v>0</v>
      </c>
      <c r="T209" s="77">
        <v>0</v>
      </c>
      <c r="U209" s="77">
        <v>0</v>
      </c>
      <c r="V209" s="77"/>
      <c r="W209" s="81" t="s">
        <v>1742</v>
      </c>
      <c r="X209" s="80" t="str">
        <f>HYPERLINK("https://www.inovies.com/digital-marketing-company/")</f>
        <v>https://www.inovies.com/digital-marketing-company/</v>
      </c>
      <c r="Y209" s="77" t="s">
        <v>1982</v>
      </c>
      <c r="Z209" s="77"/>
      <c r="AA209" s="77" t="s">
        <v>2162</v>
      </c>
      <c r="AB209" s="77" t="s">
        <v>2696</v>
      </c>
      <c r="AC209" s="81" t="s">
        <v>2707</v>
      </c>
      <c r="AD209" s="77" t="s">
        <v>2751</v>
      </c>
      <c r="AE209" s="80" t="str">
        <f>HYPERLINK("https://twitter.com/anithapujya/status/1202471819657150464")</f>
        <v>https://twitter.com/anithapujya/status/1202471819657150464</v>
      </c>
      <c r="AF209" s="79">
        <v>43804.26153935185</v>
      </c>
      <c r="AG209" s="85">
        <v>43804</v>
      </c>
      <c r="AH209" s="81" t="s">
        <v>2934</v>
      </c>
      <c r="AI209" s="77" t="b">
        <v>0</v>
      </c>
      <c r="AJ209" s="77"/>
      <c r="AK209" s="77"/>
      <c r="AL209" s="77"/>
      <c r="AM209" s="77"/>
      <c r="AN209" s="77"/>
      <c r="AO209" s="77"/>
      <c r="AP209" s="77"/>
      <c r="AQ209" s="77" t="s">
        <v>3980</v>
      </c>
      <c r="AR209" s="77"/>
      <c r="AS209" s="77"/>
      <c r="AT209" s="77"/>
      <c r="AU209" s="77"/>
      <c r="AV209" s="80" t="str">
        <f>HYPERLINK("https://pbs.twimg.com/media/ELAJvbGUUAAIoup.jpg")</f>
        <v>https://pbs.twimg.com/media/ELAJvbGUUAAIoup.jpg</v>
      </c>
      <c r="AW209" s="81" t="s">
        <v>4680</v>
      </c>
      <c r="AX209" s="81" t="s">
        <v>4680</v>
      </c>
      <c r="AY209" s="77"/>
      <c r="AZ209" s="81" t="s">
        <v>5773</v>
      </c>
      <c r="BA209" s="81" t="s">
        <v>5773</v>
      </c>
      <c r="BB209" s="81" t="s">
        <v>5773</v>
      </c>
      <c r="BC209" s="81" t="s">
        <v>4680</v>
      </c>
      <c r="BD209" s="81" t="s">
        <v>5801</v>
      </c>
      <c r="BE209" s="77"/>
      <c r="BF209" s="77"/>
      <c r="BG209" s="77"/>
      <c r="BH209" s="77"/>
      <c r="BI209" s="77"/>
    </row>
    <row r="210" spans="1:61" ht="15">
      <c r="A210" s="62" t="s">
        <v>281</v>
      </c>
      <c r="B210" s="62" t="s">
        <v>281</v>
      </c>
      <c r="C210" s="63"/>
      <c r="D210" s="64"/>
      <c r="E210" s="65"/>
      <c r="F210" s="66"/>
      <c r="G210" s="63"/>
      <c r="H210" s="67"/>
      <c r="I210" s="68"/>
      <c r="J210" s="68"/>
      <c r="K210" s="32" t="s">
        <v>65</v>
      </c>
      <c r="L210" s="75">
        <v>210</v>
      </c>
      <c r="M210" s="75"/>
      <c r="N210" s="70"/>
      <c r="O210" s="77" t="s">
        <v>179</v>
      </c>
      <c r="P210" s="79">
        <v>43803.549479166664</v>
      </c>
      <c r="Q210" s="77" t="s">
        <v>746</v>
      </c>
      <c r="R210" s="77">
        <v>0</v>
      </c>
      <c r="S210" s="77">
        <v>0</v>
      </c>
      <c r="T210" s="77">
        <v>0</v>
      </c>
      <c r="U210" s="77">
        <v>0</v>
      </c>
      <c r="V210" s="77"/>
      <c r="W210" s="81" t="s">
        <v>1743</v>
      </c>
      <c r="X210" s="80" t="str">
        <f>HYPERLINK("https://www.inovies.com/web-design/")</f>
        <v>https://www.inovies.com/web-design/</v>
      </c>
      <c r="Y210" s="77" t="s">
        <v>1982</v>
      </c>
      <c r="Z210" s="77"/>
      <c r="AA210" s="77" t="s">
        <v>2163</v>
      </c>
      <c r="AB210" s="77" t="s">
        <v>2696</v>
      </c>
      <c r="AC210" s="81" t="s">
        <v>2707</v>
      </c>
      <c r="AD210" s="77" t="s">
        <v>2751</v>
      </c>
      <c r="AE210" s="80" t="str">
        <f>HYPERLINK("https://twitter.com/anithapujya/status/1202213777678032896")</f>
        <v>https://twitter.com/anithapujya/status/1202213777678032896</v>
      </c>
      <c r="AF210" s="79">
        <v>43803.549479166664</v>
      </c>
      <c r="AG210" s="85">
        <v>43803</v>
      </c>
      <c r="AH210" s="81" t="s">
        <v>2935</v>
      </c>
      <c r="AI210" s="77" t="b">
        <v>0</v>
      </c>
      <c r="AJ210" s="77"/>
      <c r="AK210" s="77"/>
      <c r="AL210" s="77"/>
      <c r="AM210" s="77"/>
      <c r="AN210" s="77"/>
      <c r="AO210" s="77"/>
      <c r="AP210" s="77"/>
      <c r="AQ210" s="77" t="s">
        <v>3981</v>
      </c>
      <c r="AR210" s="77"/>
      <c r="AS210" s="77"/>
      <c r="AT210" s="77"/>
      <c r="AU210" s="77"/>
      <c r="AV210" s="80" t="str">
        <f>HYPERLINK("https://pbs.twimg.com/media/EK8fDhtUYAI4qRP.jpg")</f>
        <v>https://pbs.twimg.com/media/EK8fDhtUYAI4qRP.jpg</v>
      </c>
      <c r="AW210" s="81" t="s">
        <v>4681</v>
      </c>
      <c r="AX210" s="81" t="s">
        <v>4681</v>
      </c>
      <c r="AY210" s="77"/>
      <c r="AZ210" s="81" t="s">
        <v>5773</v>
      </c>
      <c r="BA210" s="81" t="s">
        <v>5773</v>
      </c>
      <c r="BB210" s="81" t="s">
        <v>5773</v>
      </c>
      <c r="BC210" s="81" t="s">
        <v>4681</v>
      </c>
      <c r="BD210" s="81" t="s">
        <v>5801</v>
      </c>
      <c r="BE210" s="77"/>
      <c r="BF210" s="77"/>
      <c r="BG210" s="77"/>
      <c r="BH210" s="77"/>
      <c r="BI210" s="77"/>
    </row>
    <row r="211" spans="1:61" ht="15">
      <c r="A211" s="62" t="s">
        <v>281</v>
      </c>
      <c r="B211" s="62" t="s">
        <v>281</v>
      </c>
      <c r="C211" s="63"/>
      <c r="D211" s="64"/>
      <c r="E211" s="65"/>
      <c r="F211" s="66"/>
      <c r="G211" s="63"/>
      <c r="H211" s="67"/>
      <c r="I211" s="68"/>
      <c r="J211" s="68"/>
      <c r="K211" s="32" t="s">
        <v>65</v>
      </c>
      <c r="L211" s="75">
        <v>211</v>
      </c>
      <c r="M211" s="75"/>
      <c r="N211" s="70"/>
      <c r="O211" s="77" t="s">
        <v>179</v>
      </c>
      <c r="P211" s="79">
        <v>43938.52929398148</v>
      </c>
      <c r="Q211" s="77" t="s">
        <v>747</v>
      </c>
      <c r="R211" s="77">
        <v>0</v>
      </c>
      <c r="S211" s="77">
        <v>0</v>
      </c>
      <c r="T211" s="77">
        <v>0</v>
      </c>
      <c r="U211" s="77">
        <v>0</v>
      </c>
      <c r="V211" s="77"/>
      <c r="W211" s="81" t="s">
        <v>1744</v>
      </c>
      <c r="X211" s="80" t="str">
        <f>HYPERLINK("https://www.inovies.com/web-design/")</f>
        <v>https://www.inovies.com/web-design/</v>
      </c>
      <c r="Y211" s="77" t="s">
        <v>1982</v>
      </c>
      <c r="Z211" s="77"/>
      <c r="AA211" s="77" t="s">
        <v>2164</v>
      </c>
      <c r="AB211" s="77" t="s">
        <v>2696</v>
      </c>
      <c r="AC211" s="81" t="s">
        <v>2707</v>
      </c>
      <c r="AD211" s="77" t="s">
        <v>2751</v>
      </c>
      <c r="AE211" s="80" t="str">
        <f>HYPERLINK("https://twitter.com/anithapujya/status/1251128826043658240")</f>
        <v>https://twitter.com/anithapujya/status/1251128826043658240</v>
      </c>
      <c r="AF211" s="79">
        <v>43938.52929398148</v>
      </c>
      <c r="AG211" s="85">
        <v>43938</v>
      </c>
      <c r="AH211" s="81" t="s">
        <v>2936</v>
      </c>
      <c r="AI211" s="77" t="b">
        <v>0</v>
      </c>
      <c r="AJ211" s="77"/>
      <c r="AK211" s="77"/>
      <c r="AL211" s="77"/>
      <c r="AM211" s="77"/>
      <c r="AN211" s="77"/>
      <c r="AO211" s="77"/>
      <c r="AP211" s="77"/>
      <c r="AQ211" s="77" t="s">
        <v>3982</v>
      </c>
      <c r="AR211" s="77"/>
      <c r="AS211" s="77"/>
      <c r="AT211" s="77"/>
      <c r="AU211" s="77"/>
      <c r="AV211" s="80" t="str">
        <f>HYPERLINK("https://pbs.twimg.com/media/EVznBx6VcAgnwpb.jpg")</f>
        <v>https://pbs.twimg.com/media/EVznBx6VcAgnwpb.jpg</v>
      </c>
      <c r="AW211" s="81" t="s">
        <v>4682</v>
      </c>
      <c r="AX211" s="81" t="s">
        <v>4682</v>
      </c>
      <c r="AY211" s="77"/>
      <c r="AZ211" s="81" t="s">
        <v>5773</v>
      </c>
      <c r="BA211" s="81" t="s">
        <v>5773</v>
      </c>
      <c r="BB211" s="81" t="s">
        <v>5773</v>
      </c>
      <c r="BC211" s="81" t="s">
        <v>4682</v>
      </c>
      <c r="BD211" s="81" t="s">
        <v>5801</v>
      </c>
      <c r="BE211" s="77"/>
      <c r="BF211" s="77"/>
      <c r="BG211" s="77"/>
      <c r="BH211" s="77"/>
      <c r="BI211" s="77"/>
    </row>
    <row r="212" spans="1:61" ht="15">
      <c r="A212" s="62" t="s">
        <v>281</v>
      </c>
      <c r="B212" s="62" t="s">
        <v>281</v>
      </c>
      <c r="C212" s="63"/>
      <c r="D212" s="64"/>
      <c r="E212" s="65"/>
      <c r="F212" s="66"/>
      <c r="G212" s="63"/>
      <c r="H212" s="67"/>
      <c r="I212" s="68"/>
      <c r="J212" s="68"/>
      <c r="K212" s="32" t="s">
        <v>65</v>
      </c>
      <c r="L212" s="75">
        <v>212</v>
      </c>
      <c r="M212" s="75"/>
      <c r="N212" s="70"/>
      <c r="O212" s="77" t="s">
        <v>179</v>
      </c>
      <c r="P212" s="79">
        <v>43937.350752314815</v>
      </c>
      <c r="Q212" s="77" t="s">
        <v>748</v>
      </c>
      <c r="R212" s="77">
        <v>0</v>
      </c>
      <c r="S212" s="77">
        <v>1</v>
      </c>
      <c r="T212" s="77">
        <v>0</v>
      </c>
      <c r="U212" s="77">
        <v>0</v>
      </c>
      <c r="V212" s="77"/>
      <c r="W212" s="81" t="s">
        <v>1745</v>
      </c>
      <c r="X212" s="80" t="str">
        <f>HYPERLINK("https://www.inovies.com/web-design/web-designing-company-in-hyderabad")</f>
        <v>https://www.inovies.com/web-design/web-designing-company-in-hyderabad</v>
      </c>
      <c r="Y212" s="77" t="s">
        <v>1982</v>
      </c>
      <c r="Z212" s="77"/>
      <c r="AA212" s="77" t="s">
        <v>2165</v>
      </c>
      <c r="AB212" s="77" t="s">
        <v>2696</v>
      </c>
      <c r="AC212" s="81" t="s">
        <v>2707</v>
      </c>
      <c r="AD212" s="77" t="s">
        <v>2751</v>
      </c>
      <c r="AE212" s="80" t="str">
        <f>HYPERLINK("https://twitter.com/anithapujya/status/1250701735342903297")</f>
        <v>https://twitter.com/anithapujya/status/1250701735342903297</v>
      </c>
      <c r="AF212" s="79">
        <v>43937.350752314815</v>
      </c>
      <c r="AG212" s="85">
        <v>43937</v>
      </c>
      <c r="AH212" s="81" t="s">
        <v>2937</v>
      </c>
      <c r="AI212" s="77" t="b">
        <v>0</v>
      </c>
      <c r="AJ212" s="77"/>
      <c r="AK212" s="77"/>
      <c r="AL212" s="77"/>
      <c r="AM212" s="77"/>
      <c r="AN212" s="77"/>
      <c r="AO212" s="77"/>
      <c r="AP212" s="77"/>
      <c r="AQ212" s="77" t="s">
        <v>3983</v>
      </c>
      <c r="AR212" s="77"/>
      <c r="AS212" s="77"/>
      <c r="AT212" s="77"/>
      <c r="AU212" s="77"/>
      <c r="AV212" s="80" t="str">
        <f>HYPERLINK("https://pbs.twimg.com/media/EVtilvZU8AIcFjw.jpg")</f>
        <v>https://pbs.twimg.com/media/EVtilvZU8AIcFjw.jpg</v>
      </c>
      <c r="AW212" s="81" t="s">
        <v>4683</v>
      </c>
      <c r="AX212" s="81" t="s">
        <v>4683</v>
      </c>
      <c r="AY212" s="77"/>
      <c r="AZ212" s="81" t="s">
        <v>5773</v>
      </c>
      <c r="BA212" s="81" t="s">
        <v>5773</v>
      </c>
      <c r="BB212" s="81" t="s">
        <v>5773</v>
      </c>
      <c r="BC212" s="81" t="s">
        <v>4683</v>
      </c>
      <c r="BD212" s="81" t="s">
        <v>5801</v>
      </c>
      <c r="BE212" s="77"/>
      <c r="BF212" s="77"/>
      <c r="BG212" s="77"/>
      <c r="BH212" s="77"/>
      <c r="BI212" s="77"/>
    </row>
    <row r="213" spans="1:61" ht="15">
      <c r="A213" s="62" t="s">
        <v>281</v>
      </c>
      <c r="B213" s="62" t="s">
        <v>281</v>
      </c>
      <c r="C213" s="63"/>
      <c r="D213" s="64"/>
      <c r="E213" s="65"/>
      <c r="F213" s="66"/>
      <c r="G213" s="63"/>
      <c r="H213" s="67"/>
      <c r="I213" s="68"/>
      <c r="J213" s="68"/>
      <c r="K213" s="32" t="s">
        <v>65</v>
      </c>
      <c r="L213" s="75">
        <v>213</v>
      </c>
      <c r="M213" s="75"/>
      <c r="N213" s="70"/>
      <c r="O213" s="77" t="s">
        <v>179</v>
      </c>
      <c r="P213" s="79">
        <v>43937.349444444444</v>
      </c>
      <c r="Q213" s="77" t="s">
        <v>749</v>
      </c>
      <c r="R213" s="77">
        <v>0</v>
      </c>
      <c r="S213" s="77">
        <v>0</v>
      </c>
      <c r="T213" s="77">
        <v>0</v>
      </c>
      <c r="U213" s="77">
        <v>0</v>
      </c>
      <c r="V213" s="77"/>
      <c r="W213" s="77"/>
      <c r="X213" s="80" t="str">
        <f>HYPERLINK("https://www.inovies.com/web-design/web-designing-company-in-hyderabad")</f>
        <v>https://www.inovies.com/web-design/web-designing-company-in-hyderabad</v>
      </c>
      <c r="Y213" s="77" t="s">
        <v>1982</v>
      </c>
      <c r="Z213" s="77"/>
      <c r="AA213" s="77"/>
      <c r="AB213" s="77"/>
      <c r="AC213" s="81" t="s">
        <v>2707</v>
      </c>
      <c r="AD213" s="77" t="s">
        <v>2751</v>
      </c>
      <c r="AE213" s="80" t="str">
        <f>HYPERLINK("https://twitter.com/anithapujya/status/1250701261826961408")</f>
        <v>https://twitter.com/anithapujya/status/1250701261826961408</v>
      </c>
      <c r="AF213" s="79">
        <v>43937.349444444444</v>
      </c>
      <c r="AG213" s="85">
        <v>43937</v>
      </c>
      <c r="AH213" s="81" t="s">
        <v>2938</v>
      </c>
      <c r="AI213" s="77" t="b">
        <v>0</v>
      </c>
      <c r="AJ213" s="77"/>
      <c r="AK213" s="77"/>
      <c r="AL213" s="77"/>
      <c r="AM213" s="77"/>
      <c r="AN213" s="77"/>
      <c r="AO213" s="77"/>
      <c r="AP213" s="77"/>
      <c r="AQ213" s="77"/>
      <c r="AR213" s="77"/>
      <c r="AS213" s="77"/>
      <c r="AT213" s="77"/>
      <c r="AU213" s="77"/>
      <c r="AV213" s="80" t="str">
        <f>HYPERLINK("https://abs.twimg.com/sticky/default_profile_images/default_profile_normal.png")</f>
        <v>https://abs.twimg.com/sticky/default_profile_images/default_profile_normal.png</v>
      </c>
      <c r="AW213" s="81" t="s">
        <v>4684</v>
      </c>
      <c r="AX213" s="81" t="s">
        <v>4684</v>
      </c>
      <c r="AY213" s="77"/>
      <c r="AZ213" s="81" t="s">
        <v>5773</v>
      </c>
      <c r="BA213" s="81" t="s">
        <v>5773</v>
      </c>
      <c r="BB213" s="81" t="s">
        <v>5773</v>
      </c>
      <c r="BC213" s="81" t="s">
        <v>4684</v>
      </c>
      <c r="BD213" s="81" t="s">
        <v>5801</v>
      </c>
      <c r="BE213" s="77"/>
      <c r="BF213" s="77"/>
      <c r="BG213" s="77"/>
      <c r="BH213" s="77"/>
      <c r="BI213" s="77"/>
    </row>
    <row r="214" spans="1:61" ht="15">
      <c r="A214" s="62" t="s">
        <v>281</v>
      </c>
      <c r="B214" s="62" t="s">
        <v>281</v>
      </c>
      <c r="C214" s="63"/>
      <c r="D214" s="64"/>
      <c r="E214" s="65"/>
      <c r="F214" s="66"/>
      <c r="G214" s="63"/>
      <c r="H214" s="67"/>
      <c r="I214" s="68"/>
      <c r="J214" s="68"/>
      <c r="K214" s="32" t="s">
        <v>65</v>
      </c>
      <c r="L214" s="75">
        <v>214</v>
      </c>
      <c r="M214" s="75"/>
      <c r="N214" s="70"/>
      <c r="O214" s="77" t="s">
        <v>179</v>
      </c>
      <c r="P214" s="79">
        <v>43936.575694444444</v>
      </c>
      <c r="Q214" s="77" t="s">
        <v>750</v>
      </c>
      <c r="R214" s="77">
        <v>0</v>
      </c>
      <c r="S214" s="77">
        <v>0</v>
      </c>
      <c r="T214" s="77">
        <v>0</v>
      </c>
      <c r="U214" s="77">
        <v>0</v>
      </c>
      <c r="V214" s="77"/>
      <c r="W214" s="77"/>
      <c r="X214" s="80" t="str">
        <f>HYPERLINK("https://www.inovies.com/web-design/ecommerce-website-design-company")</f>
        <v>https://www.inovies.com/web-design/ecommerce-website-design-company</v>
      </c>
      <c r="Y214" s="77" t="s">
        <v>1982</v>
      </c>
      <c r="Z214" s="77"/>
      <c r="AA214" s="77" t="s">
        <v>2166</v>
      </c>
      <c r="AB214" s="77" t="s">
        <v>2696</v>
      </c>
      <c r="AC214" s="81" t="s">
        <v>2707</v>
      </c>
      <c r="AD214" s="77" t="s">
        <v>2751</v>
      </c>
      <c r="AE214" s="80" t="str">
        <f>HYPERLINK("https://twitter.com/anithapujya/status/1250420864564072448")</f>
        <v>https://twitter.com/anithapujya/status/1250420864564072448</v>
      </c>
      <c r="AF214" s="79">
        <v>43936.575694444444</v>
      </c>
      <c r="AG214" s="85">
        <v>43936</v>
      </c>
      <c r="AH214" s="81" t="s">
        <v>2939</v>
      </c>
      <c r="AI214" s="77" t="b">
        <v>0</v>
      </c>
      <c r="AJ214" s="77"/>
      <c r="AK214" s="77"/>
      <c r="AL214" s="77"/>
      <c r="AM214" s="77"/>
      <c r="AN214" s="77"/>
      <c r="AO214" s="77"/>
      <c r="AP214" s="77"/>
      <c r="AQ214" s="77" t="s">
        <v>3984</v>
      </c>
      <c r="AR214" s="77"/>
      <c r="AS214" s="77"/>
      <c r="AT214" s="77"/>
      <c r="AU214" s="77"/>
      <c r="AV214" s="80" t="str">
        <f>HYPERLINK("https://pbs.twimg.com/media/EVpjI6BUwAYL4Kz.jpg")</f>
        <v>https://pbs.twimg.com/media/EVpjI6BUwAYL4Kz.jpg</v>
      </c>
      <c r="AW214" s="81" t="s">
        <v>4685</v>
      </c>
      <c r="AX214" s="81" t="s">
        <v>4685</v>
      </c>
      <c r="AY214" s="77"/>
      <c r="AZ214" s="81" t="s">
        <v>5773</v>
      </c>
      <c r="BA214" s="81" t="s">
        <v>5773</v>
      </c>
      <c r="BB214" s="81" t="s">
        <v>5773</v>
      </c>
      <c r="BC214" s="81" t="s">
        <v>4685</v>
      </c>
      <c r="BD214" s="81" t="s">
        <v>5801</v>
      </c>
      <c r="BE214" s="77"/>
      <c r="BF214" s="77"/>
      <c r="BG214" s="77"/>
      <c r="BH214" s="77"/>
      <c r="BI214" s="77"/>
    </row>
    <row r="215" spans="1:61" ht="15">
      <c r="A215" s="62" t="s">
        <v>281</v>
      </c>
      <c r="B215" s="62" t="s">
        <v>281</v>
      </c>
      <c r="C215" s="63"/>
      <c r="D215" s="64"/>
      <c r="E215" s="65"/>
      <c r="F215" s="66"/>
      <c r="G215" s="63"/>
      <c r="H215" s="67"/>
      <c r="I215" s="68"/>
      <c r="J215" s="68"/>
      <c r="K215" s="32" t="s">
        <v>65</v>
      </c>
      <c r="L215" s="75">
        <v>215</v>
      </c>
      <c r="M215" s="75"/>
      <c r="N215" s="70"/>
      <c r="O215" s="77" t="s">
        <v>179</v>
      </c>
      <c r="P215" s="79">
        <v>43936.57528935185</v>
      </c>
      <c r="Q215" s="77" t="s">
        <v>751</v>
      </c>
      <c r="R215" s="77">
        <v>0</v>
      </c>
      <c r="S215" s="77">
        <v>0</v>
      </c>
      <c r="T215" s="77">
        <v>0</v>
      </c>
      <c r="U215" s="77">
        <v>0</v>
      </c>
      <c r="V215" s="77"/>
      <c r="W215" s="77"/>
      <c r="X215" s="80" t="str">
        <f>HYPERLINK("https://www.inovies.com/web-design/")</f>
        <v>https://www.inovies.com/web-design/</v>
      </c>
      <c r="Y215" s="77" t="s">
        <v>1982</v>
      </c>
      <c r="Z215" s="77"/>
      <c r="AA215" s="77"/>
      <c r="AB215" s="77"/>
      <c r="AC215" s="81" t="s">
        <v>2707</v>
      </c>
      <c r="AD215" s="77" t="s">
        <v>2751</v>
      </c>
      <c r="AE215" s="80" t="str">
        <f>HYPERLINK("https://twitter.com/anithapujya/status/1250420719151767552")</f>
        <v>https://twitter.com/anithapujya/status/1250420719151767552</v>
      </c>
      <c r="AF215" s="79">
        <v>43936.57528935185</v>
      </c>
      <c r="AG215" s="85">
        <v>43936</v>
      </c>
      <c r="AH215" s="81" t="s">
        <v>2940</v>
      </c>
      <c r="AI215" s="77" t="b">
        <v>0</v>
      </c>
      <c r="AJ215" s="77"/>
      <c r="AK215" s="77"/>
      <c r="AL215" s="77"/>
      <c r="AM215" s="77"/>
      <c r="AN215" s="77"/>
      <c r="AO215" s="77"/>
      <c r="AP215" s="77"/>
      <c r="AQ215" s="77"/>
      <c r="AR215" s="77"/>
      <c r="AS215" s="77"/>
      <c r="AT215" s="77"/>
      <c r="AU215" s="77"/>
      <c r="AV215" s="80" t="str">
        <f>HYPERLINK("https://abs.twimg.com/sticky/default_profile_images/default_profile_normal.png")</f>
        <v>https://abs.twimg.com/sticky/default_profile_images/default_profile_normal.png</v>
      </c>
      <c r="AW215" s="81" t="s">
        <v>4686</v>
      </c>
      <c r="AX215" s="81" t="s">
        <v>4686</v>
      </c>
      <c r="AY215" s="77"/>
      <c r="AZ215" s="81" t="s">
        <v>5773</v>
      </c>
      <c r="BA215" s="81" t="s">
        <v>5773</v>
      </c>
      <c r="BB215" s="81" t="s">
        <v>5773</v>
      </c>
      <c r="BC215" s="81" t="s">
        <v>4686</v>
      </c>
      <c r="BD215" s="81" t="s">
        <v>5801</v>
      </c>
      <c r="BE215" s="77"/>
      <c r="BF215" s="77"/>
      <c r="BG215" s="77"/>
      <c r="BH215" s="77"/>
      <c r="BI215" s="77"/>
    </row>
    <row r="216" spans="1:61" ht="15">
      <c r="A216" s="62" t="s">
        <v>281</v>
      </c>
      <c r="B216" s="62" t="s">
        <v>281</v>
      </c>
      <c r="C216" s="63"/>
      <c r="D216" s="64"/>
      <c r="E216" s="65"/>
      <c r="F216" s="66"/>
      <c r="G216" s="63"/>
      <c r="H216" s="67"/>
      <c r="I216" s="68"/>
      <c r="J216" s="68"/>
      <c r="K216" s="32" t="s">
        <v>65</v>
      </c>
      <c r="L216" s="75">
        <v>216</v>
      </c>
      <c r="M216" s="75"/>
      <c r="N216" s="70"/>
      <c r="O216" s="77" t="s">
        <v>179</v>
      </c>
      <c r="P216" s="79">
        <v>43936.57496527778</v>
      </c>
      <c r="Q216" s="77" t="s">
        <v>752</v>
      </c>
      <c r="R216" s="77">
        <v>0</v>
      </c>
      <c r="S216" s="77">
        <v>0</v>
      </c>
      <c r="T216" s="77">
        <v>0</v>
      </c>
      <c r="U216" s="77">
        <v>0</v>
      </c>
      <c r="V216" s="77"/>
      <c r="W216" s="77"/>
      <c r="X216" s="80" t="str">
        <f>HYPERLINK("https://www.inovies.com/web-design/web-designing-company-in-hyderabad")</f>
        <v>https://www.inovies.com/web-design/web-designing-company-in-hyderabad</v>
      </c>
      <c r="Y216" s="77" t="s">
        <v>1982</v>
      </c>
      <c r="Z216" s="77"/>
      <c r="AA216" s="77" t="s">
        <v>2167</v>
      </c>
      <c r="AB216" s="77" t="s">
        <v>2696</v>
      </c>
      <c r="AC216" s="81" t="s">
        <v>2707</v>
      </c>
      <c r="AD216" s="77" t="s">
        <v>2751</v>
      </c>
      <c r="AE216" s="80" t="str">
        <f>HYPERLINK("https://twitter.com/anithapujya/status/1250420600939507717")</f>
        <v>https://twitter.com/anithapujya/status/1250420600939507717</v>
      </c>
      <c r="AF216" s="79">
        <v>43936.57496527778</v>
      </c>
      <c r="AG216" s="85">
        <v>43936</v>
      </c>
      <c r="AH216" s="81" t="s">
        <v>2941</v>
      </c>
      <c r="AI216" s="77" t="b">
        <v>0</v>
      </c>
      <c r="AJ216" s="77"/>
      <c r="AK216" s="77"/>
      <c r="AL216" s="77"/>
      <c r="AM216" s="77"/>
      <c r="AN216" s="77"/>
      <c r="AO216" s="77"/>
      <c r="AP216" s="77"/>
      <c r="AQ216" s="77" t="s">
        <v>3985</v>
      </c>
      <c r="AR216" s="77"/>
      <c r="AS216" s="77"/>
      <c r="AT216" s="77"/>
      <c r="AU216" s="77"/>
      <c r="AV216" s="80" t="str">
        <f>HYPERLINK("https://pbs.twimg.com/media/EVpi43LUUAQgbjD.jpg")</f>
        <v>https://pbs.twimg.com/media/EVpi43LUUAQgbjD.jpg</v>
      </c>
      <c r="AW216" s="81" t="s">
        <v>4687</v>
      </c>
      <c r="AX216" s="81" t="s">
        <v>4687</v>
      </c>
      <c r="AY216" s="77"/>
      <c r="AZ216" s="81" t="s">
        <v>5773</v>
      </c>
      <c r="BA216" s="81" t="s">
        <v>5773</v>
      </c>
      <c r="BB216" s="81" t="s">
        <v>5773</v>
      </c>
      <c r="BC216" s="81" t="s">
        <v>4687</v>
      </c>
      <c r="BD216" s="81" t="s">
        <v>5801</v>
      </c>
      <c r="BE216" s="77"/>
      <c r="BF216" s="77"/>
      <c r="BG216" s="77"/>
      <c r="BH216" s="77"/>
      <c r="BI216" s="77"/>
    </row>
    <row r="217" spans="1:61" ht="15">
      <c r="A217" s="62" t="s">
        <v>281</v>
      </c>
      <c r="B217" s="62" t="s">
        <v>281</v>
      </c>
      <c r="C217" s="63"/>
      <c r="D217" s="64"/>
      <c r="E217" s="65"/>
      <c r="F217" s="66"/>
      <c r="G217" s="63"/>
      <c r="H217" s="67"/>
      <c r="I217" s="68"/>
      <c r="J217" s="68"/>
      <c r="K217" s="32" t="s">
        <v>65</v>
      </c>
      <c r="L217" s="75">
        <v>217</v>
      </c>
      <c r="M217" s="75"/>
      <c r="N217" s="70"/>
      <c r="O217" s="77" t="s">
        <v>179</v>
      </c>
      <c r="P217" s="79">
        <v>43930.57234953704</v>
      </c>
      <c r="Q217" s="77" t="s">
        <v>753</v>
      </c>
      <c r="R217" s="77">
        <v>0</v>
      </c>
      <c r="S217" s="77">
        <v>0</v>
      </c>
      <c r="T217" s="77">
        <v>0</v>
      </c>
      <c r="U217" s="77">
        <v>0</v>
      </c>
      <c r="V217" s="77"/>
      <c r="W217" s="81" t="s">
        <v>1746</v>
      </c>
      <c r="X217" s="80" t="str">
        <f>HYPERLINK("https://www.inovies.com/web-design/")</f>
        <v>https://www.inovies.com/web-design/</v>
      </c>
      <c r="Y217" s="77" t="s">
        <v>1982</v>
      </c>
      <c r="Z217" s="77"/>
      <c r="AA217" s="77" t="s">
        <v>2168</v>
      </c>
      <c r="AB217" s="77" t="s">
        <v>2696</v>
      </c>
      <c r="AC217" s="81" t="s">
        <v>2707</v>
      </c>
      <c r="AD217" s="77" t="s">
        <v>2751</v>
      </c>
      <c r="AE217" s="80" t="str">
        <f>HYPERLINK("https://twitter.com/anithapujya/status/1248245324654706691")</f>
        <v>https://twitter.com/anithapujya/status/1248245324654706691</v>
      </c>
      <c r="AF217" s="79">
        <v>43930.57234953704</v>
      </c>
      <c r="AG217" s="85">
        <v>43930</v>
      </c>
      <c r="AH217" s="81" t="s">
        <v>2942</v>
      </c>
      <c r="AI217" s="77" t="b">
        <v>0</v>
      </c>
      <c r="AJ217" s="77"/>
      <c r="AK217" s="77"/>
      <c r="AL217" s="77"/>
      <c r="AM217" s="77"/>
      <c r="AN217" s="77"/>
      <c r="AO217" s="77"/>
      <c r="AP217" s="77"/>
      <c r="AQ217" s="77" t="s">
        <v>3986</v>
      </c>
      <c r="AR217" s="77"/>
      <c r="AS217" s="77"/>
      <c r="AT217" s="77"/>
      <c r="AU217" s="77"/>
      <c r="AV217" s="80" t="str">
        <f>HYPERLINK("https://pbs.twimg.com/media/EVKof-nUcAAjFeU.png")</f>
        <v>https://pbs.twimg.com/media/EVKof-nUcAAjFeU.png</v>
      </c>
      <c r="AW217" s="81" t="s">
        <v>4688</v>
      </c>
      <c r="AX217" s="81" t="s">
        <v>4688</v>
      </c>
      <c r="AY217" s="77"/>
      <c r="AZ217" s="81" t="s">
        <v>5773</v>
      </c>
      <c r="BA217" s="81" t="s">
        <v>5773</v>
      </c>
      <c r="BB217" s="81" t="s">
        <v>5773</v>
      </c>
      <c r="BC217" s="81" t="s">
        <v>4688</v>
      </c>
      <c r="BD217" s="81" t="s">
        <v>5801</v>
      </c>
      <c r="BE217" s="77"/>
      <c r="BF217" s="77"/>
      <c r="BG217" s="77"/>
      <c r="BH217" s="77"/>
      <c r="BI217" s="77"/>
    </row>
    <row r="218" spans="1:61" ht="15">
      <c r="A218" s="62" t="s">
        <v>281</v>
      </c>
      <c r="B218" s="62" t="s">
        <v>281</v>
      </c>
      <c r="C218" s="63"/>
      <c r="D218" s="64"/>
      <c r="E218" s="65"/>
      <c r="F218" s="66"/>
      <c r="G218" s="63"/>
      <c r="H218" s="67"/>
      <c r="I218" s="68"/>
      <c r="J218" s="68"/>
      <c r="K218" s="32" t="s">
        <v>65</v>
      </c>
      <c r="L218" s="75">
        <v>218</v>
      </c>
      <c r="M218" s="75"/>
      <c r="N218" s="70"/>
      <c r="O218" s="77" t="s">
        <v>179</v>
      </c>
      <c r="P218" s="79">
        <v>43930.57150462963</v>
      </c>
      <c r="Q218" s="77" t="s">
        <v>754</v>
      </c>
      <c r="R218" s="77">
        <v>0</v>
      </c>
      <c r="S218" s="77">
        <v>0</v>
      </c>
      <c r="T218" s="77">
        <v>0</v>
      </c>
      <c r="U218" s="77">
        <v>0</v>
      </c>
      <c r="V218" s="77"/>
      <c r="W218" s="81" t="s">
        <v>1721</v>
      </c>
      <c r="X218" s="80" t="str">
        <f>HYPERLINK("https://www.inovies.com/web-design/web-designing-company-in-hyderabad")</f>
        <v>https://www.inovies.com/web-design/web-designing-company-in-hyderabad</v>
      </c>
      <c r="Y218" s="77" t="s">
        <v>1982</v>
      </c>
      <c r="Z218" s="77"/>
      <c r="AA218" s="77" t="s">
        <v>2169</v>
      </c>
      <c r="AB218" s="77" t="s">
        <v>2696</v>
      </c>
      <c r="AC218" s="81" t="s">
        <v>2707</v>
      </c>
      <c r="AD218" s="77" t="s">
        <v>2751</v>
      </c>
      <c r="AE218" s="80" t="str">
        <f>HYPERLINK("https://twitter.com/anithapujya/status/1248245020424949761")</f>
        <v>https://twitter.com/anithapujya/status/1248245020424949761</v>
      </c>
      <c r="AF218" s="79">
        <v>43930.57150462963</v>
      </c>
      <c r="AG218" s="85">
        <v>43930</v>
      </c>
      <c r="AH218" s="81" t="s">
        <v>2943</v>
      </c>
      <c r="AI218" s="77" t="b">
        <v>0</v>
      </c>
      <c r="AJ218" s="77"/>
      <c r="AK218" s="77"/>
      <c r="AL218" s="77"/>
      <c r="AM218" s="77"/>
      <c r="AN218" s="77"/>
      <c r="AO218" s="77"/>
      <c r="AP218" s="77"/>
      <c r="AQ218" s="77" t="s">
        <v>3987</v>
      </c>
      <c r="AR218" s="77"/>
      <c r="AS218" s="77"/>
      <c r="AT218" s="77"/>
      <c r="AU218" s="77"/>
      <c r="AV218" s="80" t="str">
        <f>HYPERLINK("https://pbs.twimg.com/media/EVKoIWwUUAICwez.jpg")</f>
        <v>https://pbs.twimg.com/media/EVKoIWwUUAICwez.jpg</v>
      </c>
      <c r="AW218" s="81" t="s">
        <v>4689</v>
      </c>
      <c r="AX218" s="81" t="s">
        <v>4689</v>
      </c>
      <c r="AY218" s="77"/>
      <c r="AZ218" s="81" t="s">
        <v>5773</v>
      </c>
      <c r="BA218" s="81" t="s">
        <v>5773</v>
      </c>
      <c r="BB218" s="81" t="s">
        <v>5773</v>
      </c>
      <c r="BC218" s="81" t="s">
        <v>4689</v>
      </c>
      <c r="BD218" s="81" t="s">
        <v>5801</v>
      </c>
      <c r="BE218" s="77"/>
      <c r="BF218" s="77"/>
      <c r="BG218" s="77"/>
      <c r="BH218" s="77"/>
      <c r="BI218" s="77"/>
    </row>
    <row r="219" spans="1:61" ht="15">
      <c r="A219" s="62" t="s">
        <v>281</v>
      </c>
      <c r="B219" s="62" t="s">
        <v>281</v>
      </c>
      <c r="C219" s="63"/>
      <c r="D219" s="64"/>
      <c r="E219" s="65"/>
      <c r="F219" s="66"/>
      <c r="G219" s="63"/>
      <c r="H219" s="67"/>
      <c r="I219" s="68"/>
      <c r="J219" s="68"/>
      <c r="K219" s="32" t="s">
        <v>65</v>
      </c>
      <c r="L219" s="75">
        <v>219</v>
      </c>
      <c r="M219" s="75"/>
      <c r="N219" s="70"/>
      <c r="O219" s="77" t="s">
        <v>179</v>
      </c>
      <c r="P219" s="79">
        <v>43959.56715277778</v>
      </c>
      <c r="Q219" s="77" t="s">
        <v>755</v>
      </c>
      <c r="R219" s="77">
        <v>0</v>
      </c>
      <c r="S219" s="77">
        <v>0</v>
      </c>
      <c r="T219" s="77">
        <v>0</v>
      </c>
      <c r="U219" s="77">
        <v>0</v>
      </c>
      <c r="V219" s="77"/>
      <c r="W219" s="81" t="s">
        <v>1747</v>
      </c>
      <c r="X219" s="80" t="str">
        <f>HYPERLINK("https://www.inovies.com/web-design/web-designing-company-in-hyderabad")</f>
        <v>https://www.inovies.com/web-design/web-designing-company-in-hyderabad</v>
      </c>
      <c r="Y219" s="77" t="s">
        <v>1982</v>
      </c>
      <c r="Z219" s="77"/>
      <c r="AA219" s="77" t="s">
        <v>2170</v>
      </c>
      <c r="AB219" s="77" t="s">
        <v>2696</v>
      </c>
      <c r="AC219" s="81" t="s">
        <v>2707</v>
      </c>
      <c r="AD219" s="77" t="s">
        <v>2751</v>
      </c>
      <c r="AE219" s="80" t="str">
        <f>HYPERLINK("https://twitter.com/anithapujya/status/1258752691771072512")</f>
        <v>https://twitter.com/anithapujya/status/1258752691771072512</v>
      </c>
      <c r="AF219" s="79">
        <v>43959.56715277778</v>
      </c>
      <c r="AG219" s="85">
        <v>43959</v>
      </c>
      <c r="AH219" s="81" t="s">
        <v>2944</v>
      </c>
      <c r="AI219" s="77" t="b">
        <v>0</v>
      </c>
      <c r="AJ219" s="77"/>
      <c r="AK219" s="77"/>
      <c r="AL219" s="77"/>
      <c r="AM219" s="77"/>
      <c r="AN219" s="77"/>
      <c r="AO219" s="77"/>
      <c r="AP219" s="77"/>
      <c r="AQ219" s="77" t="s">
        <v>3988</v>
      </c>
      <c r="AR219" s="77"/>
      <c r="AS219" s="77"/>
      <c r="AT219" s="77"/>
      <c r="AU219" s="77"/>
      <c r="AV219" s="80" t="str">
        <f>HYPERLINK("https://pbs.twimg.com/media/EXf8z6-U4AAXBFW.jpg")</f>
        <v>https://pbs.twimg.com/media/EXf8z6-U4AAXBFW.jpg</v>
      </c>
      <c r="AW219" s="81" t="s">
        <v>4690</v>
      </c>
      <c r="AX219" s="81" t="s">
        <v>4690</v>
      </c>
      <c r="AY219" s="77"/>
      <c r="AZ219" s="81" t="s">
        <v>5773</v>
      </c>
      <c r="BA219" s="81" t="s">
        <v>5773</v>
      </c>
      <c r="BB219" s="81" t="s">
        <v>5773</v>
      </c>
      <c r="BC219" s="81" t="s">
        <v>4690</v>
      </c>
      <c r="BD219" s="81" t="s">
        <v>5801</v>
      </c>
      <c r="BE219" s="77"/>
      <c r="BF219" s="77"/>
      <c r="BG219" s="77"/>
      <c r="BH219" s="77"/>
      <c r="BI219" s="77"/>
    </row>
    <row r="220" spans="1:61" ht="15">
      <c r="A220" s="62" t="s">
        <v>281</v>
      </c>
      <c r="B220" s="62" t="s">
        <v>281</v>
      </c>
      <c r="C220" s="63"/>
      <c r="D220" s="64"/>
      <c r="E220" s="65"/>
      <c r="F220" s="66"/>
      <c r="G220" s="63"/>
      <c r="H220" s="67"/>
      <c r="I220" s="68"/>
      <c r="J220" s="68"/>
      <c r="K220" s="32" t="s">
        <v>65</v>
      </c>
      <c r="L220" s="75">
        <v>220</v>
      </c>
      <c r="M220" s="75"/>
      <c r="N220" s="70"/>
      <c r="O220" s="77" t="s">
        <v>179</v>
      </c>
      <c r="P220" s="79">
        <v>43958.59376157408</v>
      </c>
      <c r="Q220" s="77" t="s">
        <v>756</v>
      </c>
      <c r="R220" s="77">
        <v>0</v>
      </c>
      <c r="S220" s="77">
        <v>1</v>
      </c>
      <c r="T220" s="77">
        <v>0</v>
      </c>
      <c r="U220" s="77">
        <v>0</v>
      </c>
      <c r="V220" s="77"/>
      <c r="W220" s="81" t="s">
        <v>1748</v>
      </c>
      <c r="X220" s="80" t="str">
        <f>HYPERLINK("https://www.inovies.com/web-design/")</f>
        <v>https://www.inovies.com/web-design/</v>
      </c>
      <c r="Y220" s="77" t="s">
        <v>1982</v>
      </c>
      <c r="Z220" s="77"/>
      <c r="AA220" s="77" t="s">
        <v>2171</v>
      </c>
      <c r="AB220" s="77" t="s">
        <v>2696</v>
      </c>
      <c r="AC220" s="81" t="s">
        <v>2707</v>
      </c>
      <c r="AD220" s="77" t="s">
        <v>2751</v>
      </c>
      <c r="AE220" s="80" t="str">
        <f>HYPERLINK("https://twitter.com/anithapujya/status/1258399944383201280")</f>
        <v>https://twitter.com/anithapujya/status/1258399944383201280</v>
      </c>
      <c r="AF220" s="79">
        <v>43958.59376157408</v>
      </c>
      <c r="AG220" s="85">
        <v>43958</v>
      </c>
      <c r="AH220" s="81" t="s">
        <v>2945</v>
      </c>
      <c r="AI220" s="77" t="b">
        <v>0</v>
      </c>
      <c r="AJ220" s="77"/>
      <c r="AK220" s="77"/>
      <c r="AL220" s="77"/>
      <c r="AM220" s="77"/>
      <c r="AN220" s="77"/>
      <c r="AO220" s="77"/>
      <c r="AP220" s="77"/>
      <c r="AQ220" s="77" t="s">
        <v>3989</v>
      </c>
      <c r="AR220" s="77"/>
      <c r="AS220" s="77"/>
      <c r="AT220" s="77"/>
      <c r="AU220" s="77"/>
      <c r="AV220" s="80" t="str">
        <f>HYPERLINK("https://pbs.twimg.com/media/EXa8DScUYAAXF0D.jpg")</f>
        <v>https://pbs.twimg.com/media/EXa8DScUYAAXF0D.jpg</v>
      </c>
      <c r="AW220" s="81" t="s">
        <v>4691</v>
      </c>
      <c r="AX220" s="81" t="s">
        <v>4691</v>
      </c>
      <c r="AY220" s="77"/>
      <c r="AZ220" s="81" t="s">
        <v>5773</v>
      </c>
      <c r="BA220" s="81" t="s">
        <v>5773</v>
      </c>
      <c r="BB220" s="81" t="s">
        <v>5773</v>
      </c>
      <c r="BC220" s="81" t="s">
        <v>4691</v>
      </c>
      <c r="BD220" s="81" t="s">
        <v>5801</v>
      </c>
      <c r="BE220" s="77"/>
      <c r="BF220" s="77"/>
      <c r="BG220" s="77"/>
      <c r="BH220" s="77"/>
      <c r="BI220" s="77"/>
    </row>
    <row r="221" spans="1:61" ht="15">
      <c r="A221" s="62" t="s">
        <v>281</v>
      </c>
      <c r="B221" s="62" t="s">
        <v>281</v>
      </c>
      <c r="C221" s="63"/>
      <c r="D221" s="64"/>
      <c r="E221" s="65"/>
      <c r="F221" s="66"/>
      <c r="G221" s="63"/>
      <c r="H221" s="67"/>
      <c r="I221" s="68"/>
      <c r="J221" s="68"/>
      <c r="K221" s="32" t="s">
        <v>65</v>
      </c>
      <c r="L221" s="75">
        <v>221</v>
      </c>
      <c r="M221" s="75"/>
      <c r="N221" s="70"/>
      <c r="O221" s="77" t="s">
        <v>179</v>
      </c>
      <c r="P221" s="79">
        <v>43957.406180555554</v>
      </c>
      <c r="Q221" s="77" t="s">
        <v>757</v>
      </c>
      <c r="R221" s="77">
        <v>1</v>
      </c>
      <c r="S221" s="77">
        <v>0</v>
      </c>
      <c r="T221" s="77">
        <v>0</v>
      </c>
      <c r="U221" s="77">
        <v>0</v>
      </c>
      <c r="V221" s="77"/>
      <c r="W221" s="81" t="s">
        <v>1749</v>
      </c>
      <c r="X221" s="80" t="str">
        <f>HYPERLINK("https://www.inovies.com/web-design/")</f>
        <v>https://www.inovies.com/web-design/</v>
      </c>
      <c r="Y221" s="77" t="s">
        <v>1982</v>
      </c>
      <c r="Z221" s="77"/>
      <c r="AA221" s="77" t="s">
        <v>2172</v>
      </c>
      <c r="AB221" s="77" t="s">
        <v>2696</v>
      </c>
      <c r="AC221" s="81" t="s">
        <v>2707</v>
      </c>
      <c r="AD221" s="77" t="s">
        <v>2751</v>
      </c>
      <c r="AE221" s="80" t="str">
        <f>HYPERLINK("https://twitter.com/anithapujya/status/1257969578933497857")</f>
        <v>https://twitter.com/anithapujya/status/1257969578933497857</v>
      </c>
      <c r="AF221" s="79">
        <v>43957.406180555554</v>
      </c>
      <c r="AG221" s="85">
        <v>43957</v>
      </c>
      <c r="AH221" s="81" t="s">
        <v>2946</v>
      </c>
      <c r="AI221" s="77" t="b">
        <v>0</v>
      </c>
      <c r="AJ221" s="77"/>
      <c r="AK221" s="77"/>
      <c r="AL221" s="77"/>
      <c r="AM221" s="77"/>
      <c r="AN221" s="77"/>
      <c r="AO221" s="77"/>
      <c r="AP221" s="77"/>
      <c r="AQ221" s="77" t="s">
        <v>3990</v>
      </c>
      <c r="AR221" s="77"/>
      <c r="AS221" s="77"/>
      <c r="AT221" s="77"/>
      <c r="AU221" s="77"/>
      <c r="AV221" s="80" t="str">
        <f>HYPERLINK("https://pbs.twimg.com/media/EXU0gaNUcAAh0DS.jpg")</f>
        <v>https://pbs.twimg.com/media/EXU0gaNUcAAh0DS.jpg</v>
      </c>
      <c r="AW221" s="81" t="s">
        <v>4692</v>
      </c>
      <c r="AX221" s="81" t="s">
        <v>4692</v>
      </c>
      <c r="AY221" s="77"/>
      <c r="AZ221" s="81" t="s">
        <v>5773</v>
      </c>
      <c r="BA221" s="81" t="s">
        <v>5773</v>
      </c>
      <c r="BB221" s="81" t="s">
        <v>5773</v>
      </c>
      <c r="BC221" s="81" t="s">
        <v>4692</v>
      </c>
      <c r="BD221" s="81" t="s">
        <v>5801</v>
      </c>
      <c r="BE221" s="77"/>
      <c r="BF221" s="77"/>
      <c r="BG221" s="77"/>
      <c r="BH221" s="77"/>
      <c r="BI221" s="77"/>
    </row>
    <row r="222" spans="1:61" ht="15">
      <c r="A222" s="62" t="s">
        <v>281</v>
      </c>
      <c r="B222" s="62" t="s">
        <v>281</v>
      </c>
      <c r="C222" s="63"/>
      <c r="D222" s="64"/>
      <c r="E222" s="65"/>
      <c r="F222" s="66"/>
      <c r="G222" s="63"/>
      <c r="H222" s="67"/>
      <c r="I222" s="68"/>
      <c r="J222" s="68"/>
      <c r="K222" s="32" t="s">
        <v>65</v>
      </c>
      <c r="L222" s="75">
        <v>222</v>
      </c>
      <c r="M222" s="75"/>
      <c r="N222" s="70"/>
      <c r="O222" s="77" t="s">
        <v>179</v>
      </c>
      <c r="P222" s="79">
        <v>43956.685381944444</v>
      </c>
      <c r="Q222" s="77" t="s">
        <v>758</v>
      </c>
      <c r="R222" s="77">
        <v>1</v>
      </c>
      <c r="S222" s="77">
        <v>0</v>
      </c>
      <c r="T222" s="77">
        <v>0</v>
      </c>
      <c r="U222" s="77">
        <v>0</v>
      </c>
      <c r="V222" s="77"/>
      <c r="W222" s="81" t="s">
        <v>1750</v>
      </c>
      <c r="X222" s="80" t="str">
        <f>HYPERLINK("https://www.inovies.com/web-design/website-design-packages")</f>
        <v>https://www.inovies.com/web-design/website-design-packages</v>
      </c>
      <c r="Y222" s="77" t="s">
        <v>1982</v>
      </c>
      <c r="Z222" s="77"/>
      <c r="AA222" s="77" t="s">
        <v>2173</v>
      </c>
      <c r="AB222" s="77" t="s">
        <v>2696</v>
      </c>
      <c r="AC222" s="81" t="s">
        <v>2707</v>
      </c>
      <c r="AD222" s="77" t="s">
        <v>2751</v>
      </c>
      <c r="AE222" s="80" t="str">
        <f>HYPERLINK("https://twitter.com/anithapujya/status/1257708372624764928")</f>
        <v>https://twitter.com/anithapujya/status/1257708372624764928</v>
      </c>
      <c r="AF222" s="79">
        <v>43956.685381944444</v>
      </c>
      <c r="AG222" s="85">
        <v>43956</v>
      </c>
      <c r="AH222" s="81" t="s">
        <v>2947</v>
      </c>
      <c r="AI222" s="77" t="b">
        <v>0</v>
      </c>
      <c r="AJ222" s="77"/>
      <c r="AK222" s="77"/>
      <c r="AL222" s="77"/>
      <c r="AM222" s="77"/>
      <c r="AN222" s="77"/>
      <c r="AO222" s="77"/>
      <c r="AP222" s="77"/>
      <c r="AQ222" s="77" t="s">
        <v>3991</v>
      </c>
      <c r="AR222" s="77"/>
      <c r="AS222" s="77"/>
      <c r="AT222" s="77"/>
      <c r="AU222" s="77"/>
      <c r="AV222" s="80" t="str">
        <f>HYPERLINK("https://pbs.twimg.com/media/EXRHFKuUYAA267b.jpg")</f>
        <v>https://pbs.twimg.com/media/EXRHFKuUYAA267b.jpg</v>
      </c>
      <c r="AW222" s="81" t="s">
        <v>4693</v>
      </c>
      <c r="AX222" s="81" t="s">
        <v>4693</v>
      </c>
      <c r="AY222" s="77"/>
      <c r="AZ222" s="81" t="s">
        <v>5773</v>
      </c>
      <c r="BA222" s="81" t="s">
        <v>5773</v>
      </c>
      <c r="BB222" s="81" t="s">
        <v>5773</v>
      </c>
      <c r="BC222" s="81" t="s">
        <v>4693</v>
      </c>
      <c r="BD222" s="81" t="s">
        <v>5801</v>
      </c>
      <c r="BE222" s="77"/>
      <c r="BF222" s="77"/>
      <c r="BG222" s="77"/>
      <c r="BH222" s="77"/>
      <c r="BI222" s="77"/>
    </row>
    <row r="223" spans="1:61" ht="15">
      <c r="A223" s="62" t="s">
        <v>281</v>
      </c>
      <c r="B223" s="62" t="s">
        <v>281</v>
      </c>
      <c r="C223" s="63"/>
      <c r="D223" s="64"/>
      <c r="E223" s="65"/>
      <c r="F223" s="66"/>
      <c r="G223" s="63"/>
      <c r="H223" s="67"/>
      <c r="I223" s="68"/>
      <c r="J223" s="68"/>
      <c r="K223" s="32" t="s">
        <v>65</v>
      </c>
      <c r="L223" s="75">
        <v>223</v>
      </c>
      <c r="M223" s="75"/>
      <c r="N223" s="70"/>
      <c r="O223" s="77" t="s">
        <v>179</v>
      </c>
      <c r="P223" s="79">
        <v>43955.30663194445</v>
      </c>
      <c r="Q223" s="77" t="s">
        <v>759</v>
      </c>
      <c r="R223" s="77">
        <v>1</v>
      </c>
      <c r="S223" s="77">
        <v>0</v>
      </c>
      <c r="T223" s="77">
        <v>0</v>
      </c>
      <c r="U223" s="77">
        <v>0</v>
      </c>
      <c r="V223" s="77"/>
      <c r="W223" s="81" t="s">
        <v>1751</v>
      </c>
      <c r="X223" s="77" t="s">
        <v>1960</v>
      </c>
      <c r="Y223" s="77" t="s">
        <v>1998</v>
      </c>
      <c r="Z223" s="77"/>
      <c r="AA223" s="77" t="s">
        <v>2174</v>
      </c>
      <c r="AB223" s="77" t="s">
        <v>2696</v>
      </c>
      <c r="AC223" s="81" t="s">
        <v>2707</v>
      </c>
      <c r="AD223" s="77" t="s">
        <v>2751</v>
      </c>
      <c r="AE223" s="80" t="str">
        <f>HYPERLINK("https://twitter.com/anithapujya/status/1257208728685699072")</f>
        <v>https://twitter.com/anithapujya/status/1257208728685699072</v>
      </c>
      <c r="AF223" s="79">
        <v>43955.30663194445</v>
      </c>
      <c r="AG223" s="85">
        <v>43955</v>
      </c>
      <c r="AH223" s="81" t="s">
        <v>2948</v>
      </c>
      <c r="AI223" s="77" t="b">
        <v>0</v>
      </c>
      <c r="AJ223" s="77"/>
      <c r="AK223" s="77"/>
      <c r="AL223" s="77"/>
      <c r="AM223" s="77"/>
      <c r="AN223" s="77"/>
      <c r="AO223" s="77"/>
      <c r="AP223" s="77"/>
      <c r="AQ223" s="77" t="s">
        <v>3992</v>
      </c>
      <c r="AR223" s="77"/>
      <c r="AS223" s="77"/>
      <c r="AT223" s="77"/>
      <c r="AU223" s="77"/>
      <c r="AV223" s="80" t="str">
        <f>HYPERLINK("https://pbs.twimg.com/media/EXKAp-VUEAEGqi0.jpg")</f>
        <v>https://pbs.twimg.com/media/EXKAp-VUEAEGqi0.jpg</v>
      </c>
      <c r="AW223" s="81" t="s">
        <v>4694</v>
      </c>
      <c r="AX223" s="81" t="s">
        <v>4694</v>
      </c>
      <c r="AY223" s="77"/>
      <c r="AZ223" s="81" t="s">
        <v>5773</v>
      </c>
      <c r="BA223" s="81" t="s">
        <v>5773</v>
      </c>
      <c r="BB223" s="81" t="s">
        <v>5773</v>
      </c>
      <c r="BC223" s="81" t="s">
        <v>4694</v>
      </c>
      <c r="BD223" s="81" t="s">
        <v>5801</v>
      </c>
      <c r="BE223" s="77"/>
      <c r="BF223" s="77"/>
      <c r="BG223" s="77"/>
      <c r="BH223" s="77"/>
      <c r="BI223" s="77"/>
    </row>
    <row r="224" spans="1:61" ht="15">
      <c r="A224" s="62" t="s">
        <v>281</v>
      </c>
      <c r="B224" s="62" t="s">
        <v>281</v>
      </c>
      <c r="C224" s="63"/>
      <c r="D224" s="64"/>
      <c r="E224" s="65"/>
      <c r="F224" s="66"/>
      <c r="G224" s="63"/>
      <c r="H224" s="67"/>
      <c r="I224" s="68"/>
      <c r="J224" s="68"/>
      <c r="K224" s="32" t="s">
        <v>65</v>
      </c>
      <c r="L224" s="75">
        <v>224</v>
      </c>
      <c r="M224" s="75"/>
      <c r="N224" s="70"/>
      <c r="O224" s="77" t="s">
        <v>179</v>
      </c>
      <c r="P224" s="79">
        <v>43951.55825231481</v>
      </c>
      <c r="Q224" s="77" t="s">
        <v>760</v>
      </c>
      <c r="R224" s="77">
        <v>0</v>
      </c>
      <c r="S224" s="77">
        <v>0</v>
      </c>
      <c r="T224" s="77">
        <v>0</v>
      </c>
      <c r="U224" s="77">
        <v>0</v>
      </c>
      <c r="V224" s="77"/>
      <c r="W224" s="81" t="s">
        <v>1752</v>
      </c>
      <c r="X224" s="80" t="str">
        <f>HYPERLINK("https://www.inovies.com/web-design/responsive-web-design-company")</f>
        <v>https://www.inovies.com/web-design/responsive-web-design-company</v>
      </c>
      <c r="Y224" s="77" t="s">
        <v>1982</v>
      </c>
      <c r="Z224" s="77"/>
      <c r="AA224" s="77" t="s">
        <v>2175</v>
      </c>
      <c r="AB224" s="77" t="s">
        <v>2696</v>
      </c>
      <c r="AC224" s="81" t="s">
        <v>2707</v>
      </c>
      <c r="AD224" s="77" t="s">
        <v>2751</v>
      </c>
      <c r="AE224" s="80" t="str">
        <f>HYPERLINK("https://twitter.com/anithapujya/status/1255850360029110272")</f>
        <v>https://twitter.com/anithapujya/status/1255850360029110272</v>
      </c>
      <c r="AF224" s="79">
        <v>43951.55825231481</v>
      </c>
      <c r="AG224" s="85">
        <v>43951</v>
      </c>
      <c r="AH224" s="81" t="s">
        <v>2949</v>
      </c>
      <c r="AI224" s="77" t="b">
        <v>0</v>
      </c>
      <c r="AJ224" s="77"/>
      <c r="AK224" s="77"/>
      <c r="AL224" s="77"/>
      <c r="AM224" s="77"/>
      <c r="AN224" s="77"/>
      <c r="AO224" s="77"/>
      <c r="AP224" s="77"/>
      <c r="AQ224" s="77" t="s">
        <v>3993</v>
      </c>
      <c r="AR224" s="77"/>
      <c r="AS224" s="77"/>
      <c r="AT224" s="77"/>
      <c r="AU224" s="77"/>
      <c r="AV224" s="80" t="str">
        <f>HYPERLINK("https://pbs.twimg.com/media/EW2tAOdUYAASKxg.jpg")</f>
        <v>https://pbs.twimg.com/media/EW2tAOdUYAASKxg.jpg</v>
      </c>
      <c r="AW224" s="81" t="s">
        <v>4695</v>
      </c>
      <c r="AX224" s="81" t="s">
        <v>4695</v>
      </c>
      <c r="AY224" s="77"/>
      <c r="AZ224" s="81" t="s">
        <v>5773</v>
      </c>
      <c r="BA224" s="81" t="s">
        <v>5773</v>
      </c>
      <c r="BB224" s="81" t="s">
        <v>5773</v>
      </c>
      <c r="BC224" s="81" t="s">
        <v>4695</v>
      </c>
      <c r="BD224" s="81" t="s">
        <v>5801</v>
      </c>
      <c r="BE224" s="77"/>
      <c r="BF224" s="77"/>
      <c r="BG224" s="77"/>
      <c r="BH224" s="77"/>
      <c r="BI224" s="77"/>
    </row>
    <row r="225" spans="1:61" ht="15">
      <c r="A225" s="62" t="s">
        <v>281</v>
      </c>
      <c r="B225" s="62" t="s">
        <v>281</v>
      </c>
      <c r="C225" s="63"/>
      <c r="D225" s="64"/>
      <c r="E225" s="65"/>
      <c r="F225" s="66"/>
      <c r="G225" s="63"/>
      <c r="H225" s="67"/>
      <c r="I225" s="68"/>
      <c r="J225" s="68"/>
      <c r="K225" s="32" t="s">
        <v>65</v>
      </c>
      <c r="L225" s="75">
        <v>225</v>
      </c>
      <c r="M225" s="75"/>
      <c r="N225" s="70"/>
      <c r="O225" s="77" t="s">
        <v>179</v>
      </c>
      <c r="P225" s="79">
        <v>43950.60028935185</v>
      </c>
      <c r="Q225" s="77" t="s">
        <v>761</v>
      </c>
      <c r="R225" s="77">
        <v>0</v>
      </c>
      <c r="S225" s="77">
        <v>0</v>
      </c>
      <c r="T225" s="77">
        <v>0</v>
      </c>
      <c r="U225" s="77">
        <v>0</v>
      </c>
      <c r="V225" s="77"/>
      <c r="W225" s="81" t="s">
        <v>1753</v>
      </c>
      <c r="X225" s="80" t="str">
        <f>HYPERLINK("https://www.inovies.com/web-design/")</f>
        <v>https://www.inovies.com/web-design/</v>
      </c>
      <c r="Y225" s="77" t="s">
        <v>1982</v>
      </c>
      <c r="Z225" s="77"/>
      <c r="AA225" s="77" t="s">
        <v>2176</v>
      </c>
      <c r="AB225" s="77" t="s">
        <v>2696</v>
      </c>
      <c r="AC225" s="81" t="s">
        <v>2707</v>
      </c>
      <c r="AD225" s="77" t="s">
        <v>2751</v>
      </c>
      <c r="AE225" s="80" t="str">
        <f>HYPERLINK("https://twitter.com/anithapujya/status/1255503208413368320")</f>
        <v>https://twitter.com/anithapujya/status/1255503208413368320</v>
      </c>
      <c r="AF225" s="79">
        <v>43950.60028935185</v>
      </c>
      <c r="AG225" s="85">
        <v>43950</v>
      </c>
      <c r="AH225" s="81" t="s">
        <v>2950</v>
      </c>
      <c r="AI225" s="77" t="b">
        <v>0</v>
      </c>
      <c r="AJ225" s="77"/>
      <c r="AK225" s="77"/>
      <c r="AL225" s="77"/>
      <c r="AM225" s="77"/>
      <c r="AN225" s="77"/>
      <c r="AO225" s="77"/>
      <c r="AP225" s="77"/>
      <c r="AQ225" s="77" t="s">
        <v>3994</v>
      </c>
      <c r="AR225" s="77"/>
      <c r="AS225" s="77"/>
      <c r="AT225" s="77"/>
      <c r="AU225" s="77"/>
      <c r="AV225" s="80" t="str">
        <f>HYPERLINK("https://pbs.twimg.com/media/EWxxfsUXkAYvJE6.jpg")</f>
        <v>https://pbs.twimg.com/media/EWxxfsUXkAYvJE6.jpg</v>
      </c>
      <c r="AW225" s="81" t="s">
        <v>4696</v>
      </c>
      <c r="AX225" s="81" t="s">
        <v>4696</v>
      </c>
      <c r="AY225" s="77"/>
      <c r="AZ225" s="81" t="s">
        <v>5773</v>
      </c>
      <c r="BA225" s="81" t="s">
        <v>5773</v>
      </c>
      <c r="BB225" s="81" t="s">
        <v>5773</v>
      </c>
      <c r="BC225" s="81" t="s">
        <v>4696</v>
      </c>
      <c r="BD225" s="81" t="s">
        <v>5801</v>
      </c>
      <c r="BE225" s="77"/>
      <c r="BF225" s="77"/>
      <c r="BG225" s="77"/>
      <c r="BH225" s="77"/>
      <c r="BI225" s="77"/>
    </row>
    <row r="226" spans="1:61" ht="15">
      <c r="A226" s="62" t="s">
        <v>281</v>
      </c>
      <c r="B226" s="62" t="s">
        <v>281</v>
      </c>
      <c r="C226" s="63"/>
      <c r="D226" s="64"/>
      <c r="E226" s="65"/>
      <c r="F226" s="66"/>
      <c r="G226" s="63"/>
      <c r="H226" s="67"/>
      <c r="I226" s="68"/>
      <c r="J226" s="68"/>
      <c r="K226" s="32" t="s">
        <v>65</v>
      </c>
      <c r="L226" s="75">
        <v>226</v>
      </c>
      <c r="M226" s="75"/>
      <c r="N226" s="70"/>
      <c r="O226" s="77" t="s">
        <v>179</v>
      </c>
      <c r="P226" s="79">
        <v>43949.46827546296</v>
      </c>
      <c r="Q226" s="77" t="s">
        <v>762</v>
      </c>
      <c r="R226" s="77">
        <v>0</v>
      </c>
      <c r="S226" s="77">
        <v>1</v>
      </c>
      <c r="T226" s="77">
        <v>0</v>
      </c>
      <c r="U226" s="77">
        <v>0</v>
      </c>
      <c r="V226" s="77"/>
      <c r="W226" s="81" t="s">
        <v>1754</v>
      </c>
      <c r="X226" s="80" t="str">
        <f>HYPERLINK("https://www.inovies.com/web-design/")</f>
        <v>https://www.inovies.com/web-design/</v>
      </c>
      <c r="Y226" s="77" t="s">
        <v>1982</v>
      </c>
      <c r="Z226" s="77"/>
      <c r="AA226" s="77" t="s">
        <v>2177</v>
      </c>
      <c r="AB226" s="77" t="s">
        <v>2696</v>
      </c>
      <c r="AC226" s="81" t="s">
        <v>2707</v>
      </c>
      <c r="AD226" s="77" t="s">
        <v>2751</v>
      </c>
      <c r="AE226" s="80" t="str">
        <f>HYPERLINK("https://twitter.com/anithapujya/status/1255092979712184321")</f>
        <v>https://twitter.com/anithapujya/status/1255092979712184321</v>
      </c>
      <c r="AF226" s="79">
        <v>43949.46827546296</v>
      </c>
      <c r="AG226" s="85">
        <v>43949</v>
      </c>
      <c r="AH226" s="81" t="s">
        <v>2951</v>
      </c>
      <c r="AI226" s="77" t="b">
        <v>0</v>
      </c>
      <c r="AJ226" s="77"/>
      <c r="AK226" s="77"/>
      <c r="AL226" s="77"/>
      <c r="AM226" s="77"/>
      <c r="AN226" s="77"/>
      <c r="AO226" s="77"/>
      <c r="AP226" s="77"/>
      <c r="AQ226" s="77" t="s">
        <v>3995</v>
      </c>
      <c r="AR226" s="77"/>
      <c r="AS226" s="77"/>
      <c r="AT226" s="77"/>
      <c r="AU226" s="77"/>
      <c r="AV226" s="80" t="str">
        <f>HYPERLINK("https://pbs.twimg.com/media/EWr8Zm2UcAAbRRO.jpg")</f>
        <v>https://pbs.twimg.com/media/EWr8Zm2UcAAbRRO.jpg</v>
      </c>
      <c r="AW226" s="81" t="s">
        <v>4697</v>
      </c>
      <c r="AX226" s="81" t="s">
        <v>4697</v>
      </c>
      <c r="AY226" s="77"/>
      <c r="AZ226" s="81" t="s">
        <v>5773</v>
      </c>
      <c r="BA226" s="81" t="s">
        <v>5773</v>
      </c>
      <c r="BB226" s="81" t="s">
        <v>5773</v>
      </c>
      <c r="BC226" s="81" t="s">
        <v>4697</v>
      </c>
      <c r="BD226" s="81" t="s">
        <v>5801</v>
      </c>
      <c r="BE226" s="77"/>
      <c r="BF226" s="77"/>
      <c r="BG226" s="77"/>
      <c r="BH226" s="77"/>
      <c r="BI226" s="77"/>
    </row>
    <row r="227" spans="1:61" ht="15">
      <c r="A227" s="62" t="s">
        <v>281</v>
      </c>
      <c r="B227" s="62" t="s">
        <v>281</v>
      </c>
      <c r="C227" s="63"/>
      <c r="D227" s="64"/>
      <c r="E227" s="65"/>
      <c r="F227" s="66"/>
      <c r="G227" s="63"/>
      <c r="H227" s="67"/>
      <c r="I227" s="68"/>
      <c r="J227" s="68"/>
      <c r="K227" s="32" t="s">
        <v>65</v>
      </c>
      <c r="L227" s="75">
        <v>227</v>
      </c>
      <c r="M227" s="75"/>
      <c r="N227" s="70"/>
      <c r="O227" s="77" t="s">
        <v>179</v>
      </c>
      <c r="P227" s="79">
        <v>43948.493414351855</v>
      </c>
      <c r="Q227" s="77" t="s">
        <v>763</v>
      </c>
      <c r="R227" s="77">
        <v>0</v>
      </c>
      <c r="S227" s="77">
        <v>0</v>
      </c>
      <c r="T227" s="77">
        <v>0</v>
      </c>
      <c r="U227" s="77">
        <v>0</v>
      </c>
      <c r="V227" s="77"/>
      <c r="W227" s="81" t="s">
        <v>1755</v>
      </c>
      <c r="X227" s="80" t="str">
        <f>HYPERLINK("https://www.inovies.com/web-design/responsive-web-design-company")</f>
        <v>https://www.inovies.com/web-design/responsive-web-design-company</v>
      </c>
      <c r="Y227" s="77" t="s">
        <v>1982</v>
      </c>
      <c r="Z227" s="77"/>
      <c r="AA227" s="77"/>
      <c r="AB227" s="77"/>
      <c r="AC227" s="81" t="s">
        <v>2707</v>
      </c>
      <c r="AD227" s="77" t="s">
        <v>2751</v>
      </c>
      <c r="AE227" s="80" t="str">
        <f>HYPERLINK("https://twitter.com/anithapujya/status/1254739700218126336")</f>
        <v>https://twitter.com/anithapujya/status/1254739700218126336</v>
      </c>
      <c r="AF227" s="79">
        <v>43948.493414351855</v>
      </c>
      <c r="AG227" s="85">
        <v>43948</v>
      </c>
      <c r="AH227" s="81" t="s">
        <v>2952</v>
      </c>
      <c r="AI227" s="77" t="b">
        <v>0</v>
      </c>
      <c r="AJ227" s="77"/>
      <c r="AK227" s="77"/>
      <c r="AL227" s="77"/>
      <c r="AM227" s="77"/>
      <c r="AN227" s="77"/>
      <c r="AO227" s="77"/>
      <c r="AP227" s="77"/>
      <c r="AQ227" s="77"/>
      <c r="AR227" s="77"/>
      <c r="AS227" s="77"/>
      <c r="AT227" s="77"/>
      <c r="AU227" s="77"/>
      <c r="AV227" s="80" t="str">
        <f>HYPERLINK("https://abs.twimg.com/sticky/default_profile_images/default_profile_normal.png")</f>
        <v>https://abs.twimg.com/sticky/default_profile_images/default_profile_normal.png</v>
      </c>
      <c r="AW227" s="81" t="s">
        <v>4698</v>
      </c>
      <c r="AX227" s="81" t="s">
        <v>4698</v>
      </c>
      <c r="AY227" s="77"/>
      <c r="AZ227" s="81" t="s">
        <v>5773</v>
      </c>
      <c r="BA227" s="81" t="s">
        <v>5773</v>
      </c>
      <c r="BB227" s="81" t="s">
        <v>5773</v>
      </c>
      <c r="BC227" s="81" t="s">
        <v>4698</v>
      </c>
      <c r="BD227" s="81" t="s">
        <v>5801</v>
      </c>
      <c r="BE227" s="77"/>
      <c r="BF227" s="77"/>
      <c r="BG227" s="77"/>
      <c r="BH227" s="77"/>
      <c r="BI227" s="77"/>
    </row>
    <row r="228" spans="1:61" ht="15">
      <c r="A228" s="62" t="s">
        <v>281</v>
      </c>
      <c r="B228" s="62" t="s">
        <v>281</v>
      </c>
      <c r="C228" s="63"/>
      <c r="D228" s="64"/>
      <c r="E228" s="65"/>
      <c r="F228" s="66"/>
      <c r="G228" s="63"/>
      <c r="H228" s="67"/>
      <c r="I228" s="68"/>
      <c r="J228" s="68"/>
      <c r="K228" s="32" t="s">
        <v>65</v>
      </c>
      <c r="L228" s="75">
        <v>228</v>
      </c>
      <c r="M228" s="75"/>
      <c r="N228" s="70"/>
      <c r="O228" s="77" t="s">
        <v>179</v>
      </c>
      <c r="P228" s="79">
        <v>43945.64717592593</v>
      </c>
      <c r="Q228" s="77" t="s">
        <v>764</v>
      </c>
      <c r="R228" s="77">
        <v>1</v>
      </c>
      <c r="S228" s="77">
        <v>2</v>
      </c>
      <c r="T228" s="77">
        <v>0</v>
      </c>
      <c r="U228" s="77">
        <v>0</v>
      </c>
      <c r="V228" s="77"/>
      <c r="W228" s="81" t="s">
        <v>1756</v>
      </c>
      <c r="X228" s="80" t="str">
        <f>HYPERLINK("https://www.inovies.com/web-design/")</f>
        <v>https://www.inovies.com/web-design/</v>
      </c>
      <c r="Y228" s="77" t="s">
        <v>1982</v>
      </c>
      <c r="Z228" s="77"/>
      <c r="AA228" s="77" t="s">
        <v>2178</v>
      </c>
      <c r="AB228" s="77" t="s">
        <v>2696</v>
      </c>
      <c r="AC228" s="81" t="s">
        <v>2707</v>
      </c>
      <c r="AD228" s="77" t="s">
        <v>2751</v>
      </c>
      <c r="AE228" s="80" t="str">
        <f>HYPERLINK("https://twitter.com/anithapujya/status/1253708258499366912")</f>
        <v>https://twitter.com/anithapujya/status/1253708258499366912</v>
      </c>
      <c r="AF228" s="79">
        <v>43945.64717592593</v>
      </c>
      <c r="AG228" s="85">
        <v>43945</v>
      </c>
      <c r="AH228" s="81" t="s">
        <v>2953</v>
      </c>
      <c r="AI228" s="77" t="b">
        <v>0</v>
      </c>
      <c r="AJ228" s="77"/>
      <c r="AK228" s="77"/>
      <c r="AL228" s="77"/>
      <c r="AM228" s="77"/>
      <c r="AN228" s="77"/>
      <c r="AO228" s="77"/>
      <c r="AP228" s="77"/>
      <c r="AQ228" s="77" t="s">
        <v>3996</v>
      </c>
      <c r="AR228" s="77"/>
      <c r="AS228" s="77"/>
      <c r="AT228" s="77"/>
      <c r="AU228" s="77"/>
      <c r="AV228" s="80" t="str">
        <f>HYPERLINK("https://pbs.twimg.com/media/EWYQ_2vVcAEJLBL.jpg")</f>
        <v>https://pbs.twimg.com/media/EWYQ_2vVcAEJLBL.jpg</v>
      </c>
      <c r="AW228" s="81" t="s">
        <v>4699</v>
      </c>
      <c r="AX228" s="81" t="s">
        <v>4699</v>
      </c>
      <c r="AY228" s="77"/>
      <c r="AZ228" s="81" t="s">
        <v>5773</v>
      </c>
      <c r="BA228" s="81" t="s">
        <v>5773</v>
      </c>
      <c r="BB228" s="81" t="s">
        <v>5773</v>
      </c>
      <c r="BC228" s="81" t="s">
        <v>4699</v>
      </c>
      <c r="BD228" s="81" t="s">
        <v>5801</v>
      </c>
      <c r="BE228" s="77"/>
      <c r="BF228" s="77"/>
      <c r="BG228" s="77"/>
      <c r="BH228" s="77"/>
      <c r="BI228" s="77"/>
    </row>
    <row r="229" spans="1:61" ht="15">
      <c r="A229" s="62" t="s">
        <v>281</v>
      </c>
      <c r="B229" s="62" t="s">
        <v>281</v>
      </c>
      <c r="C229" s="63"/>
      <c r="D229" s="64"/>
      <c r="E229" s="65"/>
      <c r="F229" s="66"/>
      <c r="G229" s="63"/>
      <c r="H229" s="67"/>
      <c r="I229" s="68"/>
      <c r="J229" s="68"/>
      <c r="K229" s="32" t="s">
        <v>65</v>
      </c>
      <c r="L229" s="75">
        <v>229</v>
      </c>
      <c r="M229" s="75"/>
      <c r="N229" s="70"/>
      <c r="O229" s="77" t="s">
        <v>179</v>
      </c>
      <c r="P229" s="79">
        <v>43944.615636574075</v>
      </c>
      <c r="Q229" s="77" t="s">
        <v>765</v>
      </c>
      <c r="R229" s="77">
        <v>0</v>
      </c>
      <c r="S229" s="77">
        <v>0</v>
      </c>
      <c r="T229" s="77">
        <v>0</v>
      </c>
      <c r="U229" s="77">
        <v>0</v>
      </c>
      <c r="V229" s="77"/>
      <c r="W229" s="81" t="s">
        <v>1757</v>
      </c>
      <c r="X229" s="80" t="str">
        <f>HYPERLINK("https://www.inovies.com/web-design/ecommerce-website-design-company")</f>
        <v>https://www.inovies.com/web-design/ecommerce-website-design-company</v>
      </c>
      <c r="Y229" s="77" t="s">
        <v>1982</v>
      </c>
      <c r="Z229" s="77"/>
      <c r="AA229" s="77" t="s">
        <v>2179</v>
      </c>
      <c r="AB229" s="77" t="s">
        <v>2696</v>
      </c>
      <c r="AC229" s="81" t="s">
        <v>2707</v>
      </c>
      <c r="AD229" s="77" t="s">
        <v>2751</v>
      </c>
      <c r="AE229" s="80" t="str">
        <f>HYPERLINK("https://twitter.com/anithapujya/status/1253334441910398977")</f>
        <v>https://twitter.com/anithapujya/status/1253334441910398977</v>
      </c>
      <c r="AF229" s="79">
        <v>43944.615636574075</v>
      </c>
      <c r="AG229" s="85">
        <v>43944</v>
      </c>
      <c r="AH229" s="81" t="s">
        <v>2954</v>
      </c>
      <c r="AI229" s="77" t="b">
        <v>0</v>
      </c>
      <c r="AJ229" s="77"/>
      <c r="AK229" s="77"/>
      <c r="AL229" s="77"/>
      <c r="AM229" s="77"/>
      <c r="AN229" s="77"/>
      <c r="AO229" s="77"/>
      <c r="AP229" s="77"/>
      <c r="AQ229" s="77" t="s">
        <v>3997</v>
      </c>
      <c r="AR229" s="77"/>
      <c r="AS229" s="77"/>
      <c r="AT229" s="77"/>
      <c r="AU229" s="77"/>
      <c r="AV229" s="80" t="str">
        <f>HYPERLINK("https://pbs.twimg.com/media/EWS83OBUcAU_8cJ.jpg")</f>
        <v>https://pbs.twimg.com/media/EWS83OBUcAU_8cJ.jpg</v>
      </c>
      <c r="AW229" s="81" t="s">
        <v>4700</v>
      </c>
      <c r="AX229" s="81" t="s">
        <v>4700</v>
      </c>
      <c r="AY229" s="77"/>
      <c r="AZ229" s="81" t="s">
        <v>5773</v>
      </c>
      <c r="BA229" s="81" t="s">
        <v>5773</v>
      </c>
      <c r="BB229" s="81" t="s">
        <v>5773</v>
      </c>
      <c r="BC229" s="81" t="s">
        <v>4700</v>
      </c>
      <c r="BD229" s="81" t="s">
        <v>5801</v>
      </c>
      <c r="BE229" s="77"/>
      <c r="BF229" s="77"/>
      <c r="BG229" s="77"/>
      <c r="BH229" s="77"/>
      <c r="BI229" s="77"/>
    </row>
    <row r="230" spans="1:61" ht="15">
      <c r="A230" s="62" t="s">
        <v>281</v>
      </c>
      <c r="B230" s="62" t="s">
        <v>281</v>
      </c>
      <c r="C230" s="63"/>
      <c r="D230" s="64"/>
      <c r="E230" s="65"/>
      <c r="F230" s="66"/>
      <c r="G230" s="63"/>
      <c r="H230" s="67"/>
      <c r="I230" s="68"/>
      <c r="J230" s="68"/>
      <c r="K230" s="32" t="s">
        <v>65</v>
      </c>
      <c r="L230" s="75">
        <v>230</v>
      </c>
      <c r="M230" s="75"/>
      <c r="N230" s="70"/>
      <c r="O230" s="77" t="s">
        <v>179</v>
      </c>
      <c r="P230" s="79">
        <v>43943.47329861111</v>
      </c>
      <c r="Q230" s="77" t="s">
        <v>766</v>
      </c>
      <c r="R230" s="77">
        <v>1</v>
      </c>
      <c r="S230" s="77">
        <v>1</v>
      </c>
      <c r="T230" s="77">
        <v>0</v>
      </c>
      <c r="U230" s="77">
        <v>0</v>
      </c>
      <c r="V230" s="77"/>
      <c r="W230" s="81" t="s">
        <v>1758</v>
      </c>
      <c r="X230" s="80" t="str">
        <f>HYPERLINK("https://www.inovies.com/web-design/website-design-packages")</f>
        <v>https://www.inovies.com/web-design/website-design-packages</v>
      </c>
      <c r="Y230" s="77" t="s">
        <v>1982</v>
      </c>
      <c r="Z230" s="77"/>
      <c r="AA230" s="77" t="s">
        <v>2180</v>
      </c>
      <c r="AB230" s="77" t="s">
        <v>2696</v>
      </c>
      <c r="AC230" s="81" t="s">
        <v>2707</v>
      </c>
      <c r="AD230" s="77" t="s">
        <v>2751</v>
      </c>
      <c r="AE230" s="80" t="str">
        <f>HYPERLINK("https://twitter.com/anithapujya/status/1252920473316286473")</f>
        <v>https://twitter.com/anithapujya/status/1252920473316286473</v>
      </c>
      <c r="AF230" s="79">
        <v>43943.47329861111</v>
      </c>
      <c r="AG230" s="85">
        <v>43943</v>
      </c>
      <c r="AH230" s="81" t="s">
        <v>2955</v>
      </c>
      <c r="AI230" s="77" t="b">
        <v>0</v>
      </c>
      <c r="AJ230" s="77"/>
      <c r="AK230" s="77"/>
      <c r="AL230" s="77"/>
      <c r="AM230" s="77"/>
      <c r="AN230" s="77"/>
      <c r="AO230" s="77"/>
      <c r="AP230" s="77"/>
      <c r="AQ230" s="77" t="s">
        <v>3998</v>
      </c>
      <c r="AR230" s="77"/>
      <c r="AS230" s="77"/>
      <c r="AT230" s="77"/>
      <c r="AU230" s="77"/>
      <c r="AV230" s="80" t="str">
        <f>HYPERLINK("https://pbs.twimg.com/media/EWNEfdIU4AQQMKZ.jpg")</f>
        <v>https://pbs.twimg.com/media/EWNEfdIU4AQQMKZ.jpg</v>
      </c>
      <c r="AW230" s="81" t="s">
        <v>4701</v>
      </c>
      <c r="AX230" s="81" t="s">
        <v>4701</v>
      </c>
      <c r="AY230" s="77"/>
      <c r="AZ230" s="81" t="s">
        <v>5773</v>
      </c>
      <c r="BA230" s="81" t="s">
        <v>5773</v>
      </c>
      <c r="BB230" s="81" t="s">
        <v>5773</v>
      </c>
      <c r="BC230" s="81" t="s">
        <v>4701</v>
      </c>
      <c r="BD230" s="81" t="s">
        <v>5801</v>
      </c>
      <c r="BE230" s="77"/>
      <c r="BF230" s="77"/>
      <c r="BG230" s="77"/>
      <c r="BH230" s="77"/>
      <c r="BI230" s="77"/>
    </row>
    <row r="231" spans="1:61" ht="15">
      <c r="A231" s="62" t="s">
        <v>281</v>
      </c>
      <c r="B231" s="62" t="s">
        <v>281</v>
      </c>
      <c r="C231" s="63"/>
      <c r="D231" s="64"/>
      <c r="E231" s="65"/>
      <c r="F231" s="66"/>
      <c r="G231" s="63"/>
      <c r="H231" s="67"/>
      <c r="I231" s="68"/>
      <c r="J231" s="68"/>
      <c r="K231" s="32" t="s">
        <v>65</v>
      </c>
      <c r="L231" s="75">
        <v>231</v>
      </c>
      <c r="M231" s="75"/>
      <c r="N231" s="70"/>
      <c r="O231" s="77" t="s">
        <v>179</v>
      </c>
      <c r="P231" s="79">
        <v>43939.372881944444</v>
      </c>
      <c r="Q231" s="77" t="s">
        <v>767</v>
      </c>
      <c r="R231" s="77">
        <v>0</v>
      </c>
      <c r="S231" s="77">
        <v>1</v>
      </c>
      <c r="T231" s="77">
        <v>0</v>
      </c>
      <c r="U231" s="77">
        <v>0</v>
      </c>
      <c r="V231" s="77"/>
      <c r="W231" s="81" t="s">
        <v>1759</v>
      </c>
      <c r="X231" s="80" t="str">
        <f>HYPERLINK("https://www.inovies.com/web-design/ecommerce-website-design-company")</f>
        <v>https://www.inovies.com/web-design/ecommerce-website-design-company</v>
      </c>
      <c r="Y231" s="77" t="s">
        <v>1982</v>
      </c>
      <c r="Z231" s="77"/>
      <c r="AA231" s="77" t="s">
        <v>2181</v>
      </c>
      <c r="AB231" s="77" t="s">
        <v>2696</v>
      </c>
      <c r="AC231" s="81" t="s">
        <v>2707</v>
      </c>
      <c r="AD231" s="77" t="s">
        <v>2751</v>
      </c>
      <c r="AE231" s="80" t="str">
        <f>HYPERLINK("https://twitter.com/anithapujya/status/1251434531199934464")</f>
        <v>https://twitter.com/anithapujya/status/1251434531199934464</v>
      </c>
      <c r="AF231" s="79">
        <v>43939.372881944444</v>
      </c>
      <c r="AG231" s="85">
        <v>43939</v>
      </c>
      <c r="AH231" s="81" t="s">
        <v>2956</v>
      </c>
      <c r="AI231" s="77" t="b">
        <v>0</v>
      </c>
      <c r="AJ231" s="77"/>
      <c r="AK231" s="77"/>
      <c r="AL231" s="77"/>
      <c r="AM231" s="77"/>
      <c r="AN231" s="77"/>
      <c r="AO231" s="77"/>
      <c r="AP231" s="77"/>
      <c r="AQ231" s="77" t="s">
        <v>3999</v>
      </c>
      <c r="AR231" s="77"/>
      <c r="AS231" s="77"/>
      <c r="AT231" s="77"/>
      <c r="AU231" s="77"/>
      <c r="AV231" s="80" t="str">
        <f>HYPERLINK("https://pbs.twimg.com/media/EV39ESyUwAAbxSd.jpg")</f>
        <v>https://pbs.twimg.com/media/EV39ESyUwAAbxSd.jpg</v>
      </c>
      <c r="AW231" s="81" t="s">
        <v>4702</v>
      </c>
      <c r="AX231" s="81" t="s">
        <v>4702</v>
      </c>
      <c r="AY231" s="77"/>
      <c r="AZ231" s="81" t="s">
        <v>5773</v>
      </c>
      <c r="BA231" s="81" t="s">
        <v>5773</v>
      </c>
      <c r="BB231" s="81" t="s">
        <v>5773</v>
      </c>
      <c r="BC231" s="81" t="s">
        <v>4702</v>
      </c>
      <c r="BD231" s="81" t="s">
        <v>5801</v>
      </c>
      <c r="BE231" s="77"/>
      <c r="BF231" s="77"/>
      <c r="BG231" s="77"/>
      <c r="BH231" s="77"/>
      <c r="BI231" s="77"/>
    </row>
    <row r="232" spans="1:61" ht="15">
      <c r="A232" s="62" t="s">
        <v>281</v>
      </c>
      <c r="B232" s="62" t="s">
        <v>281</v>
      </c>
      <c r="C232" s="63"/>
      <c r="D232" s="64"/>
      <c r="E232" s="65"/>
      <c r="F232" s="66"/>
      <c r="G232" s="63"/>
      <c r="H232" s="67"/>
      <c r="I232" s="68"/>
      <c r="J232" s="68"/>
      <c r="K232" s="32" t="s">
        <v>65</v>
      </c>
      <c r="L232" s="75">
        <v>232</v>
      </c>
      <c r="M232" s="75"/>
      <c r="N232" s="70"/>
      <c r="O232" s="77" t="s">
        <v>179</v>
      </c>
      <c r="P232" s="79">
        <v>43823.44734953704</v>
      </c>
      <c r="Q232" s="77" t="s">
        <v>768</v>
      </c>
      <c r="R232" s="77">
        <v>0</v>
      </c>
      <c r="S232" s="77">
        <v>0</v>
      </c>
      <c r="T232" s="77">
        <v>0</v>
      </c>
      <c r="U232" s="77">
        <v>0</v>
      </c>
      <c r="V232" s="77"/>
      <c r="W232" s="81" t="s">
        <v>1760</v>
      </c>
      <c r="X232" s="80" t="str">
        <f>HYPERLINK("https://www.inovies.com/web-development/")</f>
        <v>https://www.inovies.com/web-development/</v>
      </c>
      <c r="Y232" s="77" t="s">
        <v>1982</v>
      </c>
      <c r="Z232" s="77"/>
      <c r="AA232" s="77" t="s">
        <v>2182</v>
      </c>
      <c r="AB232" s="77" t="s">
        <v>2696</v>
      </c>
      <c r="AC232" s="81" t="s">
        <v>2707</v>
      </c>
      <c r="AD232" s="77" t="s">
        <v>2751</v>
      </c>
      <c r="AE232" s="80" t="str">
        <f>HYPERLINK("https://twitter.com/anithapujya/status/1209424524954849282")</f>
        <v>https://twitter.com/anithapujya/status/1209424524954849282</v>
      </c>
      <c r="AF232" s="79">
        <v>43823.44734953704</v>
      </c>
      <c r="AG232" s="85">
        <v>43823</v>
      </c>
      <c r="AH232" s="81" t="s">
        <v>2957</v>
      </c>
      <c r="AI232" s="77" t="b">
        <v>0</v>
      </c>
      <c r="AJ232" s="77"/>
      <c r="AK232" s="77"/>
      <c r="AL232" s="77"/>
      <c r="AM232" s="77"/>
      <c r="AN232" s="77"/>
      <c r="AO232" s="77"/>
      <c r="AP232" s="77"/>
      <c r="AQ232" s="77" t="s">
        <v>4000</v>
      </c>
      <c r="AR232" s="77"/>
      <c r="AS232" s="77"/>
      <c r="AT232" s="77"/>
      <c r="AU232" s="77"/>
      <c r="AV232" s="80" t="str">
        <f>HYPERLINK("https://pbs.twimg.com/media/EMi9L62UcAABD8R.jpg")</f>
        <v>https://pbs.twimg.com/media/EMi9L62UcAABD8R.jpg</v>
      </c>
      <c r="AW232" s="81" t="s">
        <v>4703</v>
      </c>
      <c r="AX232" s="81" t="s">
        <v>4703</v>
      </c>
      <c r="AY232" s="77"/>
      <c r="AZ232" s="81" t="s">
        <v>5773</v>
      </c>
      <c r="BA232" s="81" t="s">
        <v>5773</v>
      </c>
      <c r="BB232" s="81" t="s">
        <v>5773</v>
      </c>
      <c r="BC232" s="81" t="s">
        <v>4703</v>
      </c>
      <c r="BD232" s="81" t="s">
        <v>5801</v>
      </c>
      <c r="BE232" s="77"/>
      <c r="BF232" s="77"/>
      <c r="BG232" s="77"/>
      <c r="BH232" s="77"/>
      <c r="BI232" s="77"/>
    </row>
    <row r="233" spans="1:61" ht="15">
      <c r="A233" s="62" t="s">
        <v>281</v>
      </c>
      <c r="B233" s="62" t="s">
        <v>281</v>
      </c>
      <c r="C233" s="63"/>
      <c r="D233" s="64"/>
      <c r="E233" s="65"/>
      <c r="F233" s="66"/>
      <c r="G233" s="63"/>
      <c r="H233" s="67"/>
      <c r="I233" s="68"/>
      <c r="J233" s="68"/>
      <c r="K233" s="32" t="s">
        <v>65</v>
      </c>
      <c r="L233" s="75">
        <v>233</v>
      </c>
      <c r="M233" s="75"/>
      <c r="N233" s="70"/>
      <c r="O233" s="77" t="s">
        <v>179</v>
      </c>
      <c r="P233" s="79">
        <v>43822.302719907406</v>
      </c>
      <c r="Q233" s="77" t="s">
        <v>769</v>
      </c>
      <c r="R233" s="77">
        <v>0</v>
      </c>
      <c r="S233" s="77">
        <v>0</v>
      </c>
      <c r="T233" s="77">
        <v>0</v>
      </c>
      <c r="U233" s="77">
        <v>0</v>
      </c>
      <c r="V233" s="77"/>
      <c r="W233" s="81" t="s">
        <v>1761</v>
      </c>
      <c r="X233" s="80" t="str">
        <f>HYPERLINK("https://www.inovies.com/web-design/website-designing-company-in-hyderabad")</f>
        <v>https://www.inovies.com/web-design/website-designing-company-in-hyderabad</v>
      </c>
      <c r="Y233" s="77" t="s">
        <v>1982</v>
      </c>
      <c r="Z233" s="77"/>
      <c r="AA233" s="77" t="s">
        <v>2183</v>
      </c>
      <c r="AB233" s="77" t="s">
        <v>2696</v>
      </c>
      <c r="AC233" s="81" t="s">
        <v>2707</v>
      </c>
      <c r="AD233" s="77" t="s">
        <v>2751</v>
      </c>
      <c r="AE233" s="80" t="str">
        <f>HYPERLINK("https://twitter.com/anithapujya/status/1209009727159459840")</f>
        <v>https://twitter.com/anithapujya/status/1209009727159459840</v>
      </c>
      <c r="AF233" s="79">
        <v>43822.302719907406</v>
      </c>
      <c r="AG233" s="85">
        <v>43822</v>
      </c>
      <c r="AH233" s="81" t="s">
        <v>2958</v>
      </c>
      <c r="AI233" s="77" t="b">
        <v>0</v>
      </c>
      <c r="AJ233" s="77"/>
      <c r="AK233" s="77"/>
      <c r="AL233" s="77"/>
      <c r="AM233" s="77"/>
      <c r="AN233" s="77"/>
      <c r="AO233" s="77"/>
      <c r="AP233" s="77"/>
      <c r="AQ233" s="77" t="s">
        <v>4001</v>
      </c>
      <c r="AR233" s="77"/>
      <c r="AS233" s="77"/>
      <c r="AT233" s="77"/>
      <c r="AU233" s="77"/>
      <c r="AV233" s="80" t="str">
        <f>HYPERLINK("https://pbs.twimg.com/media/EMdD7mCUwAELH2w.jpg")</f>
        <v>https://pbs.twimg.com/media/EMdD7mCUwAELH2w.jpg</v>
      </c>
      <c r="AW233" s="81" t="s">
        <v>4704</v>
      </c>
      <c r="AX233" s="81" t="s">
        <v>4704</v>
      </c>
      <c r="AY233" s="77"/>
      <c r="AZ233" s="81" t="s">
        <v>5773</v>
      </c>
      <c r="BA233" s="81" t="s">
        <v>5773</v>
      </c>
      <c r="BB233" s="81" t="s">
        <v>5773</v>
      </c>
      <c r="BC233" s="81" t="s">
        <v>4704</v>
      </c>
      <c r="BD233" s="81" t="s">
        <v>5801</v>
      </c>
      <c r="BE233" s="77"/>
      <c r="BF233" s="77"/>
      <c r="BG233" s="77"/>
      <c r="BH233" s="77"/>
      <c r="BI233" s="77"/>
    </row>
    <row r="234" spans="1:61" ht="15">
      <c r="A234" s="62" t="s">
        <v>281</v>
      </c>
      <c r="B234" s="62" t="s">
        <v>281</v>
      </c>
      <c r="C234" s="63"/>
      <c r="D234" s="64"/>
      <c r="E234" s="65"/>
      <c r="F234" s="66"/>
      <c r="G234" s="63"/>
      <c r="H234" s="67"/>
      <c r="I234" s="68"/>
      <c r="J234" s="68"/>
      <c r="K234" s="32" t="s">
        <v>65</v>
      </c>
      <c r="L234" s="75">
        <v>234</v>
      </c>
      <c r="M234" s="75"/>
      <c r="N234" s="70"/>
      <c r="O234" s="77" t="s">
        <v>179</v>
      </c>
      <c r="P234" s="79">
        <v>43820.44315972222</v>
      </c>
      <c r="Q234" s="77" t="s">
        <v>770</v>
      </c>
      <c r="R234" s="77">
        <v>0</v>
      </c>
      <c r="S234" s="77">
        <v>0</v>
      </c>
      <c r="T234" s="77">
        <v>0</v>
      </c>
      <c r="U234" s="77">
        <v>0</v>
      </c>
      <c r="V234" s="77"/>
      <c r="W234" s="81" t="s">
        <v>1762</v>
      </c>
      <c r="X234" s="80" t="str">
        <f>HYPERLINK("https://www.inovies.com/digital-marketing-company/social-media-marketing-company")</f>
        <v>https://www.inovies.com/digital-marketing-company/social-media-marketing-company</v>
      </c>
      <c r="Y234" s="77" t="s">
        <v>1982</v>
      </c>
      <c r="Z234" s="77"/>
      <c r="AA234" s="77" t="s">
        <v>2184</v>
      </c>
      <c r="AB234" s="77" t="s">
        <v>2696</v>
      </c>
      <c r="AC234" s="81" t="s">
        <v>2707</v>
      </c>
      <c r="AD234" s="77" t="s">
        <v>2751</v>
      </c>
      <c r="AE234" s="80" t="str">
        <f>HYPERLINK("https://twitter.com/anithapujya/status/1208335843544317953")</f>
        <v>https://twitter.com/anithapujya/status/1208335843544317953</v>
      </c>
      <c r="AF234" s="79">
        <v>43820.44315972222</v>
      </c>
      <c r="AG234" s="85">
        <v>43820</v>
      </c>
      <c r="AH234" s="81" t="s">
        <v>2959</v>
      </c>
      <c r="AI234" s="77" t="b">
        <v>0</v>
      </c>
      <c r="AJ234" s="77"/>
      <c r="AK234" s="77"/>
      <c r="AL234" s="77"/>
      <c r="AM234" s="77"/>
      <c r="AN234" s="77"/>
      <c r="AO234" s="77"/>
      <c r="AP234" s="77"/>
      <c r="AQ234" s="77" t="s">
        <v>4002</v>
      </c>
      <c r="AR234" s="77"/>
      <c r="AS234" s="77"/>
      <c r="AT234" s="77"/>
      <c r="AU234" s="77"/>
      <c r="AV234" s="80" t="str">
        <f>HYPERLINK("https://pbs.twimg.com/media/EMTfCQiUcAAOhjn.jpg")</f>
        <v>https://pbs.twimg.com/media/EMTfCQiUcAAOhjn.jpg</v>
      </c>
      <c r="AW234" s="81" t="s">
        <v>4705</v>
      </c>
      <c r="AX234" s="81" t="s">
        <v>4705</v>
      </c>
      <c r="AY234" s="77"/>
      <c r="AZ234" s="81" t="s">
        <v>5773</v>
      </c>
      <c r="BA234" s="81" t="s">
        <v>5773</v>
      </c>
      <c r="BB234" s="81" t="s">
        <v>5773</v>
      </c>
      <c r="BC234" s="81" t="s">
        <v>4705</v>
      </c>
      <c r="BD234" s="81" t="s">
        <v>5801</v>
      </c>
      <c r="BE234" s="77"/>
      <c r="BF234" s="77"/>
      <c r="BG234" s="77"/>
      <c r="BH234" s="77"/>
      <c r="BI234" s="77"/>
    </row>
    <row r="235" spans="1:61" ht="15">
      <c r="A235" s="62" t="s">
        <v>281</v>
      </c>
      <c r="B235" s="62" t="s">
        <v>281</v>
      </c>
      <c r="C235" s="63"/>
      <c r="D235" s="64"/>
      <c r="E235" s="65"/>
      <c r="F235" s="66"/>
      <c r="G235" s="63"/>
      <c r="H235" s="67"/>
      <c r="I235" s="68"/>
      <c r="J235" s="68"/>
      <c r="K235" s="32" t="s">
        <v>65</v>
      </c>
      <c r="L235" s="75">
        <v>235</v>
      </c>
      <c r="M235" s="75"/>
      <c r="N235" s="70"/>
      <c r="O235" s="77" t="s">
        <v>179</v>
      </c>
      <c r="P235" s="79">
        <v>43815.40521990741</v>
      </c>
      <c r="Q235" s="77" t="s">
        <v>771</v>
      </c>
      <c r="R235" s="77">
        <v>0</v>
      </c>
      <c r="S235" s="77">
        <v>0</v>
      </c>
      <c r="T235" s="77">
        <v>0</v>
      </c>
      <c r="U235" s="77">
        <v>0</v>
      </c>
      <c r="V235" s="77"/>
      <c r="W235" s="81" t="s">
        <v>1763</v>
      </c>
      <c r="X235" s="80" t="str">
        <f>HYPERLINK("https://www.inovies.com/digital-marketing-company/seo-company")</f>
        <v>https://www.inovies.com/digital-marketing-company/seo-company</v>
      </c>
      <c r="Y235" s="77" t="s">
        <v>1982</v>
      </c>
      <c r="Z235" s="77"/>
      <c r="AA235" s="77" t="s">
        <v>2185</v>
      </c>
      <c r="AB235" s="77" t="s">
        <v>2696</v>
      </c>
      <c r="AC235" s="81" t="s">
        <v>2707</v>
      </c>
      <c r="AD235" s="77" t="s">
        <v>2751</v>
      </c>
      <c r="AE235" s="80" t="str">
        <f>HYPERLINK("https://twitter.com/anithapujya/status/1206510157003280384")</f>
        <v>https://twitter.com/anithapujya/status/1206510157003280384</v>
      </c>
      <c r="AF235" s="79">
        <v>43815.40521990741</v>
      </c>
      <c r="AG235" s="85">
        <v>43815</v>
      </c>
      <c r="AH235" s="81" t="s">
        <v>2960</v>
      </c>
      <c r="AI235" s="77" t="b">
        <v>0</v>
      </c>
      <c r="AJ235" s="77"/>
      <c r="AK235" s="77"/>
      <c r="AL235" s="77"/>
      <c r="AM235" s="77"/>
      <c r="AN235" s="77"/>
      <c r="AO235" s="77"/>
      <c r="AP235" s="77"/>
      <c r="AQ235" s="77" t="s">
        <v>4003</v>
      </c>
      <c r="AR235" s="77"/>
      <c r="AS235" s="77"/>
      <c r="AT235" s="77"/>
      <c r="AU235" s="77"/>
      <c r="AV235" s="80" t="str">
        <f>HYPERLINK("https://pbs.twimg.com/media/EL5iljTU8AANfOj.jpg")</f>
        <v>https://pbs.twimg.com/media/EL5iljTU8AANfOj.jpg</v>
      </c>
      <c r="AW235" s="81" t="s">
        <v>4706</v>
      </c>
      <c r="AX235" s="81" t="s">
        <v>4706</v>
      </c>
      <c r="AY235" s="77"/>
      <c r="AZ235" s="81" t="s">
        <v>5773</v>
      </c>
      <c r="BA235" s="81" t="s">
        <v>5773</v>
      </c>
      <c r="BB235" s="81" t="s">
        <v>5773</v>
      </c>
      <c r="BC235" s="81" t="s">
        <v>4706</v>
      </c>
      <c r="BD235" s="81" t="s">
        <v>5801</v>
      </c>
      <c r="BE235" s="77"/>
      <c r="BF235" s="77"/>
      <c r="BG235" s="77"/>
      <c r="BH235" s="77"/>
      <c r="BI235" s="77"/>
    </row>
    <row r="236" spans="1:61" ht="15">
      <c r="A236" s="62" t="s">
        <v>281</v>
      </c>
      <c r="B236" s="62" t="s">
        <v>281</v>
      </c>
      <c r="C236" s="63"/>
      <c r="D236" s="64"/>
      <c r="E236" s="65"/>
      <c r="F236" s="66"/>
      <c r="G236" s="63"/>
      <c r="H236" s="67"/>
      <c r="I236" s="68"/>
      <c r="J236" s="68"/>
      <c r="K236" s="32" t="s">
        <v>65</v>
      </c>
      <c r="L236" s="75">
        <v>236</v>
      </c>
      <c r="M236" s="75"/>
      <c r="N236" s="70"/>
      <c r="O236" s="77" t="s">
        <v>179</v>
      </c>
      <c r="P236" s="79">
        <v>43812.47126157407</v>
      </c>
      <c r="Q236" s="77" t="s">
        <v>772</v>
      </c>
      <c r="R236" s="77">
        <v>0</v>
      </c>
      <c r="S236" s="77">
        <v>0</v>
      </c>
      <c r="T236" s="77">
        <v>0</v>
      </c>
      <c r="U236" s="77">
        <v>0</v>
      </c>
      <c r="V236" s="77"/>
      <c r="W236" s="81" t="s">
        <v>1764</v>
      </c>
      <c r="X236" s="80" t="str">
        <f>HYPERLINK("https://www.inovies.com/digital-marketing-company/ppc/pay-per-click-management-services")</f>
        <v>https://www.inovies.com/digital-marketing-company/ppc/pay-per-click-management-services</v>
      </c>
      <c r="Y236" s="77" t="s">
        <v>1982</v>
      </c>
      <c r="Z236" s="77"/>
      <c r="AA236" s="77" t="s">
        <v>2186</v>
      </c>
      <c r="AB236" s="77" t="s">
        <v>2696</v>
      </c>
      <c r="AC236" s="81" t="s">
        <v>2707</v>
      </c>
      <c r="AD236" s="77" t="s">
        <v>2751</v>
      </c>
      <c r="AE236" s="80" t="str">
        <f>HYPERLINK("https://twitter.com/anithapujya/status/1205446925916364802")</f>
        <v>https://twitter.com/anithapujya/status/1205446925916364802</v>
      </c>
      <c r="AF236" s="79">
        <v>43812.47126157407</v>
      </c>
      <c r="AG236" s="85">
        <v>43812</v>
      </c>
      <c r="AH236" s="81" t="s">
        <v>2961</v>
      </c>
      <c r="AI236" s="77" t="b">
        <v>0</v>
      </c>
      <c r="AJ236" s="77"/>
      <c r="AK236" s="77"/>
      <c r="AL236" s="77"/>
      <c r="AM236" s="77"/>
      <c r="AN236" s="77"/>
      <c r="AO236" s="77"/>
      <c r="AP236" s="77"/>
      <c r="AQ236" s="77" t="s">
        <v>4004</v>
      </c>
      <c r="AR236" s="77"/>
      <c r="AS236" s="77"/>
      <c r="AT236" s="77"/>
      <c r="AU236" s="77"/>
      <c r="AV236" s="80" t="str">
        <f>HYPERLINK("https://pbs.twimg.com/media/ELqbkHIUwAADUSQ.jpg")</f>
        <v>https://pbs.twimg.com/media/ELqbkHIUwAADUSQ.jpg</v>
      </c>
      <c r="AW236" s="81" t="s">
        <v>4707</v>
      </c>
      <c r="AX236" s="81" t="s">
        <v>4707</v>
      </c>
      <c r="AY236" s="77"/>
      <c r="AZ236" s="81" t="s">
        <v>5773</v>
      </c>
      <c r="BA236" s="81" t="s">
        <v>5773</v>
      </c>
      <c r="BB236" s="81" t="s">
        <v>5773</v>
      </c>
      <c r="BC236" s="81" t="s">
        <v>4707</v>
      </c>
      <c r="BD236" s="81" t="s">
        <v>5801</v>
      </c>
      <c r="BE236" s="77"/>
      <c r="BF236" s="77"/>
      <c r="BG236" s="77"/>
      <c r="BH236" s="77"/>
      <c r="BI236" s="77"/>
    </row>
    <row r="237" spans="1:61" ht="15">
      <c r="A237" s="62" t="s">
        <v>281</v>
      </c>
      <c r="B237" s="62" t="s">
        <v>281</v>
      </c>
      <c r="C237" s="63"/>
      <c r="D237" s="64"/>
      <c r="E237" s="65"/>
      <c r="F237" s="66"/>
      <c r="G237" s="63"/>
      <c r="H237" s="67"/>
      <c r="I237" s="68"/>
      <c r="J237" s="68"/>
      <c r="K237" s="32" t="s">
        <v>65</v>
      </c>
      <c r="L237" s="75">
        <v>237</v>
      </c>
      <c r="M237" s="75"/>
      <c r="N237" s="70"/>
      <c r="O237" s="77" t="s">
        <v>179</v>
      </c>
      <c r="P237" s="79">
        <v>43811.45652777778</v>
      </c>
      <c r="Q237" s="77" t="s">
        <v>773</v>
      </c>
      <c r="R237" s="77">
        <v>0</v>
      </c>
      <c r="S237" s="77">
        <v>0</v>
      </c>
      <c r="T237" s="77">
        <v>0</v>
      </c>
      <c r="U237" s="77">
        <v>0</v>
      </c>
      <c r="V237" s="77"/>
      <c r="W237" s="81" t="s">
        <v>1765</v>
      </c>
      <c r="X237" s="80" t="str">
        <f>HYPERLINK("https://www.inovies.com/web-design/")</f>
        <v>https://www.inovies.com/web-design/</v>
      </c>
      <c r="Y237" s="77" t="s">
        <v>1982</v>
      </c>
      <c r="Z237" s="77"/>
      <c r="AA237" s="77" t="s">
        <v>2187</v>
      </c>
      <c r="AB237" s="77" t="s">
        <v>2696</v>
      </c>
      <c r="AC237" s="81" t="s">
        <v>2707</v>
      </c>
      <c r="AD237" s="77" t="s">
        <v>2751</v>
      </c>
      <c r="AE237" s="80" t="str">
        <f>HYPERLINK("https://twitter.com/anithapujya/status/1205079197363818497")</f>
        <v>https://twitter.com/anithapujya/status/1205079197363818497</v>
      </c>
      <c r="AF237" s="79">
        <v>43811.45652777778</v>
      </c>
      <c r="AG237" s="85">
        <v>43811</v>
      </c>
      <c r="AH237" s="81" t="s">
        <v>2962</v>
      </c>
      <c r="AI237" s="77" t="b">
        <v>0</v>
      </c>
      <c r="AJ237" s="77"/>
      <c r="AK237" s="77"/>
      <c r="AL237" s="77"/>
      <c r="AM237" s="77"/>
      <c r="AN237" s="77"/>
      <c r="AO237" s="77"/>
      <c r="AP237" s="77"/>
      <c r="AQ237" s="77" t="s">
        <v>4005</v>
      </c>
      <c r="AR237" s="77"/>
      <c r="AS237" s="77"/>
      <c r="AT237" s="77"/>
      <c r="AU237" s="77"/>
      <c r="AV237" s="80" t="str">
        <f>HYPERLINK("https://pbs.twimg.com/media/ELlNDnOUEAAM9zf.jpg")</f>
        <v>https://pbs.twimg.com/media/ELlNDnOUEAAM9zf.jpg</v>
      </c>
      <c r="AW237" s="81" t="s">
        <v>4708</v>
      </c>
      <c r="AX237" s="81" t="s">
        <v>4708</v>
      </c>
      <c r="AY237" s="77"/>
      <c r="AZ237" s="81" t="s">
        <v>5773</v>
      </c>
      <c r="BA237" s="81" t="s">
        <v>5773</v>
      </c>
      <c r="BB237" s="81" t="s">
        <v>5773</v>
      </c>
      <c r="BC237" s="81" t="s">
        <v>4708</v>
      </c>
      <c r="BD237" s="81" t="s">
        <v>5801</v>
      </c>
      <c r="BE237" s="77"/>
      <c r="BF237" s="77"/>
      <c r="BG237" s="77"/>
      <c r="BH237" s="77"/>
      <c r="BI237" s="77"/>
    </row>
    <row r="238" spans="1:61" ht="15">
      <c r="A238" s="62" t="s">
        <v>281</v>
      </c>
      <c r="B238" s="62" t="s">
        <v>281</v>
      </c>
      <c r="C238" s="63"/>
      <c r="D238" s="64"/>
      <c r="E238" s="65"/>
      <c r="F238" s="66"/>
      <c r="G238" s="63"/>
      <c r="H238" s="67"/>
      <c r="I238" s="68"/>
      <c r="J238" s="68"/>
      <c r="K238" s="32" t="s">
        <v>65</v>
      </c>
      <c r="L238" s="75">
        <v>238</v>
      </c>
      <c r="M238" s="75"/>
      <c r="N238" s="70"/>
      <c r="O238" s="77" t="s">
        <v>179</v>
      </c>
      <c r="P238" s="79">
        <v>43810.4009375</v>
      </c>
      <c r="Q238" s="77" t="s">
        <v>774</v>
      </c>
      <c r="R238" s="77">
        <v>0</v>
      </c>
      <c r="S238" s="77">
        <v>0</v>
      </c>
      <c r="T238" s="77">
        <v>0</v>
      </c>
      <c r="U238" s="77">
        <v>0</v>
      </c>
      <c r="V238" s="77"/>
      <c r="W238" s="81" t="s">
        <v>1766</v>
      </c>
      <c r="X238" s="80" t="str">
        <f>HYPERLINK("https://urlzs.com/a3vGd")</f>
        <v>https://urlzs.com/a3vGd</v>
      </c>
      <c r="Y238" s="77" t="s">
        <v>1999</v>
      </c>
      <c r="Z238" s="77"/>
      <c r="AA238" s="77" t="s">
        <v>2188</v>
      </c>
      <c r="AB238" s="77" t="s">
        <v>2696</v>
      </c>
      <c r="AC238" s="81" t="s">
        <v>2707</v>
      </c>
      <c r="AD238" s="77" t="s">
        <v>2751</v>
      </c>
      <c r="AE238" s="80" t="str">
        <f>HYPERLINK("https://twitter.com/anithapujya/status/1204696665111744512")</f>
        <v>https://twitter.com/anithapujya/status/1204696665111744512</v>
      </c>
      <c r="AF238" s="79">
        <v>43810.4009375</v>
      </c>
      <c r="AG238" s="85">
        <v>43810</v>
      </c>
      <c r="AH238" s="81" t="s">
        <v>2963</v>
      </c>
      <c r="AI238" s="77" t="b">
        <v>0</v>
      </c>
      <c r="AJ238" s="77"/>
      <c r="AK238" s="77"/>
      <c r="AL238" s="77"/>
      <c r="AM238" s="77"/>
      <c r="AN238" s="77"/>
      <c r="AO238" s="77"/>
      <c r="AP238" s="77"/>
      <c r="AQ238" s="77" t="s">
        <v>4006</v>
      </c>
      <c r="AR238" s="77"/>
      <c r="AS238" s="77"/>
      <c r="AT238" s="77"/>
      <c r="AU238" s="77"/>
      <c r="AV238" s="80" t="str">
        <f>HYPERLINK("https://pbs.twimg.com/media/ELfxOoEUEAAGP27.jpg")</f>
        <v>https://pbs.twimg.com/media/ELfxOoEUEAAGP27.jpg</v>
      </c>
      <c r="AW238" s="81" t="s">
        <v>4709</v>
      </c>
      <c r="AX238" s="81" t="s">
        <v>4709</v>
      </c>
      <c r="AY238" s="77"/>
      <c r="AZ238" s="81" t="s">
        <v>5773</v>
      </c>
      <c r="BA238" s="81" t="s">
        <v>5773</v>
      </c>
      <c r="BB238" s="81" t="s">
        <v>5773</v>
      </c>
      <c r="BC238" s="81" t="s">
        <v>4709</v>
      </c>
      <c r="BD238" s="81" t="s">
        <v>5801</v>
      </c>
      <c r="BE238" s="77"/>
      <c r="BF238" s="77"/>
      <c r="BG238" s="77"/>
      <c r="BH238" s="77"/>
      <c r="BI238" s="77"/>
    </row>
    <row r="239" spans="1:61" ht="15">
      <c r="A239" s="62" t="s">
        <v>282</v>
      </c>
      <c r="B239" s="62" t="s">
        <v>299</v>
      </c>
      <c r="C239" s="63"/>
      <c r="D239" s="64"/>
      <c r="E239" s="65"/>
      <c r="F239" s="66"/>
      <c r="G239" s="63"/>
      <c r="H239" s="67"/>
      <c r="I239" s="68"/>
      <c r="J239" s="68"/>
      <c r="K239" s="32" t="s">
        <v>65</v>
      </c>
      <c r="L239" s="75">
        <v>239</v>
      </c>
      <c r="M239" s="75"/>
      <c r="N239" s="70"/>
      <c r="O239" s="77" t="s">
        <v>571</v>
      </c>
      <c r="P239" s="79">
        <v>43489.60450231482</v>
      </c>
      <c r="Q239" s="77" t="s">
        <v>775</v>
      </c>
      <c r="R239" s="77">
        <v>0</v>
      </c>
      <c r="S239" s="77">
        <v>0</v>
      </c>
      <c r="T239" s="77">
        <v>0</v>
      </c>
      <c r="U239" s="77">
        <v>0</v>
      </c>
      <c r="V239" s="77"/>
      <c r="W239" s="77"/>
      <c r="X239" s="77"/>
      <c r="Y239" s="77"/>
      <c r="Z239" s="77" t="s">
        <v>299</v>
      </c>
      <c r="AA239" s="77"/>
      <c r="AB239" s="77"/>
      <c r="AC239" s="81" t="s">
        <v>2710</v>
      </c>
      <c r="AD239" s="77" t="s">
        <v>2751</v>
      </c>
      <c r="AE239" s="80" t="str">
        <f>HYPERLINK("https://twitter.com/softwarefindr_/status/1088443927995338752")</f>
        <v>https://twitter.com/softwarefindr_/status/1088443927995338752</v>
      </c>
      <c r="AF239" s="79">
        <v>43489.60450231482</v>
      </c>
      <c r="AG239" s="85">
        <v>43489</v>
      </c>
      <c r="AH239" s="81" t="s">
        <v>2964</v>
      </c>
      <c r="AI239" s="77"/>
      <c r="AJ239" s="77"/>
      <c r="AK239" s="77"/>
      <c r="AL239" s="77"/>
      <c r="AM239" s="77"/>
      <c r="AN239" s="77"/>
      <c r="AO239" s="77"/>
      <c r="AP239" s="77"/>
      <c r="AQ239" s="77"/>
      <c r="AR239" s="77"/>
      <c r="AS239" s="77"/>
      <c r="AT239" s="77"/>
      <c r="AU239" s="77"/>
      <c r="AV239" s="80" t="str">
        <f>HYPERLINK("https://pbs.twimg.com/profile_images/990197838872219648/A86Smvr9_normal.jpg")</f>
        <v>https://pbs.twimg.com/profile_images/990197838872219648/A86Smvr9_normal.jpg</v>
      </c>
      <c r="AW239" s="81" t="s">
        <v>4710</v>
      </c>
      <c r="AX239" s="81" t="s">
        <v>4710</v>
      </c>
      <c r="AY239" s="77"/>
      <c r="AZ239" s="81" t="s">
        <v>5773</v>
      </c>
      <c r="BA239" s="81" t="s">
        <v>5773</v>
      </c>
      <c r="BB239" s="81" t="s">
        <v>5773</v>
      </c>
      <c r="BC239" s="81" t="s">
        <v>4710</v>
      </c>
      <c r="BD239" s="77">
        <v>2508626119</v>
      </c>
      <c r="BE239" s="77"/>
      <c r="BF239" s="77"/>
      <c r="BG239" s="77"/>
      <c r="BH239" s="77"/>
      <c r="BI239" s="77"/>
    </row>
    <row r="240" spans="1:61" ht="15">
      <c r="A240" s="62" t="s">
        <v>283</v>
      </c>
      <c r="B240" s="62" t="s">
        <v>299</v>
      </c>
      <c r="C240" s="63"/>
      <c r="D240" s="64"/>
      <c r="E240" s="65"/>
      <c r="F240" s="66"/>
      <c r="G240" s="63"/>
      <c r="H240" s="67"/>
      <c r="I240" s="68"/>
      <c r="J240" s="68"/>
      <c r="K240" s="32" t="s">
        <v>65</v>
      </c>
      <c r="L240" s="75">
        <v>240</v>
      </c>
      <c r="M240" s="75"/>
      <c r="N240" s="70"/>
      <c r="O240" s="77" t="s">
        <v>571</v>
      </c>
      <c r="P240" s="79">
        <v>41927.27491898148</v>
      </c>
      <c r="Q240" s="77" t="s">
        <v>776</v>
      </c>
      <c r="R240" s="77">
        <v>0</v>
      </c>
      <c r="S240" s="77">
        <v>0</v>
      </c>
      <c r="T240" s="77">
        <v>0</v>
      </c>
      <c r="U240" s="77">
        <v>0</v>
      </c>
      <c r="V240" s="77"/>
      <c r="W240" s="77"/>
      <c r="X240" s="77"/>
      <c r="Y240" s="77"/>
      <c r="Z240" s="77" t="s">
        <v>299</v>
      </c>
      <c r="AA240" s="77"/>
      <c r="AB240" s="77"/>
      <c r="AC240" s="81" t="s">
        <v>2705</v>
      </c>
      <c r="AD240" s="77" t="s">
        <v>2757</v>
      </c>
      <c r="AE240" s="80" t="str">
        <f>HYPERLINK("https://twitter.com/wendy97053587/status/522274646109224960")</f>
        <v>https://twitter.com/wendy97053587/status/522274646109224960</v>
      </c>
      <c r="AF240" s="79">
        <v>41927.27491898148</v>
      </c>
      <c r="AG240" s="85">
        <v>41927</v>
      </c>
      <c r="AH240" s="81" t="s">
        <v>2965</v>
      </c>
      <c r="AI240" s="77"/>
      <c r="AJ240" s="77"/>
      <c r="AK240" s="77"/>
      <c r="AL240" s="77"/>
      <c r="AM240" s="77"/>
      <c r="AN240" s="77"/>
      <c r="AO240" s="77"/>
      <c r="AP240" s="77"/>
      <c r="AQ240" s="77"/>
      <c r="AR240" s="77"/>
      <c r="AS240" s="77"/>
      <c r="AT240" s="77"/>
      <c r="AU240" s="77"/>
      <c r="AV240" s="80" t="str">
        <f>HYPERLINK("https://abs.twimg.com/sticky/default_profile_images/default_profile_normal.png")</f>
        <v>https://abs.twimg.com/sticky/default_profile_images/default_profile_normal.png</v>
      </c>
      <c r="AW240" s="81" t="s">
        <v>4711</v>
      </c>
      <c r="AX240" s="81" t="s">
        <v>4711</v>
      </c>
      <c r="AY240" s="77"/>
      <c r="AZ240" s="81" t="s">
        <v>5773</v>
      </c>
      <c r="BA240" s="81" t="s">
        <v>5773</v>
      </c>
      <c r="BB240" s="81" t="s">
        <v>5773</v>
      </c>
      <c r="BC240" s="81" t="s">
        <v>4711</v>
      </c>
      <c r="BD240" s="77">
        <v>2831223118</v>
      </c>
      <c r="BE240" s="77"/>
      <c r="BF240" s="77"/>
      <c r="BG240" s="77"/>
      <c r="BH240" s="77"/>
      <c r="BI240" s="77"/>
    </row>
    <row r="241" spans="1:61" ht="15">
      <c r="A241" s="62" t="s">
        <v>284</v>
      </c>
      <c r="B241" s="62" t="s">
        <v>284</v>
      </c>
      <c r="C241" s="63"/>
      <c r="D241" s="64"/>
      <c r="E241" s="65"/>
      <c r="F241" s="66"/>
      <c r="G241" s="63"/>
      <c r="H241" s="67"/>
      <c r="I241" s="68"/>
      <c r="J241" s="68"/>
      <c r="K241" s="32" t="s">
        <v>65</v>
      </c>
      <c r="L241" s="75">
        <v>241</v>
      </c>
      <c r="M241" s="75"/>
      <c r="N241" s="70"/>
      <c r="O241" s="77" t="s">
        <v>179</v>
      </c>
      <c r="P241" s="79">
        <v>42956.30583333333</v>
      </c>
      <c r="Q241" s="77" t="s">
        <v>777</v>
      </c>
      <c r="R241" s="77">
        <v>0</v>
      </c>
      <c r="S241" s="77">
        <v>0</v>
      </c>
      <c r="T241" s="77">
        <v>0</v>
      </c>
      <c r="U241" s="77">
        <v>0</v>
      </c>
      <c r="V241" s="77"/>
      <c r="W241" s="77"/>
      <c r="X241" s="77"/>
      <c r="Y241" s="77"/>
      <c r="Z241" s="77"/>
      <c r="AA241" s="77" t="s">
        <v>2189</v>
      </c>
      <c r="AB241" s="77" t="s">
        <v>2696</v>
      </c>
      <c r="AC241" s="81" t="s">
        <v>2710</v>
      </c>
      <c r="AD241" s="77" t="s">
        <v>2751</v>
      </c>
      <c r="AE241" s="80" t="str">
        <f>HYPERLINK("https://twitter.com/karmawork/status/895182960131022848")</f>
        <v>https://twitter.com/karmawork/status/895182960131022848</v>
      </c>
      <c r="AF241" s="79">
        <v>42956.30583333333</v>
      </c>
      <c r="AG241" s="85">
        <v>42956</v>
      </c>
      <c r="AH241" s="81" t="s">
        <v>2966</v>
      </c>
      <c r="AI241" s="77" t="b">
        <v>0</v>
      </c>
      <c r="AJ241" s="77"/>
      <c r="AK241" s="77"/>
      <c r="AL241" s="77"/>
      <c r="AM241" s="77"/>
      <c r="AN241" s="77"/>
      <c r="AO241" s="77"/>
      <c r="AP241" s="77"/>
      <c r="AQ241" s="77" t="s">
        <v>4007</v>
      </c>
      <c r="AR241" s="77"/>
      <c r="AS241" s="77"/>
      <c r="AT241" s="77"/>
      <c r="AU241" s="77"/>
      <c r="AV241" s="80" t="str">
        <f>HYPERLINK("https://pbs.twimg.com/media/DGxUKFFXcAAebOa.jpg")</f>
        <v>https://pbs.twimg.com/media/DGxUKFFXcAAebOa.jpg</v>
      </c>
      <c r="AW241" s="81" t="s">
        <v>4712</v>
      </c>
      <c r="AX241" s="81" t="s">
        <v>4712</v>
      </c>
      <c r="AY241" s="77"/>
      <c r="AZ241" s="81" t="s">
        <v>5773</v>
      </c>
      <c r="BA241" s="81" t="s">
        <v>5773</v>
      </c>
      <c r="BB241" s="81" t="s">
        <v>5773</v>
      </c>
      <c r="BC241" s="81" t="s">
        <v>4712</v>
      </c>
      <c r="BD241" s="77">
        <v>31125247</v>
      </c>
      <c r="BE241" s="77"/>
      <c r="BF241" s="77"/>
      <c r="BG241" s="77"/>
      <c r="BH241" s="77"/>
      <c r="BI241" s="77"/>
    </row>
    <row r="242" spans="1:61" ht="15">
      <c r="A242" s="62" t="s">
        <v>284</v>
      </c>
      <c r="B242" s="62" t="s">
        <v>284</v>
      </c>
      <c r="C242" s="63"/>
      <c r="D242" s="64"/>
      <c r="E242" s="65"/>
      <c r="F242" s="66"/>
      <c r="G242" s="63"/>
      <c r="H242" s="67"/>
      <c r="I242" s="68"/>
      <c r="J242" s="68"/>
      <c r="K242" s="32" t="s">
        <v>65</v>
      </c>
      <c r="L242" s="75">
        <v>242</v>
      </c>
      <c r="M242" s="75"/>
      <c r="N242" s="70"/>
      <c r="O242" s="77" t="s">
        <v>179</v>
      </c>
      <c r="P242" s="79">
        <v>42956.304930555554</v>
      </c>
      <c r="Q242" s="77" t="s">
        <v>778</v>
      </c>
      <c r="R242" s="77">
        <v>0</v>
      </c>
      <c r="S242" s="77">
        <v>0</v>
      </c>
      <c r="T242" s="77">
        <v>0</v>
      </c>
      <c r="U242" s="77">
        <v>0</v>
      </c>
      <c r="V242" s="77"/>
      <c r="W242" s="77"/>
      <c r="X242" s="80" t="str">
        <f>HYPERLINK("https://twitter.com/Inovies")</f>
        <v>https://twitter.com/Inovies</v>
      </c>
      <c r="Y242" s="77" t="s">
        <v>2000</v>
      </c>
      <c r="Z242" s="77"/>
      <c r="AA242" s="77" t="s">
        <v>2190</v>
      </c>
      <c r="AB242" s="77" t="s">
        <v>2696</v>
      </c>
      <c r="AC242" s="81" t="s">
        <v>2710</v>
      </c>
      <c r="AD242" s="77" t="s">
        <v>2751</v>
      </c>
      <c r="AE242" s="80" t="str">
        <f>HYPERLINK("https://twitter.com/karmawork/status/895182633180819456")</f>
        <v>https://twitter.com/karmawork/status/895182633180819456</v>
      </c>
      <c r="AF242" s="79">
        <v>42956.304930555554</v>
      </c>
      <c r="AG242" s="85">
        <v>42956</v>
      </c>
      <c r="AH242" s="81" t="s">
        <v>2967</v>
      </c>
      <c r="AI242" s="77" t="b">
        <v>0</v>
      </c>
      <c r="AJ242" s="77"/>
      <c r="AK242" s="77"/>
      <c r="AL242" s="77"/>
      <c r="AM242" s="77"/>
      <c r="AN242" s="77"/>
      <c r="AO242" s="77"/>
      <c r="AP242" s="77"/>
      <c r="AQ242" s="77" t="s">
        <v>4008</v>
      </c>
      <c r="AR242" s="77"/>
      <c r="AS242" s="77"/>
      <c r="AT242" s="77"/>
      <c r="AU242" s="77"/>
      <c r="AV242" s="80" t="str">
        <f>HYPERLINK("https://pbs.twimg.com/media/DGxT3FhXsAEZ8gG.jpg")</f>
        <v>https://pbs.twimg.com/media/DGxT3FhXsAEZ8gG.jpg</v>
      </c>
      <c r="AW242" s="81" t="s">
        <v>4713</v>
      </c>
      <c r="AX242" s="81" t="s">
        <v>4713</v>
      </c>
      <c r="AY242" s="77"/>
      <c r="AZ242" s="81" t="s">
        <v>5773</v>
      </c>
      <c r="BA242" s="81" t="s">
        <v>5773</v>
      </c>
      <c r="BB242" s="81" t="s">
        <v>5773</v>
      </c>
      <c r="BC242" s="81" t="s">
        <v>4713</v>
      </c>
      <c r="BD242" s="77">
        <v>31125247</v>
      </c>
      <c r="BE242" s="77"/>
      <c r="BF242" s="77"/>
      <c r="BG242" s="77"/>
      <c r="BH242" s="77"/>
      <c r="BI242" s="77"/>
    </row>
    <row r="243" spans="1:61" ht="15">
      <c r="A243" s="62" t="s">
        <v>285</v>
      </c>
      <c r="B243" s="62" t="s">
        <v>299</v>
      </c>
      <c r="C243" s="63"/>
      <c r="D243" s="64"/>
      <c r="E243" s="65"/>
      <c r="F243" s="66"/>
      <c r="G243" s="63"/>
      <c r="H243" s="67"/>
      <c r="I243" s="68"/>
      <c r="J243" s="68"/>
      <c r="K243" s="32" t="s">
        <v>65</v>
      </c>
      <c r="L243" s="75">
        <v>243</v>
      </c>
      <c r="M243" s="75"/>
      <c r="N243" s="70"/>
      <c r="O243" s="77" t="s">
        <v>571</v>
      </c>
      <c r="P243" s="79">
        <v>42954.452893518515</v>
      </c>
      <c r="Q243" s="77" t="s">
        <v>779</v>
      </c>
      <c r="R243" s="77">
        <v>0</v>
      </c>
      <c r="S243" s="77">
        <v>0</v>
      </c>
      <c r="T243" s="77">
        <v>0</v>
      </c>
      <c r="U243" s="77">
        <v>0</v>
      </c>
      <c r="V243" s="77"/>
      <c r="W243" s="81" t="s">
        <v>492</v>
      </c>
      <c r="X243" s="80" t="str">
        <f>HYPERLINK("http://bit.ly/ShanaHaynie")</f>
        <v>http://bit.ly/ShanaHaynie</v>
      </c>
      <c r="Y243" s="77" t="s">
        <v>1984</v>
      </c>
      <c r="Z243" s="77" t="s">
        <v>299</v>
      </c>
      <c r="AA243" s="77"/>
      <c r="AB243" s="77"/>
      <c r="AC243" s="81" t="s">
        <v>2723</v>
      </c>
      <c r="AD243" s="77" t="s">
        <v>2751</v>
      </c>
      <c r="AE243" s="80" t="str">
        <f>HYPERLINK("https://twitter.com/artworksbyshana/status/894511477939462144")</f>
        <v>https://twitter.com/artworksbyshana/status/894511477939462144</v>
      </c>
      <c r="AF243" s="79">
        <v>42954.452893518515</v>
      </c>
      <c r="AG243" s="85">
        <v>42954</v>
      </c>
      <c r="AH243" s="81" t="s">
        <v>2968</v>
      </c>
      <c r="AI243" s="77" t="b">
        <v>0</v>
      </c>
      <c r="AJ243" s="77"/>
      <c r="AK243" s="77"/>
      <c r="AL243" s="77"/>
      <c r="AM243" s="77"/>
      <c r="AN243" s="77"/>
      <c r="AO243" s="77"/>
      <c r="AP243" s="77"/>
      <c r="AQ243" s="77"/>
      <c r="AR243" s="77"/>
      <c r="AS243" s="77"/>
      <c r="AT243" s="77"/>
      <c r="AU243" s="77"/>
      <c r="AV243" s="80" t="str">
        <f>HYPERLINK("https://pbs.twimg.com/profile_images/1283814083712565248/fAfZbOhm_normal.jpg")</f>
        <v>https://pbs.twimg.com/profile_images/1283814083712565248/fAfZbOhm_normal.jpg</v>
      </c>
      <c r="AW243" s="81" t="s">
        <v>4714</v>
      </c>
      <c r="AX243" s="81" t="s">
        <v>4714</v>
      </c>
      <c r="AY243" s="81" t="s">
        <v>5721</v>
      </c>
      <c r="AZ243" s="81" t="s">
        <v>5773</v>
      </c>
      <c r="BA243" s="81" t="s">
        <v>5773</v>
      </c>
      <c r="BB243" s="81" t="s">
        <v>5773</v>
      </c>
      <c r="BC243" s="81" t="s">
        <v>4714</v>
      </c>
      <c r="BD243" s="77">
        <v>161532559</v>
      </c>
      <c r="BE243" s="77"/>
      <c r="BF243" s="77"/>
      <c r="BG243" s="77"/>
      <c r="BH243" s="77"/>
      <c r="BI243" s="77"/>
    </row>
    <row r="244" spans="1:61" ht="15">
      <c r="A244" s="62" t="s">
        <v>285</v>
      </c>
      <c r="B244" s="62" t="s">
        <v>299</v>
      </c>
      <c r="C244" s="63"/>
      <c r="D244" s="64"/>
      <c r="E244" s="65"/>
      <c r="F244" s="66"/>
      <c r="G244" s="63"/>
      <c r="H244" s="67"/>
      <c r="I244" s="68"/>
      <c r="J244" s="68"/>
      <c r="K244" s="32" t="s">
        <v>65</v>
      </c>
      <c r="L244" s="75">
        <v>244</v>
      </c>
      <c r="M244" s="75"/>
      <c r="N244" s="70"/>
      <c r="O244" s="77" t="s">
        <v>571</v>
      </c>
      <c r="P244" s="79">
        <v>42953.49458333333</v>
      </c>
      <c r="Q244" s="77" t="s">
        <v>780</v>
      </c>
      <c r="R244" s="77">
        <v>0</v>
      </c>
      <c r="S244" s="77">
        <v>0</v>
      </c>
      <c r="T244" s="77">
        <v>0</v>
      </c>
      <c r="U244" s="77">
        <v>0</v>
      </c>
      <c r="V244" s="77"/>
      <c r="W244" s="81" t="s">
        <v>1767</v>
      </c>
      <c r="X244" s="80" t="str">
        <f>HYPERLINK("http://vulpine.social/how-to-promote-your-blog")</f>
        <v>http://vulpine.social/how-to-promote-your-blog</v>
      </c>
      <c r="Y244" s="77" t="s">
        <v>2001</v>
      </c>
      <c r="Z244" s="77" t="s">
        <v>299</v>
      </c>
      <c r="AA244" s="77"/>
      <c r="AB244" s="77"/>
      <c r="AC244" s="81" t="s">
        <v>2723</v>
      </c>
      <c r="AD244" s="77" t="s">
        <v>2751</v>
      </c>
      <c r="AE244" s="80" t="str">
        <f>HYPERLINK("https://twitter.com/artworksbyshana/status/894164197772230656")</f>
        <v>https://twitter.com/artworksbyshana/status/894164197772230656</v>
      </c>
      <c r="AF244" s="79">
        <v>42953.49458333333</v>
      </c>
      <c r="AG244" s="85">
        <v>42953</v>
      </c>
      <c r="AH244" s="81" t="s">
        <v>2969</v>
      </c>
      <c r="AI244" s="77" t="b">
        <v>0</v>
      </c>
      <c r="AJ244" s="77"/>
      <c r="AK244" s="77"/>
      <c r="AL244" s="77"/>
      <c r="AM244" s="77"/>
      <c r="AN244" s="77"/>
      <c r="AO244" s="77"/>
      <c r="AP244" s="77"/>
      <c r="AQ244" s="77"/>
      <c r="AR244" s="77"/>
      <c r="AS244" s="77"/>
      <c r="AT244" s="77"/>
      <c r="AU244" s="77"/>
      <c r="AV244" s="80" t="str">
        <f>HYPERLINK("https://pbs.twimg.com/profile_images/1283814083712565248/fAfZbOhm_normal.jpg")</f>
        <v>https://pbs.twimg.com/profile_images/1283814083712565248/fAfZbOhm_normal.jpg</v>
      </c>
      <c r="AW244" s="81" t="s">
        <v>4715</v>
      </c>
      <c r="AX244" s="81" t="s">
        <v>4715</v>
      </c>
      <c r="AY244" s="81" t="s">
        <v>5721</v>
      </c>
      <c r="AZ244" s="81" t="s">
        <v>5773</v>
      </c>
      <c r="BA244" s="81" t="s">
        <v>5773</v>
      </c>
      <c r="BB244" s="81" t="s">
        <v>5773</v>
      </c>
      <c r="BC244" s="81" t="s">
        <v>4715</v>
      </c>
      <c r="BD244" s="77">
        <v>161532559</v>
      </c>
      <c r="BE244" s="77"/>
      <c r="BF244" s="77"/>
      <c r="BG244" s="77"/>
      <c r="BH244" s="77"/>
      <c r="BI244" s="77"/>
    </row>
    <row r="245" spans="1:61" ht="15">
      <c r="A245" s="62" t="s">
        <v>286</v>
      </c>
      <c r="B245" s="62" t="s">
        <v>286</v>
      </c>
      <c r="C245" s="63"/>
      <c r="D245" s="64"/>
      <c r="E245" s="65"/>
      <c r="F245" s="66"/>
      <c r="G245" s="63"/>
      <c r="H245" s="67"/>
      <c r="I245" s="68"/>
      <c r="J245" s="68"/>
      <c r="K245" s="32" t="s">
        <v>65</v>
      </c>
      <c r="L245" s="75">
        <v>245</v>
      </c>
      <c r="M245" s="75"/>
      <c r="N245" s="70"/>
      <c r="O245" s="77" t="s">
        <v>179</v>
      </c>
      <c r="P245" s="79">
        <v>42791.85420138889</v>
      </c>
      <c r="Q245" s="77" t="s">
        <v>781</v>
      </c>
      <c r="R245" s="77">
        <v>0</v>
      </c>
      <c r="S245" s="77">
        <v>0</v>
      </c>
      <c r="T245" s="77">
        <v>0</v>
      </c>
      <c r="U245" s="77">
        <v>0</v>
      </c>
      <c r="V245" s="77"/>
      <c r="W245" s="77"/>
      <c r="X245" s="80" t="str">
        <f>HYPERLINK("http://bit.ly/2lH694G")</f>
        <v>http://bit.ly/2lH694G</v>
      </c>
      <c r="Y245" s="77" t="s">
        <v>1984</v>
      </c>
      <c r="Z245" s="77"/>
      <c r="AA245" s="77" t="s">
        <v>2191</v>
      </c>
      <c r="AB245" s="77" t="s">
        <v>2696</v>
      </c>
      <c r="AC245" s="81" t="s">
        <v>2724</v>
      </c>
      <c r="AD245" s="77" t="s">
        <v>2751</v>
      </c>
      <c r="AE245" s="80" t="str">
        <f>HYPERLINK("https://twitter.com/bootstrap4eva/status/835587685800628224")</f>
        <v>https://twitter.com/bootstrap4eva/status/835587685800628224</v>
      </c>
      <c r="AF245" s="79">
        <v>42791.85420138889</v>
      </c>
      <c r="AG245" s="85">
        <v>42791</v>
      </c>
      <c r="AH245" s="81" t="s">
        <v>2970</v>
      </c>
      <c r="AI245" s="77" t="b">
        <v>0</v>
      </c>
      <c r="AJ245" s="77"/>
      <c r="AK245" s="77"/>
      <c r="AL245" s="77"/>
      <c r="AM245" s="77"/>
      <c r="AN245" s="77"/>
      <c r="AO245" s="77"/>
      <c r="AP245" s="77"/>
      <c r="AQ245" s="77" t="s">
        <v>4009</v>
      </c>
      <c r="AR245" s="77"/>
      <c r="AS245" s="77"/>
      <c r="AT245" s="77"/>
      <c r="AU245" s="77"/>
      <c r="AV245" s="80" t="str">
        <f>HYPERLINK("https://pbs.twimg.com/media/C5iakheXEAEZqP8.jpg")</f>
        <v>https://pbs.twimg.com/media/C5iakheXEAEZqP8.jpg</v>
      </c>
      <c r="AW245" s="81" t="s">
        <v>4716</v>
      </c>
      <c r="AX245" s="81" t="s">
        <v>4716</v>
      </c>
      <c r="AY245" s="77"/>
      <c r="AZ245" s="81" t="s">
        <v>5773</v>
      </c>
      <c r="BA245" s="81" t="s">
        <v>5773</v>
      </c>
      <c r="BB245" s="81" t="s">
        <v>5773</v>
      </c>
      <c r="BC245" s="81" t="s">
        <v>4716</v>
      </c>
      <c r="BD245" s="77">
        <v>369471121</v>
      </c>
      <c r="BE245" s="77"/>
      <c r="BF245" s="77"/>
      <c r="BG245" s="77"/>
      <c r="BH245" s="77"/>
      <c r="BI245" s="77"/>
    </row>
    <row r="246" spans="1:61" ht="15">
      <c r="A246" s="62" t="s">
        <v>287</v>
      </c>
      <c r="B246" s="62" t="s">
        <v>287</v>
      </c>
      <c r="C246" s="63"/>
      <c r="D246" s="64"/>
      <c r="E246" s="65"/>
      <c r="F246" s="66"/>
      <c r="G246" s="63"/>
      <c r="H246" s="67"/>
      <c r="I246" s="68"/>
      <c r="J246" s="68"/>
      <c r="K246" s="32" t="s">
        <v>65</v>
      </c>
      <c r="L246" s="75">
        <v>246</v>
      </c>
      <c r="M246" s="75"/>
      <c r="N246" s="70"/>
      <c r="O246" s="77" t="s">
        <v>179</v>
      </c>
      <c r="P246" s="79">
        <v>40854.73003472222</v>
      </c>
      <c r="Q246" s="77" t="s">
        <v>782</v>
      </c>
      <c r="R246" s="77">
        <v>0</v>
      </c>
      <c r="S246" s="77">
        <v>0</v>
      </c>
      <c r="T246" s="77">
        <v>0</v>
      </c>
      <c r="U246" s="77">
        <v>0</v>
      </c>
      <c r="V246" s="77"/>
      <c r="W246" s="77"/>
      <c r="X246" s="80" t="str">
        <f>HYPERLINK("http://dlvr.it/v3H4b")</f>
        <v>http://dlvr.it/v3H4b</v>
      </c>
      <c r="Y246" s="77" t="s">
        <v>1974</v>
      </c>
      <c r="Z246" s="77"/>
      <c r="AA246" s="77"/>
      <c r="AB246" s="77"/>
      <c r="AC246" s="81" t="s">
        <v>1974</v>
      </c>
      <c r="AD246" s="77" t="s">
        <v>2751</v>
      </c>
      <c r="AE246" s="80" t="str">
        <f>HYPERLINK("https://twitter.com/enggjobsindia/status/133597392623771649")</f>
        <v>https://twitter.com/enggjobsindia/status/133597392623771649</v>
      </c>
      <c r="AF246" s="79">
        <v>40854.73003472222</v>
      </c>
      <c r="AG246" s="85">
        <v>40854</v>
      </c>
      <c r="AH246" s="81" t="s">
        <v>2971</v>
      </c>
      <c r="AI246" s="77" t="b">
        <v>0</v>
      </c>
      <c r="AJ246" s="77"/>
      <c r="AK246" s="77"/>
      <c r="AL246" s="77"/>
      <c r="AM246" s="77"/>
      <c r="AN246" s="77"/>
      <c r="AO246" s="77"/>
      <c r="AP246" s="77"/>
      <c r="AQ246" s="77"/>
      <c r="AR246" s="77"/>
      <c r="AS246" s="77"/>
      <c r="AT246" s="77"/>
      <c r="AU246" s="77"/>
      <c r="AV246" s="80" t="str">
        <f>HYPERLINK("https://pbs.twimg.com/profile_images/1511196012/engg_normal.gif")</f>
        <v>https://pbs.twimg.com/profile_images/1511196012/engg_normal.gif</v>
      </c>
      <c r="AW246" s="81" t="s">
        <v>4717</v>
      </c>
      <c r="AX246" s="81" t="s">
        <v>4717</v>
      </c>
      <c r="AY246" s="77"/>
      <c r="AZ246" s="81" t="s">
        <v>5773</v>
      </c>
      <c r="BA246" s="81" t="s">
        <v>5773</v>
      </c>
      <c r="BB246" s="81" t="s">
        <v>5773</v>
      </c>
      <c r="BC246" s="81" t="s">
        <v>4717</v>
      </c>
      <c r="BD246" s="77">
        <v>121056946</v>
      </c>
      <c r="BE246" s="77"/>
      <c r="BF246" s="77"/>
      <c r="BG246" s="77"/>
      <c r="BH246" s="77"/>
      <c r="BI246" s="77"/>
    </row>
    <row r="247" spans="1:61" ht="15">
      <c r="A247" s="62" t="s">
        <v>288</v>
      </c>
      <c r="B247" s="62" t="s">
        <v>288</v>
      </c>
      <c r="C247" s="63"/>
      <c r="D247" s="64"/>
      <c r="E247" s="65"/>
      <c r="F247" s="66"/>
      <c r="G247" s="63"/>
      <c r="H247" s="67"/>
      <c r="I247" s="68"/>
      <c r="J247" s="68"/>
      <c r="K247" s="32" t="s">
        <v>65</v>
      </c>
      <c r="L247" s="75">
        <v>247</v>
      </c>
      <c r="M247" s="75"/>
      <c r="N247" s="70"/>
      <c r="O247" s="77" t="s">
        <v>179</v>
      </c>
      <c r="P247" s="79">
        <v>44461.57221064815</v>
      </c>
      <c r="Q247" s="77" t="s">
        <v>783</v>
      </c>
      <c r="R247" s="77">
        <v>1</v>
      </c>
      <c r="S247" s="77">
        <v>30</v>
      </c>
      <c r="T247" s="77">
        <v>1</v>
      </c>
      <c r="U247" s="77">
        <v>0</v>
      </c>
      <c r="V247" s="77"/>
      <c r="W247" s="77"/>
      <c r="X247" s="77"/>
      <c r="Y247" s="77"/>
      <c r="Z247" s="77"/>
      <c r="AA247" s="77"/>
      <c r="AB247" s="77"/>
      <c r="AC247" s="81" t="s">
        <v>2701</v>
      </c>
      <c r="AD247" s="77" t="s">
        <v>2751</v>
      </c>
      <c r="AE247" s="80" t="str">
        <f>HYPERLINK("https://twitter.com/tristanpej/status/1440673231116009486")</f>
        <v>https://twitter.com/tristanpej/status/1440673231116009486</v>
      </c>
      <c r="AF247" s="79">
        <v>44461.57221064815</v>
      </c>
      <c r="AG247" s="85">
        <v>44461</v>
      </c>
      <c r="AH247" s="81" t="s">
        <v>2972</v>
      </c>
      <c r="AI247" s="77"/>
      <c r="AJ247" s="77"/>
      <c r="AK247" s="77"/>
      <c r="AL247" s="77"/>
      <c r="AM247" s="77"/>
      <c r="AN247" s="77"/>
      <c r="AO247" s="77"/>
      <c r="AP247" s="77"/>
      <c r="AQ247" s="77"/>
      <c r="AR247" s="77"/>
      <c r="AS247" s="77"/>
      <c r="AT247" s="77"/>
      <c r="AU247" s="77"/>
      <c r="AV247" s="80" t="str">
        <f>HYPERLINK("https://pbs.twimg.com/profile_images/1702869610943377408/ZDew_v6D_normal.jpg")</f>
        <v>https://pbs.twimg.com/profile_images/1702869610943377408/ZDew_v6D_normal.jpg</v>
      </c>
      <c r="AW247" s="81" t="s">
        <v>4718</v>
      </c>
      <c r="AX247" s="81" t="s">
        <v>4718</v>
      </c>
      <c r="AY247" s="77"/>
      <c r="AZ247" s="81" t="s">
        <v>5773</v>
      </c>
      <c r="BA247" s="81" t="s">
        <v>5773</v>
      </c>
      <c r="BB247" s="81" t="s">
        <v>5773</v>
      </c>
      <c r="BC247" s="81" t="s">
        <v>4718</v>
      </c>
      <c r="BD247" s="77">
        <v>14464159</v>
      </c>
      <c r="BE247" s="77"/>
      <c r="BF247" s="77"/>
      <c r="BG247" s="77"/>
      <c r="BH247" s="77"/>
      <c r="BI247" s="77"/>
    </row>
    <row r="248" spans="1:61" ht="15">
      <c r="A248" s="62" t="s">
        <v>289</v>
      </c>
      <c r="B248" s="62" t="s">
        <v>462</v>
      </c>
      <c r="C248" s="63"/>
      <c r="D248" s="64"/>
      <c r="E248" s="65"/>
      <c r="F248" s="66"/>
      <c r="G248" s="63"/>
      <c r="H248" s="67"/>
      <c r="I248" s="68"/>
      <c r="J248" s="68"/>
      <c r="K248" s="32" t="s">
        <v>65</v>
      </c>
      <c r="L248" s="75">
        <v>248</v>
      </c>
      <c r="M248" s="75"/>
      <c r="N248" s="70"/>
      <c r="O248" s="77" t="s">
        <v>571</v>
      </c>
      <c r="P248" s="79">
        <v>43738.20605324074</v>
      </c>
      <c r="Q248" s="77" t="s">
        <v>784</v>
      </c>
      <c r="R248" s="77">
        <v>1</v>
      </c>
      <c r="S248" s="77">
        <v>4</v>
      </c>
      <c r="T248" s="77">
        <v>2</v>
      </c>
      <c r="U248" s="77">
        <v>1</v>
      </c>
      <c r="V248" s="77"/>
      <c r="W248" s="77"/>
      <c r="X248" s="77"/>
      <c r="Y248" s="77"/>
      <c r="Z248" s="77" t="s">
        <v>2069</v>
      </c>
      <c r="AA248" s="77" t="s">
        <v>2192</v>
      </c>
      <c r="AB248" s="77" t="s">
        <v>2697</v>
      </c>
      <c r="AC248" s="81" t="s">
        <v>2701</v>
      </c>
      <c r="AD248" s="77" t="s">
        <v>2751</v>
      </c>
      <c r="AE248" s="80" t="str">
        <f>HYPERLINK("https://twitter.com/dushyant_pimple/status/1178534115735289856")</f>
        <v>https://twitter.com/dushyant_pimple/status/1178534115735289856</v>
      </c>
      <c r="AF248" s="79">
        <v>43738.20605324074</v>
      </c>
      <c r="AG248" s="85">
        <v>43738</v>
      </c>
      <c r="AH248" s="81" t="s">
        <v>2973</v>
      </c>
      <c r="AI248" s="77" t="b">
        <v>0</v>
      </c>
      <c r="AJ248" s="77"/>
      <c r="AK248" s="77"/>
      <c r="AL248" s="77"/>
      <c r="AM248" s="77"/>
      <c r="AN248" s="77"/>
      <c r="AO248" s="77"/>
      <c r="AP248" s="77"/>
      <c r="AQ248" s="77" t="s">
        <v>4010</v>
      </c>
      <c r="AR248" s="77"/>
      <c r="AS248" s="77"/>
      <c r="AT248" s="77"/>
      <c r="AU248" s="77"/>
      <c r="AV248" s="80" t="str">
        <f>HYPERLINK("https://pbs.twimg.com/media/EFr-caLUUAAKXBx.jpg")</f>
        <v>https://pbs.twimg.com/media/EFr-caLUUAAKXBx.jpg</v>
      </c>
      <c r="AW248" s="81" t="s">
        <v>4719</v>
      </c>
      <c r="AX248" s="81" t="s">
        <v>4719</v>
      </c>
      <c r="AY248" s="77"/>
      <c r="AZ248" s="81" t="s">
        <v>5773</v>
      </c>
      <c r="BA248" s="81" t="s">
        <v>5773</v>
      </c>
      <c r="BB248" s="81" t="s">
        <v>5773</v>
      </c>
      <c r="BC248" s="81" t="s">
        <v>4719</v>
      </c>
      <c r="BD248" s="81" t="s">
        <v>5802</v>
      </c>
      <c r="BE248" s="77"/>
      <c r="BF248" s="77"/>
      <c r="BG248" s="77"/>
      <c r="BH248" s="77"/>
      <c r="BI248" s="77"/>
    </row>
    <row r="249" spans="1:61" ht="15">
      <c r="A249" s="62" t="s">
        <v>289</v>
      </c>
      <c r="B249" s="62" t="s">
        <v>463</v>
      </c>
      <c r="C249" s="63"/>
      <c r="D249" s="64"/>
      <c r="E249" s="65"/>
      <c r="F249" s="66"/>
      <c r="G249" s="63"/>
      <c r="H249" s="67"/>
      <c r="I249" s="68"/>
      <c r="J249" s="68"/>
      <c r="K249" s="32" t="s">
        <v>65</v>
      </c>
      <c r="L249" s="75">
        <v>249</v>
      </c>
      <c r="M249" s="75"/>
      <c r="N249" s="70"/>
      <c r="O249" s="77" t="s">
        <v>571</v>
      </c>
      <c r="P249" s="79">
        <v>43738.20605324074</v>
      </c>
      <c r="Q249" s="77" t="s">
        <v>784</v>
      </c>
      <c r="R249" s="77">
        <v>1</v>
      </c>
      <c r="S249" s="77">
        <v>4</v>
      </c>
      <c r="T249" s="77">
        <v>2</v>
      </c>
      <c r="U249" s="77">
        <v>1</v>
      </c>
      <c r="V249" s="77"/>
      <c r="W249" s="77"/>
      <c r="X249" s="77"/>
      <c r="Y249" s="77"/>
      <c r="Z249" s="77" t="s">
        <v>2069</v>
      </c>
      <c r="AA249" s="77" t="s">
        <v>2192</v>
      </c>
      <c r="AB249" s="77" t="s">
        <v>2697</v>
      </c>
      <c r="AC249" s="81" t="s">
        <v>2701</v>
      </c>
      <c r="AD249" s="77" t="s">
        <v>2751</v>
      </c>
      <c r="AE249" s="80" t="str">
        <f>HYPERLINK("https://twitter.com/dushyant_pimple/status/1178534115735289856")</f>
        <v>https://twitter.com/dushyant_pimple/status/1178534115735289856</v>
      </c>
      <c r="AF249" s="79">
        <v>43738.20605324074</v>
      </c>
      <c r="AG249" s="85">
        <v>43738</v>
      </c>
      <c r="AH249" s="81" t="s">
        <v>2973</v>
      </c>
      <c r="AI249" s="77" t="b">
        <v>0</v>
      </c>
      <c r="AJ249" s="77"/>
      <c r="AK249" s="77"/>
      <c r="AL249" s="77"/>
      <c r="AM249" s="77"/>
      <c r="AN249" s="77"/>
      <c r="AO249" s="77"/>
      <c r="AP249" s="77"/>
      <c r="AQ249" s="77" t="s">
        <v>4010</v>
      </c>
      <c r="AR249" s="77"/>
      <c r="AS249" s="77"/>
      <c r="AT249" s="77"/>
      <c r="AU249" s="77"/>
      <c r="AV249" s="80" t="str">
        <f>HYPERLINK("https://pbs.twimg.com/media/EFr-caLUUAAKXBx.jpg")</f>
        <v>https://pbs.twimg.com/media/EFr-caLUUAAKXBx.jpg</v>
      </c>
      <c r="AW249" s="81" t="s">
        <v>4719</v>
      </c>
      <c r="AX249" s="81" t="s">
        <v>4719</v>
      </c>
      <c r="AY249" s="77"/>
      <c r="AZ249" s="81" t="s">
        <v>5773</v>
      </c>
      <c r="BA249" s="81" t="s">
        <v>5773</v>
      </c>
      <c r="BB249" s="81" t="s">
        <v>5773</v>
      </c>
      <c r="BC249" s="81" t="s">
        <v>4719</v>
      </c>
      <c r="BD249" s="81" t="s">
        <v>5802</v>
      </c>
      <c r="BE249" s="77"/>
      <c r="BF249" s="77"/>
      <c r="BG249" s="77"/>
      <c r="BH249" s="77"/>
      <c r="BI249" s="77"/>
    </row>
    <row r="250" spans="1:61" ht="15">
      <c r="A250" s="62" t="s">
        <v>289</v>
      </c>
      <c r="B250" s="62" t="s">
        <v>421</v>
      </c>
      <c r="C250" s="63"/>
      <c r="D250" s="64"/>
      <c r="E250" s="65"/>
      <c r="F250" s="66"/>
      <c r="G250" s="63"/>
      <c r="H250" s="67"/>
      <c r="I250" s="68"/>
      <c r="J250" s="68"/>
      <c r="K250" s="32" t="s">
        <v>65</v>
      </c>
      <c r="L250" s="75">
        <v>250</v>
      </c>
      <c r="M250" s="75"/>
      <c r="N250" s="70"/>
      <c r="O250" s="77" t="s">
        <v>571</v>
      </c>
      <c r="P250" s="79">
        <v>43738.20605324074</v>
      </c>
      <c r="Q250" s="77" t="s">
        <v>784</v>
      </c>
      <c r="R250" s="77">
        <v>1</v>
      </c>
      <c r="S250" s="77">
        <v>4</v>
      </c>
      <c r="T250" s="77">
        <v>2</v>
      </c>
      <c r="U250" s="77">
        <v>1</v>
      </c>
      <c r="V250" s="77"/>
      <c r="W250" s="77"/>
      <c r="X250" s="77"/>
      <c r="Y250" s="77"/>
      <c r="Z250" s="77" t="s">
        <v>2069</v>
      </c>
      <c r="AA250" s="77" t="s">
        <v>2192</v>
      </c>
      <c r="AB250" s="77" t="s">
        <v>2697</v>
      </c>
      <c r="AC250" s="81" t="s">
        <v>2701</v>
      </c>
      <c r="AD250" s="77" t="s">
        <v>2751</v>
      </c>
      <c r="AE250" s="80" t="str">
        <f>HYPERLINK("https://twitter.com/dushyant_pimple/status/1178534115735289856")</f>
        <v>https://twitter.com/dushyant_pimple/status/1178534115735289856</v>
      </c>
      <c r="AF250" s="79">
        <v>43738.20605324074</v>
      </c>
      <c r="AG250" s="85">
        <v>43738</v>
      </c>
      <c r="AH250" s="81" t="s">
        <v>2973</v>
      </c>
      <c r="AI250" s="77" t="b">
        <v>0</v>
      </c>
      <c r="AJ250" s="77"/>
      <c r="AK250" s="77"/>
      <c r="AL250" s="77"/>
      <c r="AM250" s="77"/>
      <c r="AN250" s="77"/>
      <c r="AO250" s="77"/>
      <c r="AP250" s="77"/>
      <c r="AQ250" s="77" t="s">
        <v>4010</v>
      </c>
      <c r="AR250" s="77"/>
      <c r="AS250" s="77"/>
      <c r="AT250" s="77"/>
      <c r="AU250" s="77"/>
      <c r="AV250" s="80" t="str">
        <f>HYPERLINK("https://pbs.twimg.com/media/EFr-caLUUAAKXBx.jpg")</f>
        <v>https://pbs.twimg.com/media/EFr-caLUUAAKXBx.jpg</v>
      </c>
      <c r="AW250" s="81" t="s">
        <v>4719</v>
      </c>
      <c r="AX250" s="81" t="s">
        <v>4719</v>
      </c>
      <c r="AY250" s="77"/>
      <c r="AZ250" s="81" t="s">
        <v>5773</v>
      </c>
      <c r="BA250" s="81" t="s">
        <v>5773</v>
      </c>
      <c r="BB250" s="81" t="s">
        <v>5773</v>
      </c>
      <c r="BC250" s="81" t="s">
        <v>4719</v>
      </c>
      <c r="BD250" s="81" t="s">
        <v>5802</v>
      </c>
      <c r="BE250" s="77"/>
      <c r="BF250" s="77"/>
      <c r="BG250" s="77"/>
      <c r="BH250" s="77"/>
      <c r="BI250" s="77"/>
    </row>
    <row r="251" spans="1:61" ht="15">
      <c r="A251" s="62" t="s">
        <v>290</v>
      </c>
      <c r="B251" s="62" t="s">
        <v>290</v>
      </c>
      <c r="C251" s="63"/>
      <c r="D251" s="64"/>
      <c r="E251" s="65"/>
      <c r="F251" s="66"/>
      <c r="G251" s="63"/>
      <c r="H251" s="67"/>
      <c r="I251" s="68"/>
      <c r="J251" s="68"/>
      <c r="K251" s="32" t="s">
        <v>65</v>
      </c>
      <c r="L251" s="75">
        <v>251</v>
      </c>
      <c r="M251" s="75"/>
      <c r="N251" s="70"/>
      <c r="O251" s="77" t="s">
        <v>179</v>
      </c>
      <c r="P251" s="79">
        <v>44321.23096064815</v>
      </c>
      <c r="Q251" s="77" t="s">
        <v>785</v>
      </c>
      <c r="R251" s="77">
        <v>0</v>
      </c>
      <c r="S251" s="77">
        <v>0</v>
      </c>
      <c r="T251" s="77">
        <v>0</v>
      </c>
      <c r="U251" s="77">
        <v>0</v>
      </c>
      <c r="V251" s="77"/>
      <c r="W251" s="77"/>
      <c r="X251" s="77"/>
      <c r="Y251" s="77"/>
      <c r="Z251" s="77"/>
      <c r="AA251" s="77"/>
      <c r="AB251" s="77"/>
      <c r="AC251" s="81" t="s">
        <v>2701</v>
      </c>
      <c r="AD251" s="77" t="s">
        <v>2751</v>
      </c>
      <c r="AE251" s="80" t="str">
        <f>HYPERLINK("https://twitter.com/lostboyraskal/status/1389815267585310721")</f>
        <v>https://twitter.com/lostboyraskal/status/1389815267585310721</v>
      </c>
      <c r="AF251" s="79">
        <v>44321.23096064815</v>
      </c>
      <c r="AG251" s="85">
        <v>44321</v>
      </c>
      <c r="AH251" s="81" t="s">
        <v>2974</v>
      </c>
      <c r="AI251" s="77"/>
      <c r="AJ251" s="77"/>
      <c r="AK251" s="77"/>
      <c r="AL251" s="77"/>
      <c r="AM251" s="77"/>
      <c r="AN251" s="77"/>
      <c r="AO251" s="77"/>
      <c r="AP251" s="77"/>
      <c r="AQ251" s="77"/>
      <c r="AR251" s="77"/>
      <c r="AS251" s="77"/>
      <c r="AT251" s="77"/>
      <c r="AU251" s="77"/>
      <c r="AV251" s="80" t="str">
        <f>HYPERLINK("https://pbs.twimg.com/profile_images/1541121572014104576/GZKckkTs_normal.jpg")</f>
        <v>https://pbs.twimg.com/profile_images/1541121572014104576/GZKckkTs_normal.jpg</v>
      </c>
      <c r="AW251" s="81" t="s">
        <v>4720</v>
      </c>
      <c r="AX251" s="81" t="s">
        <v>4720</v>
      </c>
      <c r="AY251" s="77"/>
      <c r="AZ251" s="81" t="s">
        <v>5773</v>
      </c>
      <c r="BA251" s="81" t="s">
        <v>5773</v>
      </c>
      <c r="BB251" s="81" t="s">
        <v>5773</v>
      </c>
      <c r="BC251" s="81" t="s">
        <v>4720</v>
      </c>
      <c r="BD251" s="77">
        <v>315255615</v>
      </c>
      <c r="BE251" s="77"/>
      <c r="BF251" s="77"/>
      <c r="BG251" s="77"/>
      <c r="BH251" s="77"/>
      <c r="BI251" s="77"/>
    </row>
    <row r="252" spans="1:61" ht="15">
      <c r="A252" s="62" t="s">
        <v>291</v>
      </c>
      <c r="B252" s="62" t="s">
        <v>464</v>
      </c>
      <c r="C252" s="63"/>
      <c r="D252" s="64"/>
      <c r="E252" s="65"/>
      <c r="F252" s="66"/>
      <c r="G252" s="63"/>
      <c r="H252" s="67"/>
      <c r="I252" s="68"/>
      <c r="J252" s="68"/>
      <c r="K252" s="32" t="s">
        <v>65</v>
      </c>
      <c r="L252" s="75">
        <v>252</v>
      </c>
      <c r="M252" s="75"/>
      <c r="N252" s="70"/>
      <c r="O252" s="77" t="s">
        <v>573</v>
      </c>
      <c r="P252" s="79">
        <v>44833.38679398148</v>
      </c>
      <c r="Q252" s="77" t="s">
        <v>786</v>
      </c>
      <c r="R252" s="77">
        <v>0</v>
      </c>
      <c r="S252" s="77">
        <v>3</v>
      </c>
      <c r="T252" s="77">
        <v>3</v>
      </c>
      <c r="U252" s="77">
        <v>0</v>
      </c>
      <c r="V252" s="77"/>
      <c r="W252" s="77"/>
      <c r="X252" s="77"/>
      <c r="Y252" s="77"/>
      <c r="Z252" s="77" t="s">
        <v>2070</v>
      </c>
      <c r="AA252" s="77" t="s">
        <v>2193</v>
      </c>
      <c r="AB252" s="77" t="s">
        <v>2696</v>
      </c>
      <c r="AC252" s="81" t="s">
        <v>2704</v>
      </c>
      <c r="AD252" s="77" t="s">
        <v>2760</v>
      </c>
      <c r="AE252" s="80" t="str">
        <f>HYPERLINK("https://twitter.com/amadahamy/status/1575414326118203393")</f>
        <v>https://twitter.com/amadahamy/status/1575414326118203393</v>
      </c>
      <c r="AF252" s="79">
        <v>44833.38679398148</v>
      </c>
      <c r="AG252" s="85">
        <v>44833</v>
      </c>
      <c r="AH252" s="81" t="s">
        <v>2975</v>
      </c>
      <c r="AI252" s="77" t="b">
        <v>0</v>
      </c>
      <c r="AJ252" s="77"/>
      <c r="AK252" s="77"/>
      <c r="AL252" s="77"/>
      <c r="AM252" s="77"/>
      <c r="AN252" s="77"/>
      <c r="AO252" s="77"/>
      <c r="AP252" s="77"/>
      <c r="AQ252" s="77" t="s">
        <v>4011</v>
      </c>
      <c r="AR252" s="77"/>
      <c r="AS252" s="77"/>
      <c r="AT252" s="77"/>
      <c r="AU252" s="77"/>
      <c r="AV252" s="80" t="str">
        <f>HYPERLINK("https://pbs.twimg.com/media/Fdz--pcXgAATj4M.jpg")</f>
        <v>https://pbs.twimg.com/media/Fdz--pcXgAATj4M.jpg</v>
      </c>
      <c r="AW252" s="81" t="s">
        <v>4721</v>
      </c>
      <c r="AX252" s="81" t="s">
        <v>5684</v>
      </c>
      <c r="AY252" s="81" t="s">
        <v>5731</v>
      </c>
      <c r="AZ252" s="81" t="s">
        <v>5777</v>
      </c>
      <c r="BA252" s="81" t="s">
        <v>5773</v>
      </c>
      <c r="BB252" s="81" t="s">
        <v>5773</v>
      </c>
      <c r="BC252" s="81" t="s">
        <v>5777</v>
      </c>
      <c r="BD252" s="77">
        <v>192324060</v>
      </c>
      <c r="BE252" s="77"/>
      <c r="BF252" s="77"/>
      <c r="BG252" s="77"/>
      <c r="BH252" s="77"/>
      <c r="BI252" s="77"/>
    </row>
    <row r="253" spans="1:61" ht="15">
      <c r="A253" s="62" t="s">
        <v>291</v>
      </c>
      <c r="B253" s="62" t="s">
        <v>465</v>
      </c>
      <c r="C253" s="63"/>
      <c r="D253" s="64"/>
      <c r="E253" s="65"/>
      <c r="F253" s="66"/>
      <c r="G253" s="63"/>
      <c r="H253" s="67"/>
      <c r="I253" s="68"/>
      <c r="J253" s="68"/>
      <c r="K253" s="32" t="s">
        <v>65</v>
      </c>
      <c r="L253" s="75">
        <v>253</v>
      </c>
      <c r="M253" s="75"/>
      <c r="N253" s="70"/>
      <c r="O253" s="77" t="s">
        <v>572</v>
      </c>
      <c r="P253" s="79">
        <v>44833.38679398148</v>
      </c>
      <c r="Q253" s="77" t="s">
        <v>786</v>
      </c>
      <c r="R253" s="77">
        <v>0</v>
      </c>
      <c r="S253" s="77">
        <v>3</v>
      </c>
      <c r="T253" s="77">
        <v>3</v>
      </c>
      <c r="U253" s="77">
        <v>0</v>
      </c>
      <c r="V253" s="77"/>
      <c r="W253" s="77"/>
      <c r="X253" s="77"/>
      <c r="Y253" s="77"/>
      <c r="Z253" s="77" t="s">
        <v>2070</v>
      </c>
      <c r="AA253" s="77" t="s">
        <v>2193</v>
      </c>
      <c r="AB253" s="77" t="s">
        <v>2696</v>
      </c>
      <c r="AC253" s="81" t="s">
        <v>2704</v>
      </c>
      <c r="AD253" s="77" t="s">
        <v>2760</v>
      </c>
      <c r="AE253" s="80" t="str">
        <f>HYPERLINK("https://twitter.com/amadahamy/status/1575414326118203393")</f>
        <v>https://twitter.com/amadahamy/status/1575414326118203393</v>
      </c>
      <c r="AF253" s="79">
        <v>44833.38679398148</v>
      </c>
      <c r="AG253" s="85">
        <v>44833</v>
      </c>
      <c r="AH253" s="81" t="s">
        <v>2975</v>
      </c>
      <c r="AI253" s="77" t="b">
        <v>0</v>
      </c>
      <c r="AJ253" s="77"/>
      <c r="AK253" s="77"/>
      <c r="AL253" s="77"/>
      <c r="AM253" s="77"/>
      <c r="AN253" s="77"/>
      <c r="AO253" s="77"/>
      <c r="AP253" s="77"/>
      <c r="AQ253" s="77" t="s">
        <v>4011</v>
      </c>
      <c r="AR253" s="77"/>
      <c r="AS253" s="77"/>
      <c r="AT253" s="77"/>
      <c r="AU253" s="77"/>
      <c r="AV253" s="80" t="str">
        <f>HYPERLINK("https://pbs.twimg.com/media/Fdz--pcXgAATj4M.jpg")</f>
        <v>https://pbs.twimg.com/media/Fdz--pcXgAATj4M.jpg</v>
      </c>
      <c r="AW253" s="81" t="s">
        <v>4721</v>
      </c>
      <c r="AX253" s="81" t="s">
        <v>5684</v>
      </c>
      <c r="AY253" s="81" t="s">
        <v>5731</v>
      </c>
      <c r="AZ253" s="81" t="s">
        <v>5777</v>
      </c>
      <c r="BA253" s="81" t="s">
        <v>5773</v>
      </c>
      <c r="BB253" s="81" t="s">
        <v>5773</v>
      </c>
      <c r="BC253" s="81" t="s">
        <v>5777</v>
      </c>
      <c r="BD253" s="77">
        <v>192324060</v>
      </c>
      <c r="BE253" s="77"/>
      <c r="BF253" s="77"/>
      <c r="BG253" s="77"/>
      <c r="BH253" s="77"/>
      <c r="BI253" s="77"/>
    </row>
    <row r="254" spans="1:61" ht="15">
      <c r="A254" s="62" t="s">
        <v>292</v>
      </c>
      <c r="B254" s="62" t="s">
        <v>292</v>
      </c>
      <c r="C254" s="63"/>
      <c r="D254" s="64"/>
      <c r="E254" s="65"/>
      <c r="F254" s="66"/>
      <c r="G254" s="63"/>
      <c r="H254" s="67"/>
      <c r="I254" s="68"/>
      <c r="J254" s="68"/>
      <c r="K254" s="32" t="s">
        <v>65</v>
      </c>
      <c r="L254" s="75">
        <v>254</v>
      </c>
      <c r="M254" s="75"/>
      <c r="N254" s="70"/>
      <c r="O254" s="77" t="s">
        <v>179</v>
      </c>
      <c r="P254" s="79">
        <v>41231.05353009259</v>
      </c>
      <c r="Q254" s="77" t="s">
        <v>787</v>
      </c>
      <c r="R254" s="77">
        <v>0</v>
      </c>
      <c r="S254" s="77">
        <v>0</v>
      </c>
      <c r="T254" s="77">
        <v>0</v>
      </c>
      <c r="U254" s="77">
        <v>0</v>
      </c>
      <c r="V254" s="77"/>
      <c r="W254" s="77"/>
      <c r="X254" s="80" t="str">
        <f>HYPERLINK("http://bit.ly/XmLXWS")</f>
        <v>http://bit.ly/XmLXWS</v>
      </c>
      <c r="Y254" s="77" t="s">
        <v>1984</v>
      </c>
      <c r="Z254" s="77"/>
      <c r="AA254" s="77"/>
      <c r="AB254" s="77"/>
      <c r="AC254" s="81" t="s">
        <v>2722</v>
      </c>
      <c r="AD254" s="77" t="s">
        <v>2751</v>
      </c>
      <c r="AE254" s="80" t="str">
        <f>HYPERLINK("https://twitter.com/mpchekuri/status/269972460798083072")</f>
        <v>https://twitter.com/mpchekuri/status/269972460798083072</v>
      </c>
      <c r="AF254" s="79">
        <v>41231.05353009259</v>
      </c>
      <c r="AG254" s="85">
        <v>41231</v>
      </c>
      <c r="AH254" s="81" t="s">
        <v>2976</v>
      </c>
      <c r="AI254" s="77" t="b">
        <v>0</v>
      </c>
      <c r="AJ254" s="77"/>
      <c r="AK254" s="77"/>
      <c r="AL254" s="77"/>
      <c r="AM254" s="77"/>
      <c r="AN254" s="77"/>
      <c r="AO254" s="77"/>
      <c r="AP254" s="77"/>
      <c r="AQ254" s="77"/>
      <c r="AR254" s="77"/>
      <c r="AS254" s="77"/>
      <c r="AT254" s="77"/>
      <c r="AU254" s="77"/>
      <c r="AV254" s="80" t="str">
        <f>HYPERLINK("https://pbs.twimg.com/profile_images/3640349827/1c1131ab84b6f7edefe15a53468abf06_normal.jpeg")</f>
        <v>https://pbs.twimg.com/profile_images/3640349827/1c1131ab84b6f7edefe15a53468abf06_normal.jpeg</v>
      </c>
      <c r="AW254" s="81" t="s">
        <v>4722</v>
      </c>
      <c r="AX254" s="81" t="s">
        <v>4722</v>
      </c>
      <c r="AY254" s="77"/>
      <c r="AZ254" s="81" t="s">
        <v>5773</v>
      </c>
      <c r="BA254" s="81" t="s">
        <v>5773</v>
      </c>
      <c r="BB254" s="81" t="s">
        <v>5773</v>
      </c>
      <c r="BC254" s="81" t="s">
        <v>4722</v>
      </c>
      <c r="BD254" s="77">
        <v>21171105</v>
      </c>
      <c r="BE254" s="77"/>
      <c r="BF254" s="77"/>
      <c r="BG254" s="77"/>
      <c r="BH254" s="77"/>
      <c r="BI254" s="77"/>
    </row>
    <row r="255" spans="1:61" ht="15">
      <c r="A255" s="62" t="s">
        <v>293</v>
      </c>
      <c r="B255" s="62" t="s">
        <v>466</v>
      </c>
      <c r="C255" s="63"/>
      <c r="D255" s="64"/>
      <c r="E255" s="65"/>
      <c r="F255" s="66"/>
      <c r="G255" s="63"/>
      <c r="H255" s="67"/>
      <c r="I255" s="68"/>
      <c r="J255" s="68"/>
      <c r="K255" s="32" t="s">
        <v>65</v>
      </c>
      <c r="L255" s="75">
        <v>255</v>
      </c>
      <c r="M255" s="75"/>
      <c r="N255" s="70"/>
      <c r="O255" s="77" t="s">
        <v>571</v>
      </c>
      <c r="P255" s="79">
        <v>42953.91259259259</v>
      </c>
      <c r="Q255" s="77" t="s">
        <v>788</v>
      </c>
      <c r="R255" s="77">
        <v>0</v>
      </c>
      <c r="S255" s="77">
        <v>0</v>
      </c>
      <c r="T255" s="77">
        <v>0</v>
      </c>
      <c r="U255" s="77">
        <v>0</v>
      </c>
      <c r="V255" s="77"/>
      <c r="W255" s="77"/>
      <c r="X255" s="77"/>
      <c r="Y255" s="77"/>
      <c r="Z255" s="77" t="s">
        <v>2071</v>
      </c>
      <c r="AA255" s="77"/>
      <c r="AB255" s="77"/>
      <c r="AC255" s="81" t="s">
        <v>2714</v>
      </c>
      <c r="AD255" s="77" t="s">
        <v>2751</v>
      </c>
      <c r="AE255" s="80" t="str">
        <f>HYPERLINK("https://twitter.com/jetrubyagency/status/894315681877020672")</f>
        <v>https://twitter.com/jetrubyagency/status/894315681877020672</v>
      </c>
      <c r="AF255" s="79">
        <v>42953.91259259259</v>
      </c>
      <c r="AG255" s="85">
        <v>42953</v>
      </c>
      <c r="AH255" s="81" t="s">
        <v>2977</v>
      </c>
      <c r="AI255" s="77"/>
      <c r="AJ255" s="77"/>
      <c r="AK255" s="77"/>
      <c r="AL255" s="77"/>
      <c r="AM255" s="77"/>
      <c r="AN255" s="77"/>
      <c r="AO255" s="77"/>
      <c r="AP255" s="77"/>
      <c r="AQ255" s="77"/>
      <c r="AR255" s="77"/>
      <c r="AS255" s="77"/>
      <c r="AT255" s="77"/>
      <c r="AU255" s="77"/>
      <c r="AV255" s="80" t="str">
        <f>HYPERLINK("https://pbs.twimg.com/profile_images/930046786521137152/zfBILylG_normal.jpg")</f>
        <v>https://pbs.twimg.com/profile_images/930046786521137152/zfBILylG_normal.jpg</v>
      </c>
      <c r="AW255" s="81" t="s">
        <v>4723</v>
      </c>
      <c r="AX255" s="81" t="s">
        <v>4723</v>
      </c>
      <c r="AY255" s="81" t="s">
        <v>5732</v>
      </c>
      <c r="AZ255" s="81" t="s">
        <v>5773</v>
      </c>
      <c r="BA255" s="81" t="s">
        <v>5773</v>
      </c>
      <c r="BB255" s="81" t="s">
        <v>5773</v>
      </c>
      <c r="BC255" s="81" t="s">
        <v>4723</v>
      </c>
      <c r="BD255" s="77">
        <v>3092433987</v>
      </c>
      <c r="BE255" s="77"/>
      <c r="BF255" s="77"/>
      <c r="BG255" s="77"/>
      <c r="BH255" s="77"/>
      <c r="BI255" s="77"/>
    </row>
    <row r="256" spans="1:61" ht="15">
      <c r="A256" s="62" t="s">
        <v>293</v>
      </c>
      <c r="B256" s="62" t="s">
        <v>467</v>
      </c>
      <c r="C256" s="63"/>
      <c r="D256" s="64"/>
      <c r="E256" s="65"/>
      <c r="F256" s="66"/>
      <c r="G256" s="63"/>
      <c r="H256" s="67"/>
      <c r="I256" s="68"/>
      <c r="J256" s="68"/>
      <c r="K256" s="32" t="s">
        <v>65</v>
      </c>
      <c r="L256" s="75">
        <v>256</v>
      </c>
      <c r="M256" s="75"/>
      <c r="N256" s="70"/>
      <c r="O256" s="77" t="s">
        <v>571</v>
      </c>
      <c r="P256" s="79">
        <v>42953.91259259259</v>
      </c>
      <c r="Q256" s="77" t="s">
        <v>788</v>
      </c>
      <c r="R256" s="77">
        <v>0</v>
      </c>
      <c r="S256" s="77">
        <v>0</v>
      </c>
      <c r="T256" s="77">
        <v>0</v>
      </c>
      <c r="U256" s="77">
        <v>0</v>
      </c>
      <c r="V256" s="77"/>
      <c r="W256" s="77"/>
      <c r="X256" s="77"/>
      <c r="Y256" s="77"/>
      <c r="Z256" s="77" t="s">
        <v>2071</v>
      </c>
      <c r="AA256" s="77"/>
      <c r="AB256" s="77"/>
      <c r="AC256" s="81" t="s">
        <v>2714</v>
      </c>
      <c r="AD256" s="77" t="s">
        <v>2751</v>
      </c>
      <c r="AE256" s="80" t="str">
        <f>HYPERLINK("https://twitter.com/jetrubyagency/status/894315681877020672")</f>
        <v>https://twitter.com/jetrubyagency/status/894315681877020672</v>
      </c>
      <c r="AF256" s="79">
        <v>42953.91259259259</v>
      </c>
      <c r="AG256" s="85">
        <v>42953</v>
      </c>
      <c r="AH256" s="81" t="s">
        <v>2977</v>
      </c>
      <c r="AI256" s="77"/>
      <c r="AJ256" s="77"/>
      <c r="AK256" s="77"/>
      <c r="AL256" s="77"/>
      <c r="AM256" s="77"/>
      <c r="AN256" s="77"/>
      <c r="AO256" s="77"/>
      <c r="AP256" s="77"/>
      <c r="AQ256" s="77"/>
      <c r="AR256" s="77"/>
      <c r="AS256" s="77"/>
      <c r="AT256" s="77"/>
      <c r="AU256" s="77"/>
      <c r="AV256" s="80" t="str">
        <f>HYPERLINK("https://pbs.twimg.com/profile_images/930046786521137152/zfBILylG_normal.jpg")</f>
        <v>https://pbs.twimg.com/profile_images/930046786521137152/zfBILylG_normal.jpg</v>
      </c>
      <c r="AW256" s="81" t="s">
        <v>4723</v>
      </c>
      <c r="AX256" s="81" t="s">
        <v>4723</v>
      </c>
      <c r="AY256" s="81" t="s">
        <v>5732</v>
      </c>
      <c r="AZ256" s="81" t="s">
        <v>5773</v>
      </c>
      <c r="BA256" s="81" t="s">
        <v>5773</v>
      </c>
      <c r="BB256" s="81" t="s">
        <v>5773</v>
      </c>
      <c r="BC256" s="81" t="s">
        <v>4723</v>
      </c>
      <c r="BD256" s="77">
        <v>3092433987</v>
      </c>
      <c r="BE256" s="77"/>
      <c r="BF256" s="77"/>
      <c r="BG256" s="77"/>
      <c r="BH256" s="77"/>
      <c r="BI256" s="77"/>
    </row>
    <row r="257" spans="1:61" ht="15">
      <c r="A257" s="62" t="s">
        <v>293</v>
      </c>
      <c r="B257" s="62" t="s">
        <v>299</v>
      </c>
      <c r="C257" s="63"/>
      <c r="D257" s="64"/>
      <c r="E257" s="65"/>
      <c r="F257" s="66"/>
      <c r="G257" s="63"/>
      <c r="H257" s="67"/>
      <c r="I257" s="68"/>
      <c r="J257" s="68"/>
      <c r="K257" s="32" t="s">
        <v>65</v>
      </c>
      <c r="L257" s="75">
        <v>257</v>
      </c>
      <c r="M257" s="75"/>
      <c r="N257" s="70"/>
      <c r="O257" s="77" t="s">
        <v>571</v>
      </c>
      <c r="P257" s="79">
        <v>42953.91259259259</v>
      </c>
      <c r="Q257" s="77" t="s">
        <v>788</v>
      </c>
      <c r="R257" s="77">
        <v>0</v>
      </c>
      <c r="S257" s="77">
        <v>0</v>
      </c>
      <c r="T257" s="77">
        <v>0</v>
      </c>
      <c r="U257" s="77">
        <v>0</v>
      </c>
      <c r="V257" s="77"/>
      <c r="W257" s="77"/>
      <c r="X257" s="77"/>
      <c r="Y257" s="77"/>
      <c r="Z257" s="77" t="s">
        <v>2071</v>
      </c>
      <c r="AA257" s="77"/>
      <c r="AB257" s="77"/>
      <c r="AC257" s="81" t="s">
        <v>2714</v>
      </c>
      <c r="AD257" s="77" t="s">
        <v>2751</v>
      </c>
      <c r="AE257" s="80" t="str">
        <f>HYPERLINK("https://twitter.com/jetrubyagency/status/894315681877020672")</f>
        <v>https://twitter.com/jetrubyagency/status/894315681877020672</v>
      </c>
      <c r="AF257" s="79">
        <v>42953.91259259259</v>
      </c>
      <c r="AG257" s="85">
        <v>42953</v>
      </c>
      <c r="AH257" s="81" t="s">
        <v>2977</v>
      </c>
      <c r="AI257" s="77"/>
      <c r="AJ257" s="77"/>
      <c r="AK257" s="77"/>
      <c r="AL257" s="77"/>
      <c r="AM257" s="77"/>
      <c r="AN257" s="77"/>
      <c r="AO257" s="77"/>
      <c r="AP257" s="77"/>
      <c r="AQ257" s="77"/>
      <c r="AR257" s="77"/>
      <c r="AS257" s="77"/>
      <c r="AT257" s="77"/>
      <c r="AU257" s="77"/>
      <c r="AV257" s="80" t="str">
        <f>HYPERLINK("https://pbs.twimg.com/profile_images/930046786521137152/zfBILylG_normal.jpg")</f>
        <v>https://pbs.twimg.com/profile_images/930046786521137152/zfBILylG_normal.jpg</v>
      </c>
      <c r="AW257" s="81" t="s">
        <v>4723</v>
      </c>
      <c r="AX257" s="81" t="s">
        <v>4723</v>
      </c>
      <c r="AY257" s="81" t="s">
        <v>5732</v>
      </c>
      <c r="AZ257" s="81" t="s">
        <v>5773</v>
      </c>
      <c r="BA257" s="81" t="s">
        <v>5773</v>
      </c>
      <c r="BB257" s="81" t="s">
        <v>5773</v>
      </c>
      <c r="BC257" s="81" t="s">
        <v>4723</v>
      </c>
      <c r="BD257" s="77">
        <v>3092433987</v>
      </c>
      <c r="BE257" s="77"/>
      <c r="BF257" s="77"/>
      <c r="BG257" s="77"/>
      <c r="BH257" s="77"/>
      <c r="BI257" s="77"/>
    </row>
    <row r="258" spans="1:61" ht="15">
      <c r="A258" s="62" t="s">
        <v>294</v>
      </c>
      <c r="B258" s="62" t="s">
        <v>294</v>
      </c>
      <c r="C258" s="63"/>
      <c r="D258" s="64"/>
      <c r="E258" s="65"/>
      <c r="F258" s="66"/>
      <c r="G258" s="63"/>
      <c r="H258" s="67"/>
      <c r="I258" s="68"/>
      <c r="J258" s="68"/>
      <c r="K258" s="32" t="s">
        <v>65</v>
      </c>
      <c r="L258" s="75">
        <v>258</v>
      </c>
      <c r="M258" s="75"/>
      <c r="N258" s="70"/>
      <c r="O258" s="77" t="s">
        <v>179</v>
      </c>
      <c r="P258" s="79">
        <v>40686.50277777778</v>
      </c>
      <c r="Q258" s="77" t="s">
        <v>789</v>
      </c>
      <c r="R258" s="77">
        <v>0</v>
      </c>
      <c r="S258" s="77">
        <v>0</v>
      </c>
      <c r="T258" s="77">
        <v>0</v>
      </c>
      <c r="U258" s="77">
        <v>0</v>
      </c>
      <c r="V258" s="77"/>
      <c r="W258" s="77"/>
      <c r="X258" s="77"/>
      <c r="Y258" s="77"/>
      <c r="Z258" s="77"/>
      <c r="AA258" s="77"/>
      <c r="AB258" s="77"/>
      <c r="AC258" s="81" t="s">
        <v>2702</v>
      </c>
      <c r="AD258" s="77" t="s">
        <v>2751</v>
      </c>
      <c r="AE258" s="80" t="str">
        <f>HYPERLINK("https://twitter.com/sravanthiboyapa/status/72633875460923392")</f>
        <v>https://twitter.com/sravanthiboyapa/status/72633875460923392</v>
      </c>
      <c r="AF258" s="79">
        <v>40686.50277777778</v>
      </c>
      <c r="AG258" s="85">
        <v>40686</v>
      </c>
      <c r="AH258" s="81" t="s">
        <v>2978</v>
      </c>
      <c r="AI258" s="77"/>
      <c r="AJ258" s="77"/>
      <c r="AK258" s="77"/>
      <c r="AL258" s="77"/>
      <c r="AM258" s="77"/>
      <c r="AN258" s="77"/>
      <c r="AO258" s="77"/>
      <c r="AP258" s="77"/>
      <c r="AQ258" s="77"/>
      <c r="AR258" s="77"/>
      <c r="AS258" s="77"/>
      <c r="AT258" s="77"/>
      <c r="AU258" s="77"/>
      <c r="AV258" s="80" t="str">
        <f>HYPERLINK("https://pbs.twimg.com/profile_images/1333885239/Sachin-Tendulkar1_normal.jpg")</f>
        <v>https://pbs.twimg.com/profile_images/1333885239/Sachin-Tendulkar1_normal.jpg</v>
      </c>
      <c r="AW258" s="81" t="s">
        <v>4724</v>
      </c>
      <c r="AX258" s="81" t="s">
        <v>4724</v>
      </c>
      <c r="AY258" s="77"/>
      <c r="AZ258" s="81" t="s">
        <v>5773</v>
      </c>
      <c r="BA258" s="81" t="s">
        <v>5773</v>
      </c>
      <c r="BB258" s="81" t="s">
        <v>5773</v>
      </c>
      <c r="BC258" s="81" t="s">
        <v>4724</v>
      </c>
      <c r="BD258" s="77">
        <v>180363125</v>
      </c>
      <c r="BE258" s="77"/>
      <c r="BF258" s="77"/>
      <c r="BG258" s="77"/>
      <c r="BH258" s="77"/>
      <c r="BI258" s="77"/>
    </row>
    <row r="259" spans="1:61" ht="15">
      <c r="A259" s="62" t="s">
        <v>294</v>
      </c>
      <c r="B259" s="62" t="s">
        <v>294</v>
      </c>
      <c r="C259" s="63"/>
      <c r="D259" s="64"/>
      <c r="E259" s="65"/>
      <c r="F259" s="66"/>
      <c r="G259" s="63"/>
      <c r="H259" s="67"/>
      <c r="I259" s="68"/>
      <c r="J259" s="68"/>
      <c r="K259" s="32" t="s">
        <v>65</v>
      </c>
      <c r="L259" s="75">
        <v>259</v>
      </c>
      <c r="M259" s="75"/>
      <c r="N259" s="70"/>
      <c r="O259" s="77" t="s">
        <v>179</v>
      </c>
      <c r="P259" s="79">
        <v>40686.42863425926</v>
      </c>
      <c r="Q259" s="77" t="s">
        <v>790</v>
      </c>
      <c r="R259" s="77">
        <v>0</v>
      </c>
      <c r="S259" s="77">
        <v>0</v>
      </c>
      <c r="T259" s="77">
        <v>0</v>
      </c>
      <c r="U259" s="77">
        <v>0</v>
      </c>
      <c r="V259" s="77"/>
      <c r="W259" s="77"/>
      <c r="X259" s="77"/>
      <c r="Y259" s="77"/>
      <c r="Z259" s="77"/>
      <c r="AA259" s="77"/>
      <c r="AB259" s="77"/>
      <c r="AC259" s="81" t="s">
        <v>2725</v>
      </c>
      <c r="AD259" s="77" t="s">
        <v>2751</v>
      </c>
      <c r="AE259" s="80" t="str">
        <f>HYPERLINK("https://twitter.com/sravanthiboyapa/status/72607010482429952")</f>
        <v>https://twitter.com/sravanthiboyapa/status/72607010482429952</v>
      </c>
      <c r="AF259" s="79">
        <v>40686.42863425926</v>
      </c>
      <c r="AG259" s="85">
        <v>40686</v>
      </c>
      <c r="AH259" s="81" t="s">
        <v>2979</v>
      </c>
      <c r="AI259" s="77"/>
      <c r="AJ259" s="77"/>
      <c r="AK259" s="77"/>
      <c r="AL259" s="77"/>
      <c r="AM259" s="77"/>
      <c r="AN259" s="77"/>
      <c r="AO259" s="77"/>
      <c r="AP259" s="77"/>
      <c r="AQ259" s="77"/>
      <c r="AR259" s="77"/>
      <c r="AS259" s="77"/>
      <c r="AT259" s="77"/>
      <c r="AU259" s="77"/>
      <c r="AV259" s="80" t="str">
        <f>HYPERLINK("https://pbs.twimg.com/profile_images/1333885239/Sachin-Tendulkar1_normal.jpg")</f>
        <v>https://pbs.twimg.com/profile_images/1333885239/Sachin-Tendulkar1_normal.jpg</v>
      </c>
      <c r="AW259" s="81" t="s">
        <v>4725</v>
      </c>
      <c r="AX259" s="81" t="s">
        <v>4725</v>
      </c>
      <c r="AY259" s="77"/>
      <c r="AZ259" s="81" t="s">
        <v>5773</v>
      </c>
      <c r="BA259" s="81" t="s">
        <v>5773</v>
      </c>
      <c r="BB259" s="81" t="s">
        <v>5773</v>
      </c>
      <c r="BC259" s="81" t="s">
        <v>4725</v>
      </c>
      <c r="BD259" s="77">
        <v>180363125</v>
      </c>
      <c r="BE259" s="77"/>
      <c r="BF259" s="77"/>
      <c r="BG259" s="77"/>
      <c r="BH259" s="77"/>
      <c r="BI259" s="77"/>
    </row>
    <row r="260" spans="1:61" ht="15">
      <c r="A260" s="62" t="s">
        <v>295</v>
      </c>
      <c r="B260" s="62" t="s">
        <v>295</v>
      </c>
      <c r="C260" s="63"/>
      <c r="D260" s="64"/>
      <c r="E260" s="65"/>
      <c r="F260" s="66"/>
      <c r="G260" s="63"/>
      <c r="H260" s="67"/>
      <c r="I260" s="68"/>
      <c r="J260" s="68"/>
      <c r="K260" s="32" t="s">
        <v>65</v>
      </c>
      <c r="L260" s="75">
        <v>260</v>
      </c>
      <c r="M260" s="75"/>
      <c r="N260" s="70"/>
      <c r="O260" s="77" t="s">
        <v>179</v>
      </c>
      <c r="P260" s="79">
        <v>41929.45539351852</v>
      </c>
      <c r="Q260" s="77" t="s">
        <v>791</v>
      </c>
      <c r="R260" s="77">
        <v>0</v>
      </c>
      <c r="S260" s="77">
        <v>1</v>
      </c>
      <c r="T260" s="77">
        <v>0</v>
      </c>
      <c r="U260" s="77">
        <v>0</v>
      </c>
      <c r="V260" s="77"/>
      <c r="W260" s="77"/>
      <c r="X260" s="77"/>
      <c r="Y260" s="77"/>
      <c r="Z260" s="77"/>
      <c r="AA260" s="77"/>
      <c r="AB260" s="77"/>
      <c r="AC260" s="81" t="s">
        <v>2701</v>
      </c>
      <c r="AD260" s="77" t="s">
        <v>2751</v>
      </c>
      <c r="AE260" s="80" t="str">
        <f>HYPERLINK("https://twitter.com/naziyamalik22/status/523064824356696064")</f>
        <v>https://twitter.com/naziyamalik22/status/523064824356696064</v>
      </c>
      <c r="AF260" s="79">
        <v>41929.45539351852</v>
      </c>
      <c r="AG260" s="85">
        <v>41929</v>
      </c>
      <c r="AH260" s="81" t="s">
        <v>2980</v>
      </c>
      <c r="AI260" s="77"/>
      <c r="AJ260" s="77"/>
      <c r="AK260" s="77"/>
      <c r="AL260" s="77"/>
      <c r="AM260" s="77"/>
      <c r="AN260" s="77"/>
      <c r="AO260" s="77"/>
      <c r="AP260" s="77"/>
      <c r="AQ260" s="77"/>
      <c r="AR260" s="77"/>
      <c r="AS260" s="77"/>
      <c r="AT260" s="77"/>
      <c r="AU260" s="77"/>
      <c r="AV260" s="80" t="str">
        <f>HYPERLINK("https://pbs.twimg.com/profile_images/473472383635193856/x4dTQSYL_normal.jpeg")</f>
        <v>https://pbs.twimg.com/profile_images/473472383635193856/x4dTQSYL_normal.jpeg</v>
      </c>
      <c r="AW260" s="81" t="s">
        <v>4726</v>
      </c>
      <c r="AX260" s="81" t="s">
        <v>4726</v>
      </c>
      <c r="AY260" s="77"/>
      <c r="AZ260" s="81" t="s">
        <v>5773</v>
      </c>
      <c r="BA260" s="81" t="s">
        <v>5773</v>
      </c>
      <c r="BB260" s="81" t="s">
        <v>5773</v>
      </c>
      <c r="BC260" s="81" t="s">
        <v>4726</v>
      </c>
      <c r="BD260" s="77">
        <v>2569050765</v>
      </c>
      <c r="BE260" s="77"/>
      <c r="BF260" s="77"/>
      <c r="BG260" s="77"/>
      <c r="BH260" s="77"/>
      <c r="BI260" s="77"/>
    </row>
    <row r="261" spans="1:61" ht="15">
      <c r="A261" s="62" t="s">
        <v>296</v>
      </c>
      <c r="B261" s="62" t="s">
        <v>296</v>
      </c>
      <c r="C261" s="63"/>
      <c r="D261" s="64"/>
      <c r="E261" s="65"/>
      <c r="F261" s="66"/>
      <c r="G261" s="63"/>
      <c r="H261" s="67"/>
      <c r="I261" s="68"/>
      <c r="J261" s="68"/>
      <c r="K261" s="32" t="s">
        <v>65</v>
      </c>
      <c r="L261" s="75">
        <v>261</v>
      </c>
      <c r="M261" s="75"/>
      <c r="N261" s="70"/>
      <c r="O261" s="77" t="s">
        <v>179</v>
      </c>
      <c r="P261" s="79">
        <v>43036.93269675926</v>
      </c>
      <c r="Q261" s="77" t="s">
        <v>792</v>
      </c>
      <c r="R261" s="77">
        <v>0</v>
      </c>
      <c r="S261" s="77">
        <v>0</v>
      </c>
      <c r="T261" s="77">
        <v>0</v>
      </c>
      <c r="U261" s="77">
        <v>0</v>
      </c>
      <c r="V261" s="77"/>
      <c r="W261" s="81" t="s">
        <v>1768</v>
      </c>
      <c r="X261" s="80" t="str">
        <f>HYPERLINK("http://dlvr.it/Py5JSn")</f>
        <v>http://dlvr.it/Py5JSn</v>
      </c>
      <c r="Y261" s="77" t="s">
        <v>1974</v>
      </c>
      <c r="Z261" s="77"/>
      <c r="AA261" s="77" t="s">
        <v>2194</v>
      </c>
      <c r="AB261" s="77" t="s">
        <v>2696</v>
      </c>
      <c r="AC261" s="81" t="s">
        <v>1974</v>
      </c>
      <c r="AD261" s="77" t="s">
        <v>2751</v>
      </c>
      <c r="AE261" s="80" t="str">
        <f>HYPERLINK("https://twitter.com/iris_crm/status/924401157748830208")</f>
        <v>https://twitter.com/iris_crm/status/924401157748830208</v>
      </c>
      <c r="AF261" s="79">
        <v>43036.93269675926</v>
      </c>
      <c r="AG261" s="85">
        <v>43036</v>
      </c>
      <c r="AH261" s="81" t="s">
        <v>2981</v>
      </c>
      <c r="AI261" s="77" t="b">
        <v>0</v>
      </c>
      <c r="AJ261" s="77"/>
      <c r="AK261" s="77"/>
      <c r="AL261" s="77"/>
      <c r="AM261" s="77"/>
      <c r="AN261" s="77"/>
      <c r="AO261" s="77"/>
      <c r="AP261" s="77"/>
      <c r="AQ261" s="77" t="s">
        <v>4012</v>
      </c>
      <c r="AR261" s="77"/>
      <c r="AS261" s="77"/>
      <c r="AT261" s="77"/>
      <c r="AU261" s="77"/>
      <c r="AV261" s="80" t="str">
        <f>HYPERLINK("https://pbs.twimg.com/media/DNQh8_NV4AElc_Q.jpg")</f>
        <v>https://pbs.twimg.com/media/DNQh8_NV4AElc_Q.jpg</v>
      </c>
      <c r="AW261" s="81" t="s">
        <v>4727</v>
      </c>
      <c r="AX261" s="81" t="s">
        <v>4727</v>
      </c>
      <c r="AY261" s="77"/>
      <c r="AZ261" s="81" t="s">
        <v>5773</v>
      </c>
      <c r="BA261" s="81" t="s">
        <v>5773</v>
      </c>
      <c r="BB261" s="81" t="s">
        <v>5773</v>
      </c>
      <c r="BC261" s="81" t="s">
        <v>4727</v>
      </c>
      <c r="BD261" s="77">
        <v>2411431393</v>
      </c>
      <c r="BE261" s="77"/>
      <c r="BF261" s="77"/>
      <c r="BG261" s="77"/>
      <c r="BH261" s="77"/>
      <c r="BI261" s="77"/>
    </row>
    <row r="262" spans="1:61" ht="15">
      <c r="A262" s="62" t="s">
        <v>297</v>
      </c>
      <c r="B262" s="62" t="s">
        <v>297</v>
      </c>
      <c r="C262" s="63"/>
      <c r="D262" s="64"/>
      <c r="E262" s="65"/>
      <c r="F262" s="66"/>
      <c r="G262" s="63"/>
      <c r="H262" s="67"/>
      <c r="I262" s="68"/>
      <c r="J262" s="68"/>
      <c r="K262" s="32" t="s">
        <v>65</v>
      </c>
      <c r="L262" s="75">
        <v>262</v>
      </c>
      <c r="M262" s="75"/>
      <c r="N262" s="70"/>
      <c r="O262" s="77" t="s">
        <v>572</v>
      </c>
      <c r="P262" s="79">
        <v>43776.194189814814</v>
      </c>
      <c r="Q262" s="77" t="s">
        <v>793</v>
      </c>
      <c r="R262" s="77">
        <v>0</v>
      </c>
      <c r="S262" s="77">
        <v>4</v>
      </c>
      <c r="T262" s="77">
        <v>0</v>
      </c>
      <c r="U262" s="77">
        <v>0</v>
      </c>
      <c r="V262" s="77"/>
      <c r="W262" s="77"/>
      <c r="X262" s="77"/>
      <c r="Y262" s="77"/>
      <c r="Z262" s="77"/>
      <c r="AA262" s="77"/>
      <c r="AB262" s="77"/>
      <c r="AC262" s="81" t="s">
        <v>2701</v>
      </c>
      <c r="AD262" s="77" t="s">
        <v>2751</v>
      </c>
      <c r="AE262" s="80" t="str">
        <f>HYPERLINK("https://twitter.com/dreamsofskies/status/1192300552735997952")</f>
        <v>https://twitter.com/dreamsofskies/status/1192300552735997952</v>
      </c>
      <c r="AF262" s="79">
        <v>43776.194189814814</v>
      </c>
      <c r="AG262" s="85">
        <v>43776</v>
      </c>
      <c r="AH262" s="81" t="s">
        <v>2982</v>
      </c>
      <c r="AI262" s="77"/>
      <c r="AJ262" s="77"/>
      <c r="AK262" s="77"/>
      <c r="AL262" s="77"/>
      <c r="AM262" s="77"/>
      <c r="AN262" s="77"/>
      <c r="AO262" s="77"/>
      <c r="AP262" s="77"/>
      <c r="AQ262" s="77"/>
      <c r="AR262" s="77"/>
      <c r="AS262" s="77"/>
      <c r="AT262" s="77"/>
      <c r="AU262" s="77"/>
      <c r="AV262" s="80" t="str">
        <f>HYPERLINK("https://pbs.twimg.com/profile_images/1253174458535182336/-WUSoSB6_normal.jpg")</f>
        <v>https://pbs.twimg.com/profile_images/1253174458535182336/-WUSoSB6_normal.jpg</v>
      </c>
      <c r="AW262" s="81" t="s">
        <v>4728</v>
      </c>
      <c r="AX262" s="81" t="s">
        <v>5685</v>
      </c>
      <c r="AY262" s="81" t="s">
        <v>5733</v>
      </c>
      <c r="AZ262" s="81" t="s">
        <v>5778</v>
      </c>
      <c r="BA262" s="81" t="s">
        <v>5773</v>
      </c>
      <c r="BB262" s="81" t="s">
        <v>5773</v>
      </c>
      <c r="BC262" s="81" t="s">
        <v>5778</v>
      </c>
      <c r="BD262" s="77">
        <v>620594826</v>
      </c>
      <c r="BE262" s="77"/>
      <c r="BF262" s="77"/>
      <c r="BG262" s="77"/>
      <c r="BH262" s="77"/>
      <c r="BI262" s="77"/>
    </row>
    <row r="263" spans="1:61" ht="15">
      <c r="A263" s="62" t="s">
        <v>298</v>
      </c>
      <c r="B263" s="62" t="s">
        <v>298</v>
      </c>
      <c r="C263" s="63"/>
      <c r="D263" s="64"/>
      <c r="E263" s="65"/>
      <c r="F263" s="66"/>
      <c r="G263" s="63"/>
      <c r="H263" s="67"/>
      <c r="I263" s="68"/>
      <c r="J263" s="68"/>
      <c r="K263" s="32" t="s">
        <v>65</v>
      </c>
      <c r="L263" s="75">
        <v>263</v>
      </c>
      <c r="M263" s="75"/>
      <c r="N263" s="70"/>
      <c r="O263" s="77" t="s">
        <v>179</v>
      </c>
      <c r="P263" s="79">
        <v>40686.34903935185</v>
      </c>
      <c r="Q263" s="77" t="s">
        <v>794</v>
      </c>
      <c r="R263" s="77">
        <v>0</v>
      </c>
      <c r="S263" s="77">
        <v>0</v>
      </c>
      <c r="T263" s="77">
        <v>0</v>
      </c>
      <c r="U263" s="77">
        <v>0</v>
      </c>
      <c r="V263" s="77"/>
      <c r="W263" s="81" t="s">
        <v>1769</v>
      </c>
      <c r="X263" s="77"/>
      <c r="Y263" s="77"/>
      <c r="Z263" s="77"/>
      <c r="AA263" s="77"/>
      <c r="AB263" s="77"/>
      <c r="AC263" s="81" t="s">
        <v>2726</v>
      </c>
      <c r="AD263" s="77" t="s">
        <v>2751</v>
      </c>
      <c r="AE263" s="80" t="str">
        <f>HYPERLINK("https://twitter.com/writingjobs_in/status/72578165809221632")</f>
        <v>https://twitter.com/writingjobs_in/status/72578165809221632</v>
      </c>
      <c r="AF263" s="79">
        <v>40686.34903935185</v>
      </c>
      <c r="AG263" s="85">
        <v>40686</v>
      </c>
      <c r="AH263" s="81" t="s">
        <v>2983</v>
      </c>
      <c r="AI263" s="77"/>
      <c r="AJ263" s="77"/>
      <c r="AK263" s="77"/>
      <c r="AL263" s="77"/>
      <c r="AM263" s="77"/>
      <c r="AN263" s="77"/>
      <c r="AO263" s="77"/>
      <c r="AP263" s="77"/>
      <c r="AQ263" s="77"/>
      <c r="AR263" s="77"/>
      <c r="AS263" s="77"/>
      <c r="AT263" s="77"/>
      <c r="AU263" s="77"/>
      <c r="AV263" s="80" t="str">
        <f>HYPERLINK("https://pbs.twimg.com/profile_images/1898119365/WritingJobsLogo_normal.jpg")</f>
        <v>https://pbs.twimg.com/profile_images/1898119365/WritingJobsLogo_normal.jpg</v>
      </c>
      <c r="AW263" s="81" t="s">
        <v>4729</v>
      </c>
      <c r="AX263" s="81" t="s">
        <v>4729</v>
      </c>
      <c r="AY263" s="77"/>
      <c r="AZ263" s="81" t="s">
        <v>5773</v>
      </c>
      <c r="BA263" s="81" t="s">
        <v>5773</v>
      </c>
      <c r="BB263" s="81" t="s">
        <v>5773</v>
      </c>
      <c r="BC263" s="81" t="s">
        <v>4729</v>
      </c>
      <c r="BD263" s="77">
        <v>248192203</v>
      </c>
      <c r="BE263" s="77"/>
      <c r="BF263" s="77"/>
      <c r="BG263" s="77"/>
      <c r="BH263" s="77"/>
      <c r="BI263" s="77"/>
    </row>
    <row r="264" spans="1:61" ht="15">
      <c r="A264" s="62" t="s">
        <v>298</v>
      </c>
      <c r="B264" s="62" t="s">
        <v>298</v>
      </c>
      <c r="C264" s="63"/>
      <c r="D264" s="64"/>
      <c r="E264" s="65"/>
      <c r="F264" s="66"/>
      <c r="G264" s="63"/>
      <c r="H264" s="67"/>
      <c r="I264" s="68"/>
      <c r="J264" s="68"/>
      <c r="K264" s="32" t="s">
        <v>65</v>
      </c>
      <c r="L264" s="75">
        <v>264</v>
      </c>
      <c r="M264" s="75"/>
      <c r="N264" s="70"/>
      <c r="O264" s="77" t="s">
        <v>179</v>
      </c>
      <c r="P264" s="79">
        <v>40950.22105324074</v>
      </c>
      <c r="Q264" s="77" t="s">
        <v>795</v>
      </c>
      <c r="R264" s="77">
        <v>0</v>
      </c>
      <c r="S264" s="77">
        <v>0</v>
      </c>
      <c r="T264" s="77">
        <v>0</v>
      </c>
      <c r="U264" s="77">
        <v>0</v>
      </c>
      <c r="V264" s="77"/>
      <c r="W264" s="81" t="s">
        <v>1769</v>
      </c>
      <c r="X264" s="80" t="str">
        <f>HYPERLINK("http://bit.ly/AopjtK")</f>
        <v>http://bit.ly/AopjtK</v>
      </c>
      <c r="Y264" s="77" t="s">
        <v>1984</v>
      </c>
      <c r="Z264" s="77"/>
      <c r="AA264" s="77"/>
      <c r="AB264" s="77"/>
      <c r="AC264" s="81" t="s">
        <v>2726</v>
      </c>
      <c r="AD264" s="77" t="s">
        <v>2751</v>
      </c>
      <c r="AE264" s="80" t="str">
        <f>HYPERLINK("https://twitter.com/writingjobs_in/status/168202180942237697")</f>
        <v>https://twitter.com/writingjobs_in/status/168202180942237697</v>
      </c>
      <c r="AF264" s="79">
        <v>40950.22105324074</v>
      </c>
      <c r="AG264" s="85">
        <v>40950</v>
      </c>
      <c r="AH264" s="81" t="s">
        <v>2984</v>
      </c>
      <c r="AI264" s="77" t="b">
        <v>0</v>
      </c>
      <c r="AJ264" s="77"/>
      <c r="AK264" s="77"/>
      <c r="AL264" s="77"/>
      <c r="AM264" s="77"/>
      <c r="AN264" s="77"/>
      <c r="AO264" s="77"/>
      <c r="AP264" s="77"/>
      <c r="AQ264" s="77"/>
      <c r="AR264" s="77"/>
      <c r="AS264" s="77"/>
      <c r="AT264" s="77"/>
      <c r="AU264" s="77"/>
      <c r="AV264" s="80" t="str">
        <f>HYPERLINK("https://pbs.twimg.com/profile_images/1898119365/WritingJobsLogo_normal.jpg")</f>
        <v>https://pbs.twimg.com/profile_images/1898119365/WritingJobsLogo_normal.jpg</v>
      </c>
      <c r="AW264" s="81" t="s">
        <v>4730</v>
      </c>
      <c r="AX264" s="81" t="s">
        <v>4730</v>
      </c>
      <c r="AY264" s="77"/>
      <c r="AZ264" s="81" t="s">
        <v>5773</v>
      </c>
      <c r="BA264" s="81" t="s">
        <v>5773</v>
      </c>
      <c r="BB264" s="81" t="s">
        <v>5773</v>
      </c>
      <c r="BC264" s="81" t="s">
        <v>4730</v>
      </c>
      <c r="BD264" s="77">
        <v>248192203</v>
      </c>
      <c r="BE264" s="77"/>
      <c r="BF264" s="77"/>
      <c r="BG264" s="77"/>
      <c r="BH264" s="77"/>
      <c r="BI264" s="77"/>
    </row>
    <row r="265" spans="1:61" ht="15">
      <c r="A265" s="62" t="s">
        <v>299</v>
      </c>
      <c r="B265" s="62" t="s">
        <v>468</v>
      </c>
      <c r="C265" s="63"/>
      <c r="D265" s="64"/>
      <c r="E265" s="65"/>
      <c r="F265" s="66"/>
      <c r="G265" s="63"/>
      <c r="H265" s="67"/>
      <c r="I265" s="68"/>
      <c r="J265" s="68"/>
      <c r="K265" s="32" t="s">
        <v>65</v>
      </c>
      <c r="L265" s="75">
        <v>265</v>
      </c>
      <c r="M265" s="75"/>
      <c r="N265" s="70"/>
      <c r="O265" s="77" t="s">
        <v>571</v>
      </c>
      <c r="P265" s="79">
        <v>41092.44472222222</v>
      </c>
      <c r="Q265" s="77" t="s">
        <v>796</v>
      </c>
      <c r="R265" s="77">
        <v>0</v>
      </c>
      <c r="S265" s="77">
        <v>0</v>
      </c>
      <c r="T265" s="77">
        <v>0</v>
      </c>
      <c r="U265" s="77">
        <v>0</v>
      </c>
      <c r="V265" s="77"/>
      <c r="W265" s="77"/>
      <c r="X265" s="80" t="str">
        <f>HYPERLINK("http://pinterest.com/pin/274156696036825674/")</f>
        <v>http://pinterest.com/pin/274156696036825674/</v>
      </c>
      <c r="Y265" s="77" t="s">
        <v>2002</v>
      </c>
      <c r="Z265" s="77" t="s">
        <v>468</v>
      </c>
      <c r="AA265" s="77"/>
      <c r="AB265" s="77"/>
      <c r="AC265" s="81" t="s">
        <v>2712</v>
      </c>
      <c r="AD265" s="77" t="s">
        <v>2751</v>
      </c>
      <c r="AE265" s="80" t="str">
        <f>HYPERLINK("https://twitter.com/inovies/status/219742313256198144")</f>
        <v>https://twitter.com/inovies/status/219742313256198144</v>
      </c>
      <c r="AF265" s="79">
        <v>41092.44472222222</v>
      </c>
      <c r="AG265" s="85">
        <v>41092</v>
      </c>
      <c r="AH265" s="81" t="s">
        <v>2985</v>
      </c>
      <c r="AI265" s="77" t="b">
        <v>0</v>
      </c>
      <c r="AJ265" s="77"/>
      <c r="AK265" s="77"/>
      <c r="AL265" s="77"/>
      <c r="AM265" s="77"/>
      <c r="AN265" s="77"/>
      <c r="AO265" s="77"/>
      <c r="AP265" s="77"/>
      <c r="AQ265" s="77"/>
      <c r="AR265" s="77"/>
      <c r="AS265" s="77"/>
      <c r="AT265" s="77"/>
      <c r="AU265" s="77"/>
      <c r="AV265" s="80" t="str">
        <f>HYPERLINK("https://pbs.twimg.com/profile_images/833576943677214720/5ZyUgpEJ_normal.jpg")</f>
        <v>https://pbs.twimg.com/profile_images/833576943677214720/5ZyUgpEJ_normal.jpg</v>
      </c>
      <c r="AW265" s="81" t="s">
        <v>4731</v>
      </c>
      <c r="AX265" s="81" t="s">
        <v>4731</v>
      </c>
      <c r="AY265" s="77"/>
      <c r="AZ265" s="81" t="s">
        <v>5773</v>
      </c>
      <c r="BA265" s="81" t="s">
        <v>5773</v>
      </c>
      <c r="BB265" s="81" t="s">
        <v>5773</v>
      </c>
      <c r="BC265" s="81" t="s">
        <v>4731</v>
      </c>
      <c r="BD265" s="77">
        <v>297885438</v>
      </c>
      <c r="BE265" s="77"/>
      <c r="BF265" s="77"/>
      <c r="BG265" s="77"/>
      <c r="BH265" s="77"/>
      <c r="BI265" s="77"/>
    </row>
    <row r="266" spans="1:61" ht="15">
      <c r="A266" s="62" t="s">
        <v>299</v>
      </c>
      <c r="B266" s="62" t="s">
        <v>469</v>
      </c>
      <c r="C266" s="63"/>
      <c r="D266" s="64"/>
      <c r="E266" s="65"/>
      <c r="F266" s="66"/>
      <c r="G266" s="63"/>
      <c r="H266" s="67"/>
      <c r="I266" s="68"/>
      <c r="J266" s="68"/>
      <c r="K266" s="32" t="s">
        <v>65</v>
      </c>
      <c r="L266" s="75">
        <v>266</v>
      </c>
      <c r="M266" s="75"/>
      <c r="N266" s="70"/>
      <c r="O266" s="77" t="s">
        <v>571</v>
      </c>
      <c r="P266" s="79">
        <v>42786.328935185185</v>
      </c>
      <c r="Q266" s="77" t="s">
        <v>797</v>
      </c>
      <c r="R266" s="77">
        <v>0</v>
      </c>
      <c r="S266" s="77">
        <v>0</v>
      </c>
      <c r="T266" s="77">
        <v>0</v>
      </c>
      <c r="U266" s="77">
        <v>0</v>
      </c>
      <c r="V266" s="77"/>
      <c r="W266" s="81" t="s">
        <v>1770</v>
      </c>
      <c r="X266" s="80" t="str">
        <f>HYPERLINK("https://www.inovies.com/insights/news/when-eetaram-eenadu-finds-inovies-lively#.WKqgd0yvlKU.twitter")</f>
        <v>https://www.inovies.com/insights/news/when-eetaram-eenadu-finds-inovies-lively#.WKqgd0yvlKU.twitter</v>
      </c>
      <c r="Y266" s="77" t="s">
        <v>1982</v>
      </c>
      <c r="Z266" s="77" t="s">
        <v>469</v>
      </c>
      <c r="AA266" s="77"/>
      <c r="AB266" s="77"/>
      <c r="AC266" s="81" t="s">
        <v>2705</v>
      </c>
      <c r="AD266" s="77" t="s">
        <v>2751</v>
      </c>
      <c r="AE266" s="80" t="str">
        <f>HYPERLINK("https://twitter.com/inovies/status/833585398014160896")</f>
        <v>https://twitter.com/inovies/status/833585398014160896</v>
      </c>
      <c r="AF266" s="79">
        <v>42786.328935185185</v>
      </c>
      <c r="AG266" s="85">
        <v>42786</v>
      </c>
      <c r="AH266" s="81" t="s">
        <v>2986</v>
      </c>
      <c r="AI266" s="77" t="b">
        <v>0</v>
      </c>
      <c r="AJ266" s="77"/>
      <c r="AK266" s="77"/>
      <c r="AL266" s="77"/>
      <c r="AM266" s="77"/>
      <c r="AN266" s="77"/>
      <c r="AO266" s="77"/>
      <c r="AP266" s="77"/>
      <c r="AQ266" s="77"/>
      <c r="AR266" s="77"/>
      <c r="AS266" s="77"/>
      <c r="AT266" s="77"/>
      <c r="AU266" s="77"/>
      <c r="AV266" s="80" t="str">
        <f>HYPERLINK("https://pbs.twimg.com/profile_images/833576943677214720/5ZyUgpEJ_normal.jpg")</f>
        <v>https://pbs.twimg.com/profile_images/833576943677214720/5ZyUgpEJ_normal.jpg</v>
      </c>
      <c r="AW266" s="81" t="s">
        <v>4732</v>
      </c>
      <c r="AX266" s="81" t="s">
        <v>4732</v>
      </c>
      <c r="AY266" s="77"/>
      <c r="AZ266" s="81" t="s">
        <v>5773</v>
      </c>
      <c r="BA266" s="81" t="s">
        <v>5773</v>
      </c>
      <c r="BB266" s="81" t="s">
        <v>5773</v>
      </c>
      <c r="BC266" s="81" t="s">
        <v>4732</v>
      </c>
      <c r="BD266" s="77">
        <v>297885438</v>
      </c>
      <c r="BE266" s="77"/>
      <c r="BF266" s="77"/>
      <c r="BG266" s="77"/>
      <c r="BH266" s="77"/>
      <c r="BI266" s="77"/>
    </row>
    <row r="267" spans="1:61" ht="15">
      <c r="A267" s="62" t="s">
        <v>299</v>
      </c>
      <c r="B267" s="62" t="s">
        <v>470</v>
      </c>
      <c r="C267" s="63"/>
      <c r="D267" s="64"/>
      <c r="E267" s="65"/>
      <c r="F267" s="66"/>
      <c r="G267" s="63"/>
      <c r="H267" s="67"/>
      <c r="I267" s="68"/>
      <c r="J267" s="68"/>
      <c r="K267" s="32" t="s">
        <v>65</v>
      </c>
      <c r="L267" s="75">
        <v>267</v>
      </c>
      <c r="M267" s="75"/>
      <c r="N267" s="70"/>
      <c r="O267" s="77" t="s">
        <v>572</v>
      </c>
      <c r="P267" s="79">
        <v>44773.55793981482</v>
      </c>
      <c r="Q267" s="77" t="s">
        <v>798</v>
      </c>
      <c r="R267" s="77">
        <v>0</v>
      </c>
      <c r="S267" s="77">
        <v>0</v>
      </c>
      <c r="T267" s="77">
        <v>0</v>
      </c>
      <c r="U267" s="77">
        <v>0</v>
      </c>
      <c r="V267" s="77"/>
      <c r="W267" s="77"/>
      <c r="X267" s="77"/>
      <c r="Y267" s="77"/>
      <c r="Z267" s="77" t="s">
        <v>470</v>
      </c>
      <c r="AA267" s="77"/>
      <c r="AB267" s="77"/>
      <c r="AC267" s="81" t="s">
        <v>2704</v>
      </c>
      <c r="AD267" s="77" t="s">
        <v>2751</v>
      </c>
      <c r="AE267" s="80" t="str">
        <f>HYPERLINK("https://twitter.com/inovies/status/1553733072868110336")</f>
        <v>https://twitter.com/inovies/status/1553733072868110336</v>
      </c>
      <c r="AF267" s="79">
        <v>44773.55793981482</v>
      </c>
      <c r="AG267" s="85">
        <v>44773</v>
      </c>
      <c r="AH267" s="81" t="s">
        <v>2987</v>
      </c>
      <c r="AI267" s="77"/>
      <c r="AJ267" s="77" t="s">
        <v>3881</v>
      </c>
      <c r="AK267" s="77" t="s">
        <v>3889</v>
      </c>
      <c r="AL267" s="77" t="s">
        <v>3892</v>
      </c>
      <c r="AM267" s="77" t="s">
        <v>3895</v>
      </c>
      <c r="AN267" s="77" t="s">
        <v>3902</v>
      </c>
      <c r="AO267" s="77" t="s">
        <v>3910</v>
      </c>
      <c r="AP267" s="77" t="s">
        <v>3917</v>
      </c>
      <c r="AQ267" s="77"/>
      <c r="AR267" s="77"/>
      <c r="AS267" s="77"/>
      <c r="AT267" s="77"/>
      <c r="AU267" s="77"/>
      <c r="AV267" s="80" t="str">
        <f>HYPERLINK("https://pbs.twimg.com/profile_images/833576943677214720/5ZyUgpEJ_normal.jpg")</f>
        <v>https://pbs.twimg.com/profile_images/833576943677214720/5ZyUgpEJ_normal.jpg</v>
      </c>
      <c r="AW267" s="81" t="s">
        <v>4733</v>
      </c>
      <c r="AX267" s="81" t="s">
        <v>5686</v>
      </c>
      <c r="AY267" s="81" t="s">
        <v>5734</v>
      </c>
      <c r="AZ267" s="81" t="s">
        <v>5686</v>
      </c>
      <c r="BA267" s="81" t="s">
        <v>5773</v>
      </c>
      <c r="BB267" s="81" t="s">
        <v>5773</v>
      </c>
      <c r="BC267" s="81" t="s">
        <v>5686</v>
      </c>
      <c r="BD267" s="77">
        <v>297885438</v>
      </c>
      <c r="BE267" s="77"/>
      <c r="BF267" s="77"/>
      <c r="BG267" s="77"/>
      <c r="BH267" s="77"/>
      <c r="BI267" s="77"/>
    </row>
    <row r="268" spans="1:61" ht="15">
      <c r="A268" s="62" t="s">
        <v>299</v>
      </c>
      <c r="B268" s="62" t="s">
        <v>471</v>
      </c>
      <c r="C268" s="63"/>
      <c r="D268" s="64"/>
      <c r="E268" s="65"/>
      <c r="F268" s="66"/>
      <c r="G268" s="63"/>
      <c r="H268" s="67"/>
      <c r="I268" s="68"/>
      <c r="J268" s="68"/>
      <c r="K268" s="32" t="s">
        <v>65</v>
      </c>
      <c r="L268" s="75">
        <v>268</v>
      </c>
      <c r="M268" s="75"/>
      <c r="N268" s="70"/>
      <c r="O268" s="77" t="s">
        <v>572</v>
      </c>
      <c r="P268" s="79">
        <v>44721.207337962966</v>
      </c>
      <c r="Q268" s="77" t="s">
        <v>799</v>
      </c>
      <c r="R268" s="77">
        <v>0</v>
      </c>
      <c r="S268" s="77">
        <v>0</v>
      </c>
      <c r="T268" s="77">
        <v>0</v>
      </c>
      <c r="U268" s="77">
        <v>0</v>
      </c>
      <c r="V268" s="77"/>
      <c r="W268" s="77"/>
      <c r="X268" s="77"/>
      <c r="Y268" s="77"/>
      <c r="Z268" s="77" t="s">
        <v>471</v>
      </c>
      <c r="AA268" s="77"/>
      <c r="AB268" s="77"/>
      <c r="AC268" s="81" t="s">
        <v>2704</v>
      </c>
      <c r="AD268" s="77" t="s">
        <v>2751</v>
      </c>
      <c r="AE268" s="80" t="str">
        <f>HYPERLINK("https://twitter.com/inovies/status/1534761852202168320")</f>
        <v>https://twitter.com/inovies/status/1534761852202168320</v>
      </c>
      <c r="AF268" s="79">
        <v>44721.207337962966</v>
      </c>
      <c r="AG268" s="85">
        <v>44721</v>
      </c>
      <c r="AH268" s="81" t="s">
        <v>2988</v>
      </c>
      <c r="AI268" s="77"/>
      <c r="AJ268" s="77" t="s">
        <v>3882</v>
      </c>
      <c r="AK268" s="77" t="s">
        <v>3889</v>
      </c>
      <c r="AL268" s="77" t="s">
        <v>3892</v>
      </c>
      <c r="AM268" s="77" t="s">
        <v>3896</v>
      </c>
      <c r="AN268" s="77" t="s">
        <v>3903</v>
      </c>
      <c r="AO268" s="77" t="s">
        <v>3911</v>
      </c>
      <c r="AP268" s="77" t="s">
        <v>3917</v>
      </c>
      <c r="AQ268" s="77"/>
      <c r="AR268" s="77"/>
      <c r="AS268" s="77"/>
      <c r="AT268" s="77"/>
      <c r="AU268" s="77"/>
      <c r="AV268" s="80" t="str">
        <f>HYPERLINK("https://pbs.twimg.com/profile_images/833576943677214720/5ZyUgpEJ_normal.jpg")</f>
        <v>https://pbs.twimg.com/profile_images/833576943677214720/5ZyUgpEJ_normal.jpg</v>
      </c>
      <c r="AW268" s="81" t="s">
        <v>4734</v>
      </c>
      <c r="AX268" s="81" t="s">
        <v>5687</v>
      </c>
      <c r="AY268" s="81" t="s">
        <v>5735</v>
      </c>
      <c r="AZ268" s="81" t="s">
        <v>5687</v>
      </c>
      <c r="BA268" s="81" t="s">
        <v>5773</v>
      </c>
      <c r="BB268" s="81" t="s">
        <v>5773</v>
      </c>
      <c r="BC268" s="81" t="s">
        <v>5687</v>
      </c>
      <c r="BD268" s="77">
        <v>297885438</v>
      </c>
      <c r="BE268" s="77"/>
      <c r="BF268" s="77"/>
      <c r="BG268" s="77"/>
      <c r="BH268" s="77"/>
      <c r="BI268" s="77"/>
    </row>
    <row r="269" spans="1:61" ht="15">
      <c r="A269" s="62" t="s">
        <v>299</v>
      </c>
      <c r="B269" s="62" t="s">
        <v>472</v>
      </c>
      <c r="C269" s="63"/>
      <c r="D269" s="64"/>
      <c r="E269" s="65"/>
      <c r="F269" s="66"/>
      <c r="G269" s="63"/>
      <c r="H269" s="67"/>
      <c r="I269" s="68"/>
      <c r="J269" s="68"/>
      <c r="K269" s="32" t="s">
        <v>65</v>
      </c>
      <c r="L269" s="75">
        <v>269</v>
      </c>
      <c r="M269" s="75"/>
      <c r="N269" s="70"/>
      <c r="O269" s="77" t="s">
        <v>572</v>
      </c>
      <c r="P269" s="79">
        <v>44694.56193287037</v>
      </c>
      <c r="Q269" s="77" t="s">
        <v>800</v>
      </c>
      <c r="R269" s="77">
        <v>0</v>
      </c>
      <c r="S269" s="77">
        <v>1</v>
      </c>
      <c r="T269" s="77">
        <v>0</v>
      </c>
      <c r="U269" s="77">
        <v>0</v>
      </c>
      <c r="V269" s="77"/>
      <c r="W269" s="77"/>
      <c r="X269" s="77"/>
      <c r="Y269" s="77"/>
      <c r="Z269" s="77" t="s">
        <v>472</v>
      </c>
      <c r="AA269" s="77"/>
      <c r="AB269" s="77"/>
      <c r="AC269" s="81" t="s">
        <v>2704</v>
      </c>
      <c r="AD269" s="77" t="s">
        <v>2761</v>
      </c>
      <c r="AE269" s="80" t="str">
        <f>HYPERLINK("https://twitter.com/inovies/status/1525105879552380928")</f>
        <v>https://twitter.com/inovies/status/1525105879552380928</v>
      </c>
      <c r="AF269" s="79">
        <v>44694.56193287037</v>
      </c>
      <c r="AG269" s="85">
        <v>44694</v>
      </c>
      <c r="AH269" s="81" t="s">
        <v>2989</v>
      </c>
      <c r="AI269" s="77"/>
      <c r="AJ269" s="77" t="s">
        <v>3883</v>
      </c>
      <c r="AK269" s="77" t="s">
        <v>3889</v>
      </c>
      <c r="AL269" s="77" t="s">
        <v>3892</v>
      </c>
      <c r="AM269" s="77" t="s">
        <v>3897</v>
      </c>
      <c r="AN269" s="77" t="s">
        <v>3904</v>
      </c>
      <c r="AO269" s="77" t="s">
        <v>3912</v>
      </c>
      <c r="AP269" s="77" t="s">
        <v>3917</v>
      </c>
      <c r="AQ269" s="77"/>
      <c r="AR269" s="77"/>
      <c r="AS269" s="77"/>
      <c r="AT269" s="77"/>
      <c r="AU269" s="77"/>
      <c r="AV269" s="80" t="str">
        <f>HYPERLINK("https://pbs.twimg.com/profile_images/833576943677214720/5ZyUgpEJ_normal.jpg")</f>
        <v>https://pbs.twimg.com/profile_images/833576943677214720/5ZyUgpEJ_normal.jpg</v>
      </c>
      <c r="AW269" s="81" t="s">
        <v>4735</v>
      </c>
      <c r="AX269" s="81" t="s">
        <v>5688</v>
      </c>
      <c r="AY269" s="81" t="s">
        <v>5736</v>
      </c>
      <c r="AZ269" s="81" t="s">
        <v>5688</v>
      </c>
      <c r="BA269" s="81" t="s">
        <v>5773</v>
      </c>
      <c r="BB269" s="81" t="s">
        <v>5773</v>
      </c>
      <c r="BC269" s="81" t="s">
        <v>5688</v>
      </c>
      <c r="BD269" s="77">
        <v>297885438</v>
      </c>
      <c r="BE269" s="77"/>
      <c r="BF269" s="77"/>
      <c r="BG269" s="77"/>
      <c r="BH269" s="77"/>
      <c r="BI269" s="77"/>
    </row>
    <row r="270" spans="1:61" ht="15">
      <c r="A270" s="62" t="s">
        <v>299</v>
      </c>
      <c r="B270" s="62" t="s">
        <v>473</v>
      </c>
      <c r="C270" s="63"/>
      <c r="D270" s="64"/>
      <c r="E270" s="65"/>
      <c r="F270" s="66"/>
      <c r="G270" s="63"/>
      <c r="H270" s="67"/>
      <c r="I270" s="68"/>
      <c r="J270" s="68"/>
      <c r="K270" s="32" t="s">
        <v>65</v>
      </c>
      <c r="L270" s="75">
        <v>270</v>
      </c>
      <c r="M270" s="75"/>
      <c r="N270" s="70"/>
      <c r="O270" s="77" t="s">
        <v>572</v>
      </c>
      <c r="P270" s="79">
        <v>44621.87766203703</v>
      </c>
      <c r="Q270" s="77" t="s">
        <v>801</v>
      </c>
      <c r="R270" s="77">
        <v>0</v>
      </c>
      <c r="S270" s="77">
        <v>0</v>
      </c>
      <c r="T270" s="77">
        <v>0</v>
      </c>
      <c r="U270" s="77">
        <v>0</v>
      </c>
      <c r="V270" s="77"/>
      <c r="W270" s="77"/>
      <c r="X270" s="77"/>
      <c r="Y270" s="77"/>
      <c r="Z270" s="77" t="s">
        <v>473</v>
      </c>
      <c r="AA270" s="77"/>
      <c r="AB270" s="77"/>
      <c r="AC270" s="81" t="s">
        <v>2704</v>
      </c>
      <c r="AD270" s="77" t="s">
        <v>2751</v>
      </c>
      <c r="AE270" s="80" t="str">
        <f>HYPERLINK("https://twitter.com/inovies/status/1498765980658708481")</f>
        <v>https://twitter.com/inovies/status/1498765980658708481</v>
      </c>
      <c r="AF270" s="79">
        <v>44621.87766203703</v>
      </c>
      <c r="AG270" s="85">
        <v>44621</v>
      </c>
      <c r="AH270" s="81" t="s">
        <v>2990</v>
      </c>
      <c r="AI270" s="77"/>
      <c r="AJ270" s="77" t="s">
        <v>3882</v>
      </c>
      <c r="AK270" s="77" t="s">
        <v>3889</v>
      </c>
      <c r="AL270" s="77" t="s">
        <v>3892</v>
      </c>
      <c r="AM270" s="77" t="s">
        <v>3896</v>
      </c>
      <c r="AN270" s="77" t="s">
        <v>3903</v>
      </c>
      <c r="AO270" s="77" t="s">
        <v>3911</v>
      </c>
      <c r="AP270" s="77" t="s">
        <v>3917</v>
      </c>
      <c r="AQ270" s="77"/>
      <c r="AR270" s="77"/>
      <c r="AS270" s="77"/>
      <c r="AT270" s="77"/>
      <c r="AU270" s="77"/>
      <c r="AV270" s="80" t="str">
        <f>HYPERLINK("https://pbs.twimg.com/profile_images/833576943677214720/5ZyUgpEJ_normal.jpg")</f>
        <v>https://pbs.twimg.com/profile_images/833576943677214720/5ZyUgpEJ_normal.jpg</v>
      </c>
      <c r="AW270" s="81" t="s">
        <v>4736</v>
      </c>
      <c r="AX270" s="81" t="s">
        <v>5689</v>
      </c>
      <c r="AY270" s="81" t="s">
        <v>5737</v>
      </c>
      <c r="AZ270" s="81" t="s">
        <v>5689</v>
      </c>
      <c r="BA270" s="81" t="s">
        <v>5773</v>
      </c>
      <c r="BB270" s="81" t="s">
        <v>5773</v>
      </c>
      <c r="BC270" s="81" t="s">
        <v>5689</v>
      </c>
      <c r="BD270" s="77">
        <v>297885438</v>
      </c>
      <c r="BE270" s="77"/>
      <c r="BF270" s="77"/>
      <c r="BG270" s="77"/>
      <c r="BH270" s="77"/>
      <c r="BI270" s="77"/>
    </row>
    <row r="271" spans="1:61" ht="15">
      <c r="A271" s="62" t="s">
        <v>237</v>
      </c>
      <c r="B271" s="62" t="s">
        <v>299</v>
      </c>
      <c r="C271" s="63"/>
      <c r="D271" s="64"/>
      <c r="E271" s="65"/>
      <c r="F271" s="66"/>
      <c r="G271" s="63"/>
      <c r="H271" s="67"/>
      <c r="I271" s="68"/>
      <c r="J271" s="68"/>
      <c r="K271" s="32" t="s">
        <v>66</v>
      </c>
      <c r="L271" s="75">
        <v>271</v>
      </c>
      <c r="M271" s="75"/>
      <c r="N271" s="70"/>
      <c r="O271" s="77" t="s">
        <v>571</v>
      </c>
      <c r="P271" s="79">
        <v>43237.71934027778</v>
      </c>
      <c r="Q271" s="77" t="s">
        <v>802</v>
      </c>
      <c r="R271" s="77">
        <v>0</v>
      </c>
      <c r="S271" s="77">
        <v>0</v>
      </c>
      <c r="T271" s="77">
        <v>0</v>
      </c>
      <c r="U271" s="77">
        <v>0</v>
      </c>
      <c r="V271" s="77"/>
      <c r="W271" s="81" t="s">
        <v>1771</v>
      </c>
      <c r="X271" s="80" t="str">
        <f>HYPERLINK("https://www.webguruawards.com/user/details/webdesignagency-1662")</f>
        <v>https://www.webguruawards.com/user/details/webdesignagency-1662</v>
      </c>
      <c r="Y271" s="77" t="s">
        <v>1977</v>
      </c>
      <c r="Z271" s="77" t="s">
        <v>299</v>
      </c>
      <c r="AA271" s="77" t="s">
        <v>2195</v>
      </c>
      <c r="AB271" s="77" t="s">
        <v>2696</v>
      </c>
      <c r="AC271" s="81" t="s">
        <v>2705</v>
      </c>
      <c r="AD271" s="77" t="s">
        <v>2751</v>
      </c>
      <c r="AE271" s="80" t="str">
        <f>HYPERLINK("https://twitter.com/webguruawards/status/997163802260099073")</f>
        <v>https://twitter.com/webguruawards/status/997163802260099073</v>
      </c>
      <c r="AF271" s="79">
        <v>43237.71934027778</v>
      </c>
      <c r="AG271" s="85">
        <v>43237</v>
      </c>
      <c r="AH271" s="81" t="s">
        <v>2991</v>
      </c>
      <c r="AI271" s="77" t="b">
        <v>0</v>
      </c>
      <c r="AJ271" s="77"/>
      <c r="AK271" s="77"/>
      <c r="AL271" s="77"/>
      <c r="AM271" s="77"/>
      <c r="AN271" s="77"/>
      <c r="AO271" s="77"/>
      <c r="AP271" s="77"/>
      <c r="AQ271" s="77" t="s">
        <v>4013</v>
      </c>
      <c r="AR271" s="77"/>
      <c r="AS271" s="77"/>
      <c r="AT271" s="77"/>
      <c r="AU271" s="77"/>
      <c r="AV271" s="80" t="str">
        <f>HYPERLINK("https://pbs.twimg.com/media/DdajHcnVwAAR907.jpg")</f>
        <v>https://pbs.twimg.com/media/DdajHcnVwAAR907.jpg</v>
      </c>
      <c r="AW271" s="81" t="s">
        <v>4737</v>
      </c>
      <c r="AX271" s="81" t="s">
        <v>4737</v>
      </c>
      <c r="AY271" s="77"/>
      <c r="AZ271" s="81" t="s">
        <v>5773</v>
      </c>
      <c r="BA271" s="81" t="s">
        <v>5773</v>
      </c>
      <c r="BB271" s="81" t="s">
        <v>5773</v>
      </c>
      <c r="BC271" s="81" t="s">
        <v>4737</v>
      </c>
      <c r="BD271" s="77">
        <v>3041320412</v>
      </c>
      <c r="BE271" s="77"/>
      <c r="BF271" s="77"/>
      <c r="BG271" s="77"/>
      <c r="BH271" s="77"/>
      <c r="BI271" s="77"/>
    </row>
    <row r="272" spans="1:61" ht="15">
      <c r="A272" s="62" t="s">
        <v>237</v>
      </c>
      <c r="B272" s="62" t="s">
        <v>299</v>
      </c>
      <c r="C272" s="63"/>
      <c r="D272" s="64"/>
      <c r="E272" s="65"/>
      <c r="F272" s="66"/>
      <c r="G272" s="63"/>
      <c r="H272" s="67"/>
      <c r="I272" s="68"/>
      <c r="J272" s="68"/>
      <c r="K272" s="32" t="s">
        <v>66</v>
      </c>
      <c r="L272" s="75">
        <v>272</v>
      </c>
      <c r="M272" s="75"/>
      <c r="N272" s="70"/>
      <c r="O272" s="77" t="s">
        <v>571</v>
      </c>
      <c r="P272" s="79">
        <v>44700.6762962963</v>
      </c>
      <c r="Q272" s="77" t="s">
        <v>803</v>
      </c>
      <c r="R272" s="77">
        <v>0</v>
      </c>
      <c r="S272" s="77">
        <v>0</v>
      </c>
      <c r="T272" s="77">
        <v>0</v>
      </c>
      <c r="U272" s="77">
        <v>0</v>
      </c>
      <c r="V272" s="77"/>
      <c r="W272" s="81" t="s">
        <v>1772</v>
      </c>
      <c r="X272" s="80" t="str">
        <f>HYPERLINK("https://webguruawards.com/winners")</f>
        <v>https://webguruawards.com/winners</v>
      </c>
      <c r="Y272" s="77" t="s">
        <v>1977</v>
      </c>
      <c r="Z272" s="77" t="s">
        <v>299</v>
      </c>
      <c r="AA272" s="77" t="s">
        <v>2196</v>
      </c>
      <c r="AB272" s="77" t="s">
        <v>2695</v>
      </c>
      <c r="AC272" s="81" t="s">
        <v>2707</v>
      </c>
      <c r="AD272" s="77" t="s">
        <v>2751</v>
      </c>
      <c r="AE272" s="80" t="str">
        <f>HYPERLINK("https://twitter.com/webguruawards/status/1527321651440152577")</f>
        <v>https://twitter.com/webguruawards/status/1527321651440152577</v>
      </c>
      <c r="AF272" s="79">
        <v>44700.6762962963</v>
      </c>
      <c r="AG272" s="85">
        <v>44700</v>
      </c>
      <c r="AH272" s="81" t="s">
        <v>2992</v>
      </c>
      <c r="AI272" s="77" t="b">
        <v>0</v>
      </c>
      <c r="AJ272" s="77"/>
      <c r="AK272" s="77"/>
      <c r="AL272" s="77"/>
      <c r="AM272" s="77"/>
      <c r="AN272" s="77"/>
      <c r="AO272" s="77"/>
      <c r="AP272" s="77"/>
      <c r="AQ272" s="77" t="s">
        <v>4014</v>
      </c>
      <c r="AR272" s="77">
        <v>14000</v>
      </c>
      <c r="AS272" s="77"/>
      <c r="AT272" s="77"/>
      <c r="AU272" s="77"/>
      <c r="AV272" s="80" t="str">
        <f>HYPERLINK("https://pbs.twimg.com/ext_tw_video_thumb/1527320742605762560/pu/img/TP1xFhA6TCOwHTsi.jpg")</f>
        <v>https://pbs.twimg.com/ext_tw_video_thumb/1527320742605762560/pu/img/TP1xFhA6TCOwHTsi.jpg</v>
      </c>
      <c r="AW272" s="81" t="s">
        <v>4738</v>
      </c>
      <c r="AX272" s="81" t="s">
        <v>4738</v>
      </c>
      <c r="AY272" s="77"/>
      <c r="AZ272" s="81" t="s">
        <v>5773</v>
      </c>
      <c r="BA272" s="81" t="s">
        <v>5773</v>
      </c>
      <c r="BB272" s="81" t="s">
        <v>5773</v>
      </c>
      <c r="BC272" s="81" t="s">
        <v>4738</v>
      </c>
      <c r="BD272" s="77">
        <v>3041320412</v>
      </c>
      <c r="BE272" s="77"/>
      <c r="BF272" s="77"/>
      <c r="BG272" s="77"/>
      <c r="BH272" s="77"/>
      <c r="BI272" s="77"/>
    </row>
    <row r="273" spans="1:61" ht="15">
      <c r="A273" s="62" t="s">
        <v>237</v>
      </c>
      <c r="B273" s="62" t="s">
        <v>299</v>
      </c>
      <c r="C273" s="63"/>
      <c r="D273" s="64"/>
      <c r="E273" s="65"/>
      <c r="F273" s="66"/>
      <c r="G273" s="63"/>
      <c r="H273" s="67"/>
      <c r="I273" s="68"/>
      <c r="J273" s="68"/>
      <c r="K273" s="32" t="s">
        <v>66</v>
      </c>
      <c r="L273" s="75">
        <v>273</v>
      </c>
      <c r="M273" s="75"/>
      <c r="N273" s="70"/>
      <c r="O273" s="77" t="s">
        <v>571</v>
      </c>
      <c r="P273" s="79">
        <v>43239.7293287037</v>
      </c>
      <c r="Q273" s="77" t="s">
        <v>804</v>
      </c>
      <c r="R273" s="77">
        <v>0</v>
      </c>
      <c r="S273" s="77">
        <v>0</v>
      </c>
      <c r="T273" s="77">
        <v>0</v>
      </c>
      <c r="U273" s="77">
        <v>0</v>
      </c>
      <c r="V273" s="77"/>
      <c r="W273" s="81" t="s">
        <v>1773</v>
      </c>
      <c r="X273" s="80" t="str">
        <f>HYPERLINK("https://www.webguruawards.com/user/details/webdesignagency-1662")</f>
        <v>https://www.webguruawards.com/user/details/webdesignagency-1662</v>
      </c>
      <c r="Y273" s="77" t="s">
        <v>1977</v>
      </c>
      <c r="Z273" s="77" t="s">
        <v>299</v>
      </c>
      <c r="AA273" s="77" t="s">
        <v>2197</v>
      </c>
      <c r="AB273" s="77" t="s">
        <v>2696</v>
      </c>
      <c r="AC273" s="81" t="s">
        <v>2705</v>
      </c>
      <c r="AD273" s="77" t="s">
        <v>2751</v>
      </c>
      <c r="AE273" s="80" t="str">
        <f>HYPERLINK("https://twitter.com/webguruawards/status/997892196442431488")</f>
        <v>https://twitter.com/webguruawards/status/997892196442431488</v>
      </c>
      <c r="AF273" s="79">
        <v>43239.7293287037</v>
      </c>
      <c r="AG273" s="85">
        <v>43239</v>
      </c>
      <c r="AH273" s="81" t="s">
        <v>2993</v>
      </c>
      <c r="AI273" s="77" t="b">
        <v>0</v>
      </c>
      <c r="AJ273" s="77"/>
      <c r="AK273" s="77"/>
      <c r="AL273" s="77"/>
      <c r="AM273" s="77"/>
      <c r="AN273" s="77"/>
      <c r="AO273" s="77"/>
      <c r="AP273" s="77"/>
      <c r="AQ273" s="77" t="s">
        <v>4015</v>
      </c>
      <c r="AR273" s="77"/>
      <c r="AS273" s="77"/>
      <c r="AT273" s="77"/>
      <c r="AU273" s="77"/>
      <c r="AV273" s="80" t="str">
        <f>HYPERLINK("https://pbs.twimg.com/media/Ddk5lziVMAA16C-.jpg")</f>
        <v>https://pbs.twimg.com/media/Ddk5lziVMAA16C-.jpg</v>
      </c>
      <c r="AW273" s="81" t="s">
        <v>4739</v>
      </c>
      <c r="AX273" s="81" t="s">
        <v>4739</v>
      </c>
      <c r="AY273" s="77"/>
      <c r="AZ273" s="81" t="s">
        <v>5773</v>
      </c>
      <c r="BA273" s="81" t="s">
        <v>5773</v>
      </c>
      <c r="BB273" s="81" t="s">
        <v>5773</v>
      </c>
      <c r="BC273" s="81" t="s">
        <v>4739</v>
      </c>
      <c r="BD273" s="77">
        <v>3041320412</v>
      </c>
      <c r="BE273" s="77"/>
      <c r="BF273" s="77"/>
      <c r="BG273" s="77"/>
      <c r="BH273" s="77"/>
      <c r="BI273" s="77"/>
    </row>
    <row r="274" spans="1:61" ht="15">
      <c r="A274" s="62" t="s">
        <v>237</v>
      </c>
      <c r="B274" s="62" t="s">
        <v>299</v>
      </c>
      <c r="C274" s="63"/>
      <c r="D274" s="64"/>
      <c r="E274" s="65"/>
      <c r="F274" s="66"/>
      <c r="G274" s="63"/>
      <c r="H274" s="67"/>
      <c r="I274" s="68"/>
      <c r="J274" s="68"/>
      <c r="K274" s="32" t="s">
        <v>66</v>
      </c>
      <c r="L274" s="75">
        <v>274</v>
      </c>
      <c r="M274" s="75"/>
      <c r="N274" s="70"/>
      <c r="O274" s="77" t="s">
        <v>571</v>
      </c>
      <c r="P274" s="79">
        <v>45065.54019675926</v>
      </c>
      <c r="Q274" s="77" t="s">
        <v>597</v>
      </c>
      <c r="R274" s="77">
        <v>0</v>
      </c>
      <c r="S274" s="77">
        <v>0</v>
      </c>
      <c r="T274" s="77">
        <v>0</v>
      </c>
      <c r="U274" s="77">
        <v>0</v>
      </c>
      <c r="V274" s="77">
        <v>9</v>
      </c>
      <c r="W274" s="81" t="s">
        <v>1713</v>
      </c>
      <c r="X274" s="80" t="str">
        <f>HYPERLINK("http://webguruawards.com/winners")</f>
        <v>http://webguruawards.com/winners</v>
      </c>
      <c r="Y274" s="77" t="s">
        <v>1977</v>
      </c>
      <c r="Z274" s="77" t="s">
        <v>2059</v>
      </c>
      <c r="AA274" s="77" t="s">
        <v>2104</v>
      </c>
      <c r="AB274" s="77" t="s">
        <v>2695</v>
      </c>
      <c r="AC274" s="81" t="s">
        <v>2707</v>
      </c>
      <c r="AD274" s="77" t="s">
        <v>2751</v>
      </c>
      <c r="AE274" s="80" t="str">
        <f>HYPERLINK("https://twitter.com/webguruawards/status/1659543901219299330")</f>
        <v>https://twitter.com/webguruawards/status/1659543901219299330</v>
      </c>
      <c r="AF274" s="79">
        <v>45065.54019675926</v>
      </c>
      <c r="AG274" s="85">
        <v>45065</v>
      </c>
      <c r="AH274" s="81" t="s">
        <v>2784</v>
      </c>
      <c r="AI274" s="77" t="b">
        <v>0</v>
      </c>
      <c r="AJ274" s="77"/>
      <c r="AK274" s="77"/>
      <c r="AL274" s="77"/>
      <c r="AM274" s="77"/>
      <c r="AN274" s="77"/>
      <c r="AO274" s="77"/>
      <c r="AP274" s="77"/>
      <c r="AQ274" s="77" t="s">
        <v>3922</v>
      </c>
      <c r="AR274" s="77">
        <v>16000</v>
      </c>
      <c r="AS274" s="77"/>
      <c r="AT274" s="77"/>
      <c r="AU274" s="77"/>
      <c r="AV274" s="80" t="str">
        <f>HYPERLINK("https://pbs.twimg.com/ext_tw_video_thumb/1659543765441212417/pu/img/s2xgeU5eSt-3S9xg.jpg")</f>
        <v>https://pbs.twimg.com/ext_tw_video_thumb/1659543765441212417/pu/img/s2xgeU5eSt-3S9xg.jpg</v>
      </c>
      <c r="AW274" s="81" t="s">
        <v>4528</v>
      </c>
      <c r="AX274" s="81" t="s">
        <v>4528</v>
      </c>
      <c r="AY274" s="77"/>
      <c r="AZ274" s="81" t="s">
        <v>5773</v>
      </c>
      <c r="BA274" s="81" t="s">
        <v>5773</v>
      </c>
      <c r="BB274" s="81" t="s">
        <v>5773</v>
      </c>
      <c r="BC274" s="81" t="s">
        <v>4528</v>
      </c>
      <c r="BD274" s="77">
        <v>3041320412</v>
      </c>
      <c r="BE274" s="77"/>
      <c r="BF274" s="77"/>
      <c r="BG274" s="77"/>
      <c r="BH274" s="77"/>
      <c r="BI274" s="77"/>
    </row>
    <row r="275" spans="1:61" ht="15">
      <c r="A275" s="62" t="s">
        <v>299</v>
      </c>
      <c r="B275" s="62" t="s">
        <v>237</v>
      </c>
      <c r="C275" s="63"/>
      <c r="D275" s="64"/>
      <c r="E275" s="65"/>
      <c r="F275" s="66"/>
      <c r="G275" s="63"/>
      <c r="H275" s="67"/>
      <c r="I275" s="68"/>
      <c r="J275" s="68"/>
      <c r="K275" s="32" t="s">
        <v>66</v>
      </c>
      <c r="L275" s="75">
        <v>275</v>
      </c>
      <c r="M275" s="75"/>
      <c r="N275" s="70"/>
      <c r="O275" s="77" t="s">
        <v>571</v>
      </c>
      <c r="P275" s="79">
        <v>43242.176030092596</v>
      </c>
      <c r="Q275" s="77" t="s">
        <v>805</v>
      </c>
      <c r="R275" s="77">
        <v>0</v>
      </c>
      <c r="S275" s="77">
        <v>1</v>
      </c>
      <c r="T275" s="77">
        <v>0</v>
      </c>
      <c r="U275" s="77">
        <v>0</v>
      </c>
      <c r="V275" s="77"/>
      <c r="W275" s="77"/>
      <c r="X275" s="77"/>
      <c r="Y275" s="77"/>
      <c r="Z275" s="77" t="s">
        <v>2072</v>
      </c>
      <c r="AA275" s="77" t="s">
        <v>2198</v>
      </c>
      <c r="AB275" s="77" t="s">
        <v>2696</v>
      </c>
      <c r="AC275" s="81" t="s">
        <v>2705</v>
      </c>
      <c r="AD275" s="77" t="s">
        <v>2752</v>
      </c>
      <c r="AE275" s="80" t="str">
        <f>HYPERLINK("https://twitter.com/inovies/status/998778853408436224")</f>
        <v>https://twitter.com/inovies/status/998778853408436224</v>
      </c>
      <c r="AF275" s="79">
        <v>43242.176030092596</v>
      </c>
      <c r="AG275" s="85">
        <v>43242</v>
      </c>
      <c r="AH275" s="81" t="s">
        <v>2994</v>
      </c>
      <c r="AI275" s="77" t="b">
        <v>0</v>
      </c>
      <c r="AJ275" s="77"/>
      <c r="AK275" s="77"/>
      <c r="AL275" s="77"/>
      <c r="AM275" s="77"/>
      <c r="AN275" s="77"/>
      <c r="AO275" s="77"/>
      <c r="AP275" s="77"/>
      <c r="AQ275" s="77" t="s">
        <v>4016</v>
      </c>
      <c r="AR275" s="77"/>
      <c r="AS275" s="77"/>
      <c r="AT275" s="77"/>
      <c r="AU275" s="77"/>
      <c r="AV275" s="80" t="str">
        <f>HYPERLINK("https://pbs.twimg.com/media/Ddxf9C7V0AA4csq.jpg")</f>
        <v>https://pbs.twimg.com/media/Ddxf9C7V0AA4csq.jpg</v>
      </c>
      <c r="AW275" s="81" t="s">
        <v>4740</v>
      </c>
      <c r="AX275" s="81" t="s">
        <v>4740</v>
      </c>
      <c r="AY275" s="81" t="s">
        <v>5738</v>
      </c>
      <c r="AZ275" s="81" t="s">
        <v>5773</v>
      </c>
      <c r="BA275" s="81" t="s">
        <v>5773</v>
      </c>
      <c r="BB275" s="81" t="s">
        <v>5773</v>
      </c>
      <c r="BC275" s="81" t="s">
        <v>4740</v>
      </c>
      <c r="BD275" s="77">
        <v>297885438</v>
      </c>
      <c r="BE275" s="77"/>
      <c r="BF275" s="77"/>
      <c r="BG275" s="77"/>
      <c r="BH275" s="77"/>
      <c r="BI275" s="77"/>
    </row>
    <row r="276" spans="1:61" ht="15">
      <c r="A276" s="62" t="s">
        <v>299</v>
      </c>
      <c r="B276" s="62" t="s">
        <v>474</v>
      </c>
      <c r="C276" s="63"/>
      <c r="D276" s="64"/>
      <c r="E276" s="65"/>
      <c r="F276" s="66"/>
      <c r="G276" s="63"/>
      <c r="H276" s="67"/>
      <c r="I276" s="68"/>
      <c r="J276" s="68"/>
      <c r="K276" s="32" t="s">
        <v>65</v>
      </c>
      <c r="L276" s="75">
        <v>276</v>
      </c>
      <c r="M276" s="75"/>
      <c r="N276" s="70"/>
      <c r="O276" s="77" t="s">
        <v>571</v>
      </c>
      <c r="P276" s="79">
        <v>45278.1396875</v>
      </c>
      <c r="Q276" s="77" t="s">
        <v>806</v>
      </c>
      <c r="R276" s="77">
        <v>0</v>
      </c>
      <c r="S276" s="77">
        <v>0</v>
      </c>
      <c r="T276" s="77">
        <v>0</v>
      </c>
      <c r="U276" s="77">
        <v>0</v>
      </c>
      <c r="V276" s="77">
        <v>79</v>
      </c>
      <c r="W276" s="81" t="s">
        <v>1774</v>
      </c>
      <c r="X276" s="77"/>
      <c r="Y276" s="77"/>
      <c r="Z276" s="77" t="s">
        <v>474</v>
      </c>
      <c r="AA276" s="77" t="s">
        <v>2199</v>
      </c>
      <c r="AB276" s="77" t="s">
        <v>2695</v>
      </c>
      <c r="AC276" s="81" t="s">
        <v>2707</v>
      </c>
      <c r="AD276" s="77" t="s">
        <v>2751</v>
      </c>
      <c r="AE276" s="80" t="str">
        <f>HYPERLINK("https://twitter.com/inovies/status/1736587376091168848")</f>
        <v>https://twitter.com/inovies/status/1736587376091168848</v>
      </c>
      <c r="AF276" s="79">
        <v>45278.1396875</v>
      </c>
      <c r="AG276" s="85">
        <v>45278</v>
      </c>
      <c r="AH276" s="81" t="s">
        <v>2995</v>
      </c>
      <c r="AI276" s="77" t="b">
        <v>0</v>
      </c>
      <c r="AJ276" s="77"/>
      <c r="AK276" s="77"/>
      <c r="AL276" s="77"/>
      <c r="AM276" s="77"/>
      <c r="AN276" s="77"/>
      <c r="AO276" s="77"/>
      <c r="AP276" s="77"/>
      <c r="AQ276" s="77" t="s">
        <v>4017</v>
      </c>
      <c r="AR276" s="77">
        <v>125504</v>
      </c>
      <c r="AS276" s="77"/>
      <c r="AT276" s="77"/>
      <c r="AU276" s="77"/>
      <c r="AV276" s="80" t="str">
        <f>HYPERLINK("https://pbs.twimg.com/ext_tw_video_thumb/1736583344513511424/pu/img/9dOn_MlzoMXEQxHL.jpg")</f>
        <v>https://pbs.twimg.com/ext_tw_video_thumb/1736583344513511424/pu/img/9dOn_MlzoMXEQxHL.jpg</v>
      </c>
      <c r="AW276" s="81" t="s">
        <v>4741</v>
      </c>
      <c r="AX276" s="81" t="s">
        <v>4741</v>
      </c>
      <c r="AY276" s="77"/>
      <c r="AZ276" s="81" t="s">
        <v>5773</v>
      </c>
      <c r="BA276" s="81" t="s">
        <v>5773</v>
      </c>
      <c r="BB276" s="81" t="s">
        <v>5773</v>
      </c>
      <c r="BC276" s="81" t="s">
        <v>4741</v>
      </c>
      <c r="BD276" s="77">
        <v>297885438</v>
      </c>
      <c r="BE276" s="77"/>
      <c r="BF276" s="77"/>
      <c r="BG276" s="77"/>
      <c r="BH276" s="77"/>
      <c r="BI276" s="77"/>
    </row>
    <row r="277" spans="1:61" ht="15">
      <c r="A277" s="62" t="s">
        <v>299</v>
      </c>
      <c r="B277" s="62" t="s">
        <v>475</v>
      </c>
      <c r="C277" s="63"/>
      <c r="D277" s="64"/>
      <c r="E277" s="65"/>
      <c r="F277" s="66"/>
      <c r="G277" s="63"/>
      <c r="H277" s="67"/>
      <c r="I277" s="68"/>
      <c r="J277" s="68"/>
      <c r="K277" s="32" t="s">
        <v>65</v>
      </c>
      <c r="L277" s="75">
        <v>277</v>
      </c>
      <c r="M277" s="75"/>
      <c r="N277" s="70"/>
      <c r="O277" s="77" t="s">
        <v>571</v>
      </c>
      <c r="P277" s="79">
        <v>45275.6880787037</v>
      </c>
      <c r="Q277" s="77" t="s">
        <v>807</v>
      </c>
      <c r="R277" s="77">
        <v>0</v>
      </c>
      <c r="S277" s="77">
        <v>0</v>
      </c>
      <c r="T277" s="77">
        <v>0</v>
      </c>
      <c r="U277" s="77">
        <v>0</v>
      </c>
      <c r="V277" s="77">
        <v>51</v>
      </c>
      <c r="W277" s="81" t="s">
        <v>1775</v>
      </c>
      <c r="X277" s="77"/>
      <c r="Y277" s="77"/>
      <c r="Z277" s="77" t="s">
        <v>475</v>
      </c>
      <c r="AA277" s="77" t="s">
        <v>2200</v>
      </c>
      <c r="AB277" s="77" t="s">
        <v>2696</v>
      </c>
      <c r="AC277" s="81" t="s">
        <v>2707</v>
      </c>
      <c r="AD277" s="77" t="s">
        <v>2751</v>
      </c>
      <c r="AE277" s="80" t="str">
        <f>HYPERLINK("https://twitter.com/inovies/status/1735698942833185131")</f>
        <v>https://twitter.com/inovies/status/1735698942833185131</v>
      </c>
      <c r="AF277" s="79">
        <v>45275.6880787037</v>
      </c>
      <c r="AG277" s="85">
        <v>45275</v>
      </c>
      <c r="AH277" s="81" t="s">
        <v>2996</v>
      </c>
      <c r="AI277" s="77" t="b">
        <v>0</v>
      </c>
      <c r="AJ277" s="77"/>
      <c r="AK277" s="77"/>
      <c r="AL277" s="77"/>
      <c r="AM277" s="77"/>
      <c r="AN277" s="77"/>
      <c r="AO277" s="77"/>
      <c r="AP277" s="77"/>
      <c r="AQ277" s="77" t="s">
        <v>4018</v>
      </c>
      <c r="AR277" s="77"/>
      <c r="AS277" s="77"/>
      <c r="AT277" s="77"/>
      <c r="AU277" s="77"/>
      <c r="AV277" s="80" t="str">
        <f>HYPERLINK("https://pbs.twimg.com/media/GBZwcLqWwAABk7M.jpg")</f>
        <v>https://pbs.twimg.com/media/GBZwcLqWwAABk7M.jpg</v>
      </c>
      <c r="AW277" s="81" t="s">
        <v>4742</v>
      </c>
      <c r="AX277" s="81" t="s">
        <v>4742</v>
      </c>
      <c r="AY277" s="77"/>
      <c r="AZ277" s="81" t="s">
        <v>5773</v>
      </c>
      <c r="BA277" s="81" t="s">
        <v>5773</v>
      </c>
      <c r="BB277" s="81" t="s">
        <v>5773</v>
      </c>
      <c r="BC277" s="81" t="s">
        <v>4742</v>
      </c>
      <c r="BD277" s="77">
        <v>297885438</v>
      </c>
      <c r="BE277" s="77"/>
      <c r="BF277" s="77"/>
      <c r="BG277" s="77"/>
      <c r="BH277" s="77"/>
      <c r="BI277" s="77"/>
    </row>
    <row r="278" spans="1:61" ht="15">
      <c r="A278" s="62" t="s">
        <v>300</v>
      </c>
      <c r="B278" s="62" t="s">
        <v>299</v>
      </c>
      <c r="C278" s="63"/>
      <c r="D278" s="64"/>
      <c r="E278" s="65"/>
      <c r="F278" s="66"/>
      <c r="G278" s="63"/>
      <c r="H278" s="67"/>
      <c r="I278" s="68"/>
      <c r="J278" s="68"/>
      <c r="K278" s="32" t="s">
        <v>66</v>
      </c>
      <c r="L278" s="75">
        <v>278</v>
      </c>
      <c r="M278" s="75"/>
      <c r="N278" s="70"/>
      <c r="O278" s="77" t="s">
        <v>572</v>
      </c>
      <c r="P278" s="79">
        <v>41907.85356481482</v>
      </c>
      <c r="Q278" s="77" t="s">
        <v>808</v>
      </c>
      <c r="R278" s="77">
        <v>0</v>
      </c>
      <c r="S278" s="77">
        <v>0</v>
      </c>
      <c r="T278" s="77">
        <v>0</v>
      </c>
      <c r="U278" s="77">
        <v>0</v>
      </c>
      <c r="V278" s="77"/>
      <c r="W278" s="77"/>
      <c r="X278" s="77"/>
      <c r="Y278" s="77"/>
      <c r="Z278" s="77" t="s">
        <v>299</v>
      </c>
      <c r="AA278" s="77"/>
      <c r="AB278" s="77"/>
      <c r="AC278" s="81" t="s">
        <v>2701</v>
      </c>
      <c r="AD278" s="77" t="s">
        <v>2751</v>
      </c>
      <c r="AE278" s="80" t="str">
        <f>HYPERLINK("https://twitter.com/oviedojc/status/515236582170038272")</f>
        <v>https://twitter.com/oviedojc/status/515236582170038272</v>
      </c>
      <c r="AF278" s="79">
        <v>41907.85356481482</v>
      </c>
      <c r="AG278" s="85">
        <v>41907</v>
      </c>
      <c r="AH278" s="81" t="s">
        <v>2997</v>
      </c>
      <c r="AI278" s="77"/>
      <c r="AJ278" s="77"/>
      <c r="AK278" s="77"/>
      <c r="AL278" s="77"/>
      <c r="AM278" s="77"/>
      <c r="AN278" s="77"/>
      <c r="AO278" s="77"/>
      <c r="AP278" s="77"/>
      <c r="AQ278" s="77"/>
      <c r="AR278" s="77"/>
      <c r="AS278" s="77"/>
      <c r="AT278" s="77"/>
      <c r="AU278" s="77"/>
      <c r="AV278" s="80" t="str">
        <f>HYPERLINK("https://pbs.twimg.com/profile_images/956110760505106432/16Pa3js-_normal.jpg")</f>
        <v>https://pbs.twimg.com/profile_images/956110760505106432/16Pa3js-_normal.jpg</v>
      </c>
      <c r="AW278" s="81" t="s">
        <v>4743</v>
      </c>
      <c r="AX278" s="81" t="s">
        <v>4744</v>
      </c>
      <c r="AY278" s="81" t="s">
        <v>5721</v>
      </c>
      <c r="AZ278" s="81" t="s">
        <v>4745</v>
      </c>
      <c r="BA278" s="81" t="s">
        <v>5773</v>
      </c>
      <c r="BB278" s="81" t="s">
        <v>5773</v>
      </c>
      <c r="BC278" s="81" t="s">
        <v>4745</v>
      </c>
      <c r="BD278" s="77">
        <v>23606131</v>
      </c>
      <c r="BE278" s="77"/>
      <c r="BF278" s="77"/>
      <c r="BG278" s="77"/>
      <c r="BH278" s="77"/>
      <c r="BI278" s="77"/>
    </row>
    <row r="279" spans="1:61" ht="15">
      <c r="A279" s="62" t="s">
        <v>300</v>
      </c>
      <c r="B279" s="62" t="s">
        <v>299</v>
      </c>
      <c r="C279" s="63"/>
      <c r="D279" s="64"/>
      <c r="E279" s="65"/>
      <c r="F279" s="66"/>
      <c r="G279" s="63"/>
      <c r="H279" s="67"/>
      <c r="I279" s="68"/>
      <c r="J279" s="68"/>
      <c r="K279" s="32" t="s">
        <v>66</v>
      </c>
      <c r="L279" s="75">
        <v>279</v>
      </c>
      <c r="M279" s="75"/>
      <c r="N279" s="70"/>
      <c r="O279" s="77" t="s">
        <v>571</v>
      </c>
      <c r="P279" s="79">
        <v>41905.9828587963</v>
      </c>
      <c r="Q279" s="77" t="s">
        <v>809</v>
      </c>
      <c r="R279" s="77">
        <v>0</v>
      </c>
      <c r="S279" s="77">
        <v>0</v>
      </c>
      <c r="T279" s="77">
        <v>1</v>
      </c>
      <c r="U279" s="77">
        <v>0</v>
      </c>
      <c r="V279" s="77"/>
      <c r="W279" s="77"/>
      <c r="X279" s="77"/>
      <c r="Y279" s="77"/>
      <c r="Z279" s="77" t="s">
        <v>299</v>
      </c>
      <c r="AA279" s="77"/>
      <c r="AB279" s="77"/>
      <c r="AC279" s="81" t="s">
        <v>2705</v>
      </c>
      <c r="AD279" s="77" t="s">
        <v>2751</v>
      </c>
      <c r="AE279" s="80" t="str">
        <f>HYPERLINK("https://twitter.com/oviedojc/status/514558660761354241")</f>
        <v>https://twitter.com/oviedojc/status/514558660761354241</v>
      </c>
      <c r="AF279" s="79">
        <v>41905.9828587963</v>
      </c>
      <c r="AG279" s="85">
        <v>41905</v>
      </c>
      <c r="AH279" s="81" t="s">
        <v>2998</v>
      </c>
      <c r="AI279" s="77"/>
      <c r="AJ279" s="77"/>
      <c r="AK279" s="77"/>
      <c r="AL279" s="77"/>
      <c r="AM279" s="77"/>
      <c r="AN279" s="77"/>
      <c r="AO279" s="77"/>
      <c r="AP279" s="77"/>
      <c r="AQ279" s="77"/>
      <c r="AR279" s="77"/>
      <c r="AS279" s="77"/>
      <c r="AT279" s="77"/>
      <c r="AU279" s="77"/>
      <c r="AV279" s="80" t="str">
        <f>HYPERLINK("https://pbs.twimg.com/profile_images/956110760505106432/16Pa3js-_normal.jpg")</f>
        <v>https://pbs.twimg.com/profile_images/956110760505106432/16Pa3js-_normal.jpg</v>
      </c>
      <c r="AW279" s="81" t="s">
        <v>4744</v>
      </c>
      <c r="AX279" s="81" t="s">
        <v>4744</v>
      </c>
      <c r="AY279" s="81" t="s">
        <v>5721</v>
      </c>
      <c r="AZ279" s="81" t="s">
        <v>5773</v>
      </c>
      <c r="BA279" s="81" t="s">
        <v>5773</v>
      </c>
      <c r="BB279" s="81" t="s">
        <v>5773</v>
      </c>
      <c r="BC279" s="81" t="s">
        <v>4744</v>
      </c>
      <c r="BD279" s="77">
        <v>23606131</v>
      </c>
      <c r="BE279" s="77"/>
      <c r="BF279" s="77"/>
      <c r="BG279" s="77"/>
      <c r="BH279" s="77"/>
      <c r="BI279" s="77"/>
    </row>
    <row r="280" spans="1:61" ht="15">
      <c r="A280" s="62" t="s">
        <v>299</v>
      </c>
      <c r="B280" s="62" t="s">
        <v>300</v>
      </c>
      <c r="C280" s="63"/>
      <c r="D280" s="64"/>
      <c r="E280" s="65"/>
      <c r="F280" s="66"/>
      <c r="G280" s="63"/>
      <c r="H280" s="67"/>
      <c r="I280" s="68"/>
      <c r="J280" s="68"/>
      <c r="K280" s="32" t="s">
        <v>66</v>
      </c>
      <c r="L280" s="75">
        <v>280</v>
      </c>
      <c r="M280" s="75"/>
      <c r="N280" s="70"/>
      <c r="O280" s="77" t="s">
        <v>572</v>
      </c>
      <c r="P280" s="79">
        <v>41907.75707175926</v>
      </c>
      <c r="Q280" s="77" t="s">
        <v>810</v>
      </c>
      <c r="R280" s="77">
        <v>0</v>
      </c>
      <c r="S280" s="77">
        <v>0</v>
      </c>
      <c r="T280" s="77">
        <v>1</v>
      </c>
      <c r="U280" s="77">
        <v>0</v>
      </c>
      <c r="V280" s="77"/>
      <c r="W280" s="77"/>
      <c r="X280" s="77"/>
      <c r="Y280" s="77"/>
      <c r="Z280" s="77" t="s">
        <v>300</v>
      </c>
      <c r="AA280" s="77"/>
      <c r="AB280" s="77"/>
      <c r="AC280" s="81" t="s">
        <v>2727</v>
      </c>
      <c r="AD280" s="77" t="s">
        <v>2751</v>
      </c>
      <c r="AE280" s="80" t="str">
        <f>HYPERLINK("https://twitter.com/inovies/status/515201614882172928")</f>
        <v>https://twitter.com/inovies/status/515201614882172928</v>
      </c>
      <c r="AF280" s="79">
        <v>41907.75707175926</v>
      </c>
      <c r="AG280" s="85">
        <v>41907</v>
      </c>
      <c r="AH280" s="81" t="s">
        <v>2999</v>
      </c>
      <c r="AI280" s="77"/>
      <c r="AJ280" s="77"/>
      <c r="AK280" s="77"/>
      <c r="AL280" s="77"/>
      <c r="AM280" s="77"/>
      <c r="AN280" s="77"/>
      <c r="AO280" s="77"/>
      <c r="AP280" s="77"/>
      <c r="AQ280" s="77"/>
      <c r="AR280" s="77"/>
      <c r="AS280" s="77"/>
      <c r="AT280" s="77"/>
      <c r="AU280" s="77"/>
      <c r="AV280" s="80" t="str">
        <f>HYPERLINK("https://pbs.twimg.com/profile_images/833576943677214720/5ZyUgpEJ_normal.jpg")</f>
        <v>https://pbs.twimg.com/profile_images/833576943677214720/5ZyUgpEJ_normal.jpg</v>
      </c>
      <c r="AW280" s="81" t="s">
        <v>4745</v>
      </c>
      <c r="AX280" s="81" t="s">
        <v>4744</v>
      </c>
      <c r="AY280" s="81" t="s">
        <v>5739</v>
      </c>
      <c r="AZ280" s="81" t="s">
        <v>4744</v>
      </c>
      <c r="BA280" s="81" t="s">
        <v>5773</v>
      </c>
      <c r="BB280" s="81" t="s">
        <v>5773</v>
      </c>
      <c r="BC280" s="81" t="s">
        <v>4744</v>
      </c>
      <c r="BD280" s="77">
        <v>297885438</v>
      </c>
      <c r="BE280" s="77"/>
      <c r="BF280" s="77"/>
      <c r="BG280" s="77"/>
      <c r="BH280" s="77"/>
      <c r="BI280" s="77"/>
    </row>
    <row r="281" spans="1:61" ht="15">
      <c r="A281" s="62" t="s">
        <v>299</v>
      </c>
      <c r="B281" s="62" t="s">
        <v>476</v>
      </c>
      <c r="C281" s="63"/>
      <c r="D281" s="64"/>
      <c r="E281" s="65"/>
      <c r="F281" s="66"/>
      <c r="G281" s="63"/>
      <c r="H281" s="67"/>
      <c r="I281" s="68"/>
      <c r="J281" s="68"/>
      <c r="K281" s="32" t="s">
        <v>65</v>
      </c>
      <c r="L281" s="75">
        <v>281</v>
      </c>
      <c r="M281" s="75"/>
      <c r="N281" s="70"/>
      <c r="O281" s="77" t="s">
        <v>571</v>
      </c>
      <c r="P281" s="79">
        <v>41897.520370370374</v>
      </c>
      <c r="Q281" s="77" t="s">
        <v>811</v>
      </c>
      <c r="R281" s="77">
        <v>0</v>
      </c>
      <c r="S281" s="77">
        <v>0</v>
      </c>
      <c r="T281" s="77">
        <v>0</v>
      </c>
      <c r="U281" s="77">
        <v>0</v>
      </c>
      <c r="V281" s="77"/>
      <c r="W281" s="77"/>
      <c r="X281" s="80" t="str">
        <f>HYPERLINK("http://www.inovies.com/10-simple-ways-to-drive-better-quality-leads-from-your-website-78-inovies.html")</f>
        <v>http://www.inovies.com/10-simple-ways-to-drive-better-quality-leads-from-your-website-78-inovies.html</v>
      </c>
      <c r="Y281" s="77" t="s">
        <v>1982</v>
      </c>
      <c r="Z281" s="77" t="s">
        <v>476</v>
      </c>
      <c r="AA281" s="77"/>
      <c r="AB281" s="77"/>
      <c r="AC281" s="81" t="s">
        <v>2705</v>
      </c>
      <c r="AD281" s="77" t="s">
        <v>2751</v>
      </c>
      <c r="AE281" s="80" t="str">
        <f>HYPERLINK("https://twitter.com/inovies/status/511491957114146817")</f>
        <v>https://twitter.com/inovies/status/511491957114146817</v>
      </c>
      <c r="AF281" s="79">
        <v>41897.520370370374</v>
      </c>
      <c r="AG281" s="85">
        <v>41897</v>
      </c>
      <c r="AH281" s="81" t="s">
        <v>3000</v>
      </c>
      <c r="AI281" s="77" t="b">
        <v>0</v>
      </c>
      <c r="AJ281" s="77"/>
      <c r="AK281" s="77"/>
      <c r="AL281" s="77"/>
      <c r="AM281" s="77"/>
      <c r="AN281" s="77"/>
      <c r="AO281" s="77"/>
      <c r="AP281" s="77"/>
      <c r="AQ281" s="77"/>
      <c r="AR281" s="77"/>
      <c r="AS281" s="77"/>
      <c r="AT281" s="77"/>
      <c r="AU281" s="77"/>
      <c r="AV281" s="80" t="str">
        <f>HYPERLINK("https://pbs.twimg.com/profile_images/833576943677214720/5ZyUgpEJ_normal.jpg")</f>
        <v>https://pbs.twimg.com/profile_images/833576943677214720/5ZyUgpEJ_normal.jpg</v>
      </c>
      <c r="AW281" s="81" t="s">
        <v>4746</v>
      </c>
      <c r="AX281" s="81" t="s">
        <v>4746</v>
      </c>
      <c r="AY281" s="77"/>
      <c r="AZ281" s="81" t="s">
        <v>5773</v>
      </c>
      <c r="BA281" s="81" t="s">
        <v>5773</v>
      </c>
      <c r="BB281" s="81" t="s">
        <v>5773</v>
      </c>
      <c r="BC281" s="81" t="s">
        <v>4746</v>
      </c>
      <c r="BD281" s="77">
        <v>297885438</v>
      </c>
      <c r="BE281" s="77"/>
      <c r="BF281" s="77"/>
      <c r="BG281" s="77"/>
      <c r="BH281" s="77"/>
      <c r="BI281" s="77"/>
    </row>
    <row r="282" spans="1:61" ht="15">
      <c r="A282" s="62" t="s">
        <v>299</v>
      </c>
      <c r="B282" s="62" t="s">
        <v>477</v>
      </c>
      <c r="C282" s="63"/>
      <c r="D282" s="64"/>
      <c r="E282" s="65"/>
      <c r="F282" s="66"/>
      <c r="G282" s="63"/>
      <c r="H282" s="67"/>
      <c r="I282" s="68"/>
      <c r="J282" s="68"/>
      <c r="K282" s="32" t="s">
        <v>65</v>
      </c>
      <c r="L282" s="75">
        <v>282</v>
      </c>
      <c r="M282" s="75"/>
      <c r="N282" s="70"/>
      <c r="O282" s="77" t="s">
        <v>571</v>
      </c>
      <c r="P282" s="79">
        <v>41897.51956018519</v>
      </c>
      <c r="Q282" s="77" t="s">
        <v>812</v>
      </c>
      <c r="R282" s="77">
        <v>0</v>
      </c>
      <c r="S282" s="77">
        <v>0</v>
      </c>
      <c r="T282" s="77">
        <v>0</v>
      </c>
      <c r="U282" s="77">
        <v>0</v>
      </c>
      <c r="V282" s="77"/>
      <c r="W282" s="77"/>
      <c r="X282" s="80" t="str">
        <f>HYPERLINK("http://www.inovies.com/10-simple-ways-to-drive-better-quality-leads-from-your-website-78-inovies.html")</f>
        <v>http://www.inovies.com/10-simple-ways-to-drive-better-quality-leads-from-your-website-78-inovies.html</v>
      </c>
      <c r="Y282" s="77" t="s">
        <v>1982</v>
      </c>
      <c r="Z282" s="77" t="s">
        <v>477</v>
      </c>
      <c r="AA282" s="77"/>
      <c r="AB282" s="77"/>
      <c r="AC282" s="81" t="s">
        <v>2705</v>
      </c>
      <c r="AD282" s="77" t="s">
        <v>2751</v>
      </c>
      <c r="AE282" s="80" t="str">
        <f>HYPERLINK("https://twitter.com/inovies/status/511491663068266496")</f>
        <v>https://twitter.com/inovies/status/511491663068266496</v>
      </c>
      <c r="AF282" s="79">
        <v>41897.51956018519</v>
      </c>
      <c r="AG282" s="85">
        <v>41897</v>
      </c>
      <c r="AH282" s="81" t="s">
        <v>3001</v>
      </c>
      <c r="AI282" s="77" t="b">
        <v>0</v>
      </c>
      <c r="AJ282" s="77"/>
      <c r="AK282" s="77"/>
      <c r="AL282" s="77"/>
      <c r="AM282" s="77"/>
      <c r="AN282" s="77"/>
      <c r="AO282" s="77"/>
      <c r="AP282" s="77"/>
      <c r="AQ282" s="77"/>
      <c r="AR282" s="77"/>
      <c r="AS282" s="77"/>
      <c r="AT282" s="77"/>
      <c r="AU282" s="77"/>
      <c r="AV282" s="80" t="str">
        <f>HYPERLINK("https://pbs.twimg.com/profile_images/833576943677214720/5ZyUgpEJ_normal.jpg")</f>
        <v>https://pbs.twimg.com/profile_images/833576943677214720/5ZyUgpEJ_normal.jpg</v>
      </c>
      <c r="AW282" s="81" t="s">
        <v>4747</v>
      </c>
      <c r="AX282" s="81" t="s">
        <v>4747</v>
      </c>
      <c r="AY282" s="77"/>
      <c r="AZ282" s="81" t="s">
        <v>5773</v>
      </c>
      <c r="BA282" s="81" t="s">
        <v>5773</v>
      </c>
      <c r="BB282" s="81" t="s">
        <v>5773</v>
      </c>
      <c r="BC282" s="81" t="s">
        <v>4747</v>
      </c>
      <c r="BD282" s="77">
        <v>297885438</v>
      </c>
      <c r="BE282" s="77"/>
      <c r="BF282" s="77"/>
      <c r="BG282" s="77"/>
      <c r="BH282" s="77"/>
      <c r="BI282" s="77"/>
    </row>
    <row r="283" spans="1:61" ht="15">
      <c r="A283" s="62" t="s">
        <v>299</v>
      </c>
      <c r="B283" s="62" t="s">
        <v>478</v>
      </c>
      <c r="C283" s="63"/>
      <c r="D283" s="64"/>
      <c r="E283" s="65"/>
      <c r="F283" s="66"/>
      <c r="G283" s="63"/>
      <c r="H283" s="67"/>
      <c r="I283" s="68"/>
      <c r="J283" s="68"/>
      <c r="K283" s="32" t="s">
        <v>65</v>
      </c>
      <c r="L283" s="75">
        <v>283</v>
      </c>
      <c r="M283" s="75"/>
      <c r="N283" s="70"/>
      <c r="O283" s="77" t="s">
        <v>572</v>
      </c>
      <c r="P283" s="79">
        <v>45279.180185185185</v>
      </c>
      <c r="Q283" s="77" t="s">
        <v>813</v>
      </c>
      <c r="R283" s="77">
        <v>0</v>
      </c>
      <c r="S283" s="77">
        <v>1</v>
      </c>
      <c r="T283" s="77">
        <v>0</v>
      </c>
      <c r="U283" s="77">
        <v>0</v>
      </c>
      <c r="V283" s="77">
        <v>8</v>
      </c>
      <c r="W283" s="77"/>
      <c r="X283" s="77"/>
      <c r="Y283" s="77"/>
      <c r="Z283" s="77" t="s">
        <v>478</v>
      </c>
      <c r="AA283" s="77"/>
      <c r="AB283" s="77"/>
      <c r="AC283" s="81" t="s">
        <v>2707</v>
      </c>
      <c r="AD283" s="77" t="s">
        <v>2751</v>
      </c>
      <c r="AE283" s="80" t="str">
        <f>HYPERLINK("https://twitter.com/inovies/status/1736964438920507515")</f>
        <v>https://twitter.com/inovies/status/1736964438920507515</v>
      </c>
      <c r="AF283" s="79">
        <v>45279.180185185185</v>
      </c>
      <c r="AG283" s="85">
        <v>45279</v>
      </c>
      <c r="AH283" s="81" t="s">
        <v>3002</v>
      </c>
      <c r="AI283" s="77"/>
      <c r="AJ283" s="77"/>
      <c r="AK283" s="77"/>
      <c r="AL283" s="77"/>
      <c r="AM283" s="77"/>
      <c r="AN283" s="77"/>
      <c r="AO283" s="77"/>
      <c r="AP283" s="77"/>
      <c r="AQ283" s="77"/>
      <c r="AR283" s="77"/>
      <c r="AS283" s="77"/>
      <c r="AT283" s="77"/>
      <c r="AU283" s="77"/>
      <c r="AV283" s="80" t="str">
        <f>HYPERLINK("https://pbs.twimg.com/profile_images/833576943677214720/5ZyUgpEJ_normal.jpg")</f>
        <v>https://pbs.twimg.com/profile_images/833576943677214720/5ZyUgpEJ_normal.jpg</v>
      </c>
      <c r="AW283" s="81" t="s">
        <v>4748</v>
      </c>
      <c r="AX283" s="81" t="s">
        <v>5690</v>
      </c>
      <c r="AY283" s="81" t="s">
        <v>5740</v>
      </c>
      <c r="AZ283" s="81" t="s">
        <v>5690</v>
      </c>
      <c r="BA283" s="81" t="s">
        <v>5773</v>
      </c>
      <c r="BB283" s="81" t="s">
        <v>5773</v>
      </c>
      <c r="BC283" s="81" t="s">
        <v>5690</v>
      </c>
      <c r="BD283" s="77">
        <v>297885438</v>
      </c>
      <c r="BE283" s="77"/>
      <c r="BF283" s="77"/>
      <c r="BG283" s="77"/>
      <c r="BH283" s="77"/>
      <c r="BI283" s="77"/>
    </row>
    <row r="284" spans="1:61" ht="15">
      <c r="A284" s="62" t="s">
        <v>299</v>
      </c>
      <c r="B284" s="62" t="s">
        <v>479</v>
      </c>
      <c r="C284" s="63"/>
      <c r="D284" s="64"/>
      <c r="E284" s="65"/>
      <c r="F284" s="66"/>
      <c r="G284" s="63"/>
      <c r="H284" s="67"/>
      <c r="I284" s="68"/>
      <c r="J284" s="68"/>
      <c r="K284" s="32" t="s">
        <v>65</v>
      </c>
      <c r="L284" s="75">
        <v>284</v>
      </c>
      <c r="M284" s="75"/>
      <c r="N284" s="70"/>
      <c r="O284" s="77" t="s">
        <v>571</v>
      </c>
      <c r="P284" s="79">
        <v>45275.68393518519</v>
      </c>
      <c r="Q284" s="77" t="s">
        <v>814</v>
      </c>
      <c r="R284" s="77">
        <v>0</v>
      </c>
      <c r="S284" s="77">
        <v>0</v>
      </c>
      <c r="T284" s="77">
        <v>0</v>
      </c>
      <c r="U284" s="77">
        <v>0</v>
      </c>
      <c r="V284" s="77">
        <v>26</v>
      </c>
      <c r="W284" s="81" t="s">
        <v>1776</v>
      </c>
      <c r="X284" s="80" t="str">
        <f>HYPERLINK("https://cnn.com/interactive/2023/12/politics/missing-russia-intelligence-trump-dg/")</f>
        <v>https://cnn.com/interactive/2023/12/politics/missing-russia-intelligence-trump-dg/</v>
      </c>
      <c r="Y284" s="77" t="s">
        <v>2003</v>
      </c>
      <c r="Z284" s="77" t="s">
        <v>2073</v>
      </c>
      <c r="AA284" s="77"/>
      <c r="AB284" s="77"/>
      <c r="AC284" s="81" t="s">
        <v>2707</v>
      </c>
      <c r="AD284" s="77" t="s">
        <v>2751</v>
      </c>
      <c r="AE284" s="80" t="str">
        <f>HYPERLINK("https://twitter.com/inovies/status/1735697442425778239")</f>
        <v>https://twitter.com/inovies/status/1735697442425778239</v>
      </c>
      <c r="AF284" s="79">
        <v>45275.68393518519</v>
      </c>
      <c r="AG284" s="85">
        <v>45275</v>
      </c>
      <c r="AH284" s="81" t="s">
        <v>3003</v>
      </c>
      <c r="AI284" s="77" t="b">
        <v>0</v>
      </c>
      <c r="AJ284" s="77"/>
      <c r="AK284" s="77"/>
      <c r="AL284" s="77"/>
      <c r="AM284" s="77"/>
      <c r="AN284" s="77"/>
      <c r="AO284" s="77"/>
      <c r="AP284" s="77"/>
      <c r="AQ284" s="77"/>
      <c r="AR284" s="77"/>
      <c r="AS284" s="77"/>
      <c r="AT284" s="77"/>
      <c r="AU284" s="77"/>
      <c r="AV284" s="80" t="str">
        <f>HYPERLINK("https://pbs.twimg.com/profile_images/833576943677214720/5ZyUgpEJ_normal.jpg")</f>
        <v>https://pbs.twimg.com/profile_images/833576943677214720/5ZyUgpEJ_normal.jpg</v>
      </c>
      <c r="AW284" s="81" t="s">
        <v>4749</v>
      </c>
      <c r="AX284" s="81" t="s">
        <v>4749</v>
      </c>
      <c r="AY284" s="77"/>
      <c r="AZ284" s="81" t="s">
        <v>5773</v>
      </c>
      <c r="BA284" s="81" t="s">
        <v>5773</v>
      </c>
      <c r="BB284" s="81" t="s">
        <v>5773</v>
      </c>
      <c r="BC284" s="81" t="s">
        <v>4749</v>
      </c>
      <c r="BD284" s="77">
        <v>297885438</v>
      </c>
      <c r="BE284" s="77"/>
      <c r="BF284" s="77"/>
      <c r="BG284" s="77"/>
      <c r="BH284" s="77"/>
      <c r="BI284" s="77"/>
    </row>
    <row r="285" spans="1:61" ht="15">
      <c r="A285" s="62" t="s">
        <v>299</v>
      </c>
      <c r="B285" s="62" t="s">
        <v>480</v>
      </c>
      <c r="C285" s="63"/>
      <c r="D285" s="64"/>
      <c r="E285" s="65"/>
      <c r="F285" s="66"/>
      <c r="G285" s="63"/>
      <c r="H285" s="67"/>
      <c r="I285" s="68"/>
      <c r="J285" s="68"/>
      <c r="K285" s="32" t="s">
        <v>65</v>
      </c>
      <c r="L285" s="75">
        <v>285</v>
      </c>
      <c r="M285" s="75"/>
      <c r="N285" s="70"/>
      <c r="O285" s="77" t="s">
        <v>571</v>
      </c>
      <c r="P285" s="79">
        <v>45275.68393518519</v>
      </c>
      <c r="Q285" s="77" t="s">
        <v>814</v>
      </c>
      <c r="R285" s="77">
        <v>0</v>
      </c>
      <c r="S285" s="77">
        <v>0</v>
      </c>
      <c r="T285" s="77">
        <v>0</v>
      </c>
      <c r="U285" s="77">
        <v>0</v>
      </c>
      <c r="V285" s="77">
        <v>26</v>
      </c>
      <c r="W285" s="81" t="s">
        <v>1776</v>
      </c>
      <c r="X285" s="80" t="str">
        <f>HYPERLINK("https://cnn.com/interactive/2023/12/politics/missing-russia-intelligence-trump-dg/")</f>
        <v>https://cnn.com/interactive/2023/12/politics/missing-russia-intelligence-trump-dg/</v>
      </c>
      <c r="Y285" s="77" t="s">
        <v>2003</v>
      </c>
      <c r="Z285" s="77" t="s">
        <v>2073</v>
      </c>
      <c r="AA285" s="77"/>
      <c r="AB285" s="77"/>
      <c r="AC285" s="81" t="s">
        <v>2707</v>
      </c>
      <c r="AD285" s="77" t="s">
        <v>2751</v>
      </c>
      <c r="AE285" s="80" t="str">
        <f>HYPERLINK("https://twitter.com/inovies/status/1735697442425778239")</f>
        <v>https://twitter.com/inovies/status/1735697442425778239</v>
      </c>
      <c r="AF285" s="79">
        <v>45275.68393518519</v>
      </c>
      <c r="AG285" s="85">
        <v>45275</v>
      </c>
      <c r="AH285" s="81" t="s">
        <v>3003</v>
      </c>
      <c r="AI285" s="77" t="b">
        <v>0</v>
      </c>
      <c r="AJ285" s="77"/>
      <c r="AK285" s="77"/>
      <c r="AL285" s="77"/>
      <c r="AM285" s="77"/>
      <c r="AN285" s="77"/>
      <c r="AO285" s="77"/>
      <c r="AP285" s="77"/>
      <c r="AQ285" s="77"/>
      <c r="AR285" s="77"/>
      <c r="AS285" s="77"/>
      <c r="AT285" s="77"/>
      <c r="AU285" s="77"/>
      <c r="AV285" s="80" t="str">
        <f>HYPERLINK("https://pbs.twimg.com/profile_images/833576943677214720/5ZyUgpEJ_normal.jpg")</f>
        <v>https://pbs.twimg.com/profile_images/833576943677214720/5ZyUgpEJ_normal.jpg</v>
      </c>
      <c r="AW285" s="81" t="s">
        <v>4749</v>
      </c>
      <c r="AX285" s="81" t="s">
        <v>4749</v>
      </c>
      <c r="AY285" s="77"/>
      <c r="AZ285" s="81" t="s">
        <v>5773</v>
      </c>
      <c r="BA285" s="81" t="s">
        <v>5773</v>
      </c>
      <c r="BB285" s="81" t="s">
        <v>5773</v>
      </c>
      <c r="BC285" s="81" t="s">
        <v>4749</v>
      </c>
      <c r="BD285" s="77">
        <v>297885438</v>
      </c>
      <c r="BE285" s="77"/>
      <c r="BF285" s="77"/>
      <c r="BG285" s="77"/>
      <c r="BH285" s="77"/>
      <c r="BI285" s="77"/>
    </row>
    <row r="286" spans="1:61" ht="15">
      <c r="A286" s="62" t="s">
        <v>299</v>
      </c>
      <c r="B286" s="62" t="s">
        <v>481</v>
      </c>
      <c r="C286" s="63"/>
      <c r="D286" s="64"/>
      <c r="E286" s="65"/>
      <c r="F286" s="66"/>
      <c r="G286" s="63"/>
      <c r="H286" s="67"/>
      <c r="I286" s="68"/>
      <c r="J286" s="68"/>
      <c r="K286" s="32" t="s">
        <v>65</v>
      </c>
      <c r="L286" s="75">
        <v>286</v>
      </c>
      <c r="M286" s="75"/>
      <c r="N286" s="70"/>
      <c r="O286" s="77" t="s">
        <v>571</v>
      </c>
      <c r="P286" s="79">
        <v>45275.68393518519</v>
      </c>
      <c r="Q286" s="77" t="s">
        <v>814</v>
      </c>
      <c r="R286" s="77">
        <v>0</v>
      </c>
      <c r="S286" s="77">
        <v>0</v>
      </c>
      <c r="T286" s="77">
        <v>0</v>
      </c>
      <c r="U286" s="77">
        <v>0</v>
      </c>
      <c r="V286" s="77">
        <v>26</v>
      </c>
      <c r="W286" s="81" t="s">
        <v>1776</v>
      </c>
      <c r="X286" s="80" t="str">
        <f>HYPERLINK("https://cnn.com/interactive/2023/12/politics/missing-russia-intelligence-trump-dg/")</f>
        <v>https://cnn.com/interactive/2023/12/politics/missing-russia-intelligence-trump-dg/</v>
      </c>
      <c r="Y286" s="77" t="s">
        <v>2003</v>
      </c>
      <c r="Z286" s="77" t="s">
        <v>2073</v>
      </c>
      <c r="AA286" s="77"/>
      <c r="AB286" s="77"/>
      <c r="AC286" s="81" t="s">
        <v>2707</v>
      </c>
      <c r="AD286" s="77" t="s">
        <v>2751</v>
      </c>
      <c r="AE286" s="80" t="str">
        <f>HYPERLINK("https://twitter.com/inovies/status/1735697442425778239")</f>
        <v>https://twitter.com/inovies/status/1735697442425778239</v>
      </c>
      <c r="AF286" s="79">
        <v>45275.68393518519</v>
      </c>
      <c r="AG286" s="85">
        <v>45275</v>
      </c>
      <c r="AH286" s="81" t="s">
        <v>3003</v>
      </c>
      <c r="AI286" s="77" t="b">
        <v>0</v>
      </c>
      <c r="AJ286" s="77"/>
      <c r="AK286" s="77"/>
      <c r="AL286" s="77"/>
      <c r="AM286" s="77"/>
      <c r="AN286" s="77"/>
      <c r="AO286" s="77"/>
      <c r="AP286" s="77"/>
      <c r="AQ286" s="77"/>
      <c r="AR286" s="77"/>
      <c r="AS286" s="77"/>
      <c r="AT286" s="77"/>
      <c r="AU286" s="77"/>
      <c r="AV286" s="80" t="str">
        <f>HYPERLINK("https://pbs.twimg.com/profile_images/833576943677214720/5ZyUgpEJ_normal.jpg")</f>
        <v>https://pbs.twimg.com/profile_images/833576943677214720/5ZyUgpEJ_normal.jpg</v>
      </c>
      <c r="AW286" s="81" t="s">
        <v>4749</v>
      </c>
      <c r="AX286" s="81" t="s">
        <v>4749</v>
      </c>
      <c r="AY286" s="77"/>
      <c r="AZ286" s="81" t="s">
        <v>5773</v>
      </c>
      <c r="BA286" s="81" t="s">
        <v>5773</v>
      </c>
      <c r="BB286" s="81" t="s">
        <v>5773</v>
      </c>
      <c r="BC286" s="81" t="s">
        <v>4749</v>
      </c>
      <c r="BD286" s="77">
        <v>297885438</v>
      </c>
      <c r="BE286" s="77"/>
      <c r="BF286" s="77"/>
      <c r="BG286" s="77"/>
      <c r="BH286" s="77"/>
      <c r="BI286" s="77"/>
    </row>
    <row r="287" spans="1:61" ht="15">
      <c r="A287" s="62" t="s">
        <v>299</v>
      </c>
      <c r="B287" s="62" t="s">
        <v>482</v>
      </c>
      <c r="C287" s="63"/>
      <c r="D287" s="64"/>
      <c r="E287" s="65"/>
      <c r="F287" s="66"/>
      <c r="G287" s="63"/>
      <c r="H287" s="67"/>
      <c r="I287" s="68"/>
      <c r="J287" s="68"/>
      <c r="K287" s="32" t="s">
        <v>65</v>
      </c>
      <c r="L287" s="75">
        <v>287</v>
      </c>
      <c r="M287" s="75"/>
      <c r="N287" s="70"/>
      <c r="O287" s="77" t="s">
        <v>571</v>
      </c>
      <c r="P287" s="79">
        <v>45275.68393518519</v>
      </c>
      <c r="Q287" s="77" t="s">
        <v>814</v>
      </c>
      <c r="R287" s="77">
        <v>0</v>
      </c>
      <c r="S287" s="77">
        <v>0</v>
      </c>
      <c r="T287" s="77">
        <v>0</v>
      </c>
      <c r="U287" s="77">
        <v>0</v>
      </c>
      <c r="V287" s="77">
        <v>26</v>
      </c>
      <c r="W287" s="81" t="s">
        <v>1776</v>
      </c>
      <c r="X287" s="80" t="str">
        <f>HYPERLINK("https://cnn.com/interactive/2023/12/politics/missing-russia-intelligence-trump-dg/")</f>
        <v>https://cnn.com/interactive/2023/12/politics/missing-russia-intelligence-trump-dg/</v>
      </c>
      <c r="Y287" s="77" t="s">
        <v>2003</v>
      </c>
      <c r="Z287" s="77" t="s">
        <v>2073</v>
      </c>
      <c r="AA287" s="77"/>
      <c r="AB287" s="77"/>
      <c r="AC287" s="81" t="s">
        <v>2707</v>
      </c>
      <c r="AD287" s="77" t="s">
        <v>2751</v>
      </c>
      <c r="AE287" s="80" t="str">
        <f>HYPERLINK("https://twitter.com/inovies/status/1735697442425778239")</f>
        <v>https://twitter.com/inovies/status/1735697442425778239</v>
      </c>
      <c r="AF287" s="79">
        <v>45275.68393518519</v>
      </c>
      <c r="AG287" s="85">
        <v>45275</v>
      </c>
      <c r="AH287" s="81" t="s">
        <v>3003</v>
      </c>
      <c r="AI287" s="77" t="b">
        <v>0</v>
      </c>
      <c r="AJ287" s="77"/>
      <c r="AK287" s="77"/>
      <c r="AL287" s="77"/>
      <c r="AM287" s="77"/>
      <c r="AN287" s="77"/>
      <c r="AO287" s="77"/>
      <c r="AP287" s="77"/>
      <c r="AQ287" s="77"/>
      <c r="AR287" s="77"/>
      <c r="AS287" s="77"/>
      <c r="AT287" s="77"/>
      <c r="AU287" s="77"/>
      <c r="AV287" s="80" t="str">
        <f>HYPERLINK("https://pbs.twimg.com/profile_images/833576943677214720/5ZyUgpEJ_normal.jpg")</f>
        <v>https://pbs.twimg.com/profile_images/833576943677214720/5ZyUgpEJ_normal.jpg</v>
      </c>
      <c r="AW287" s="81" t="s">
        <v>4749</v>
      </c>
      <c r="AX287" s="81" t="s">
        <v>4749</v>
      </c>
      <c r="AY287" s="77"/>
      <c r="AZ287" s="81" t="s">
        <v>5773</v>
      </c>
      <c r="BA287" s="81" t="s">
        <v>5773</v>
      </c>
      <c r="BB287" s="81" t="s">
        <v>5773</v>
      </c>
      <c r="BC287" s="81" t="s">
        <v>4749</v>
      </c>
      <c r="BD287" s="77">
        <v>297885438</v>
      </c>
      <c r="BE287" s="77"/>
      <c r="BF287" s="77"/>
      <c r="BG287" s="77"/>
      <c r="BH287" s="77"/>
      <c r="BI287" s="77"/>
    </row>
    <row r="288" spans="1:61" ht="15">
      <c r="A288" s="62" t="s">
        <v>299</v>
      </c>
      <c r="B288" s="62" t="s">
        <v>483</v>
      </c>
      <c r="C288" s="63"/>
      <c r="D288" s="64"/>
      <c r="E288" s="65"/>
      <c r="F288" s="66"/>
      <c r="G288" s="63"/>
      <c r="H288" s="67"/>
      <c r="I288" s="68"/>
      <c r="J288" s="68"/>
      <c r="K288" s="32" t="s">
        <v>65</v>
      </c>
      <c r="L288" s="75">
        <v>288</v>
      </c>
      <c r="M288" s="75"/>
      <c r="N288" s="70"/>
      <c r="O288" s="77" t="s">
        <v>571</v>
      </c>
      <c r="P288" s="79">
        <v>45275.68393518519</v>
      </c>
      <c r="Q288" s="77" t="s">
        <v>814</v>
      </c>
      <c r="R288" s="77">
        <v>0</v>
      </c>
      <c r="S288" s="77">
        <v>0</v>
      </c>
      <c r="T288" s="77">
        <v>0</v>
      </c>
      <c r="U288" s="77">
        <v>0</v>
      </c>
      <c r="V288" s="77">
        <v>26</v>
      </c>
      <c r="W288" s="81" t="s">
        <v>1776</v>
      </c>
      <c r="X288" s="80" t="str">
        <f>HYPERLINK("https://cnn.com/interactive/2023/12/politics/missing-russia-intelligence-trump-dg/")</f>
        <v>https://cnn.com/interactive/2023/12/politics/missing-russia-intelligence-trump-dg/</v>
      </c>
      <c r="Y288" s="77" t="s">
        <v>2003</v>
      </c>
      <c r="Z288" s="77" t="s">
        <v>2073</v>
      </c>
      <c r="AA288" s="77"/>
      <c r="AB288" s="77"/>
      <c r="AC288" s="81" t="s">
        <v>2707</v>
      </c>
      <c r="AD288" s="77" t="s">
        <v>2751</v>
      </c>
      <c r="AE288" s="80" t="str">
        <f>HYPERLINK("https://twitter.com/inovies/status/1735697442425778239")</f>
        <v>https://twitter.com/inovies/status/1735697442425778239</v>
      </c>
      <c r="AF288" s="79">
        <v>45275.68393518519</v>
      </c>
      <c r="AG288" s="85">
        <v>45275</v>
      </c>
      <c r="AH288" s="81" t="s">
        <v>3003</v>
      </c>
      <c r="AI288" s="77" t="b">
        <v>0</v>
      </c>
      <c r="AJ288" s="77"/>
      <c r="AK288" s="77"/>
      <c r="AL288" s="77"/>
      <c r="AM288" s="77"/>
      <c r="AN288" s="77"/>
      <c r="AO288" s="77"/>
      <c r="AP288" s="77"/>
      <c r="AQ288" s="77"/>
      <c r="AR288" s="77"/>
      <c r="AS288" s="77"/>
      <c r="AT288" s="77"/>
      <c r="AU288" s="77"/>
      <c r="AV288" s="80" t="str">
        <f>HYPERLINK("https://pbs.twimg.com/profile_images/833576943677214720/5ZyUgpEJ_normal.jpg")</f>
        <v>https://pbs.twimg.com/profile_images/833576943677214720/5ZyUgpEJ_normal.jpg</v>
      </c>
      <c r="AW288" s="81" t="s">
        <v>4749</v>
      </c>
      <c r="AX288" s="81" t="s">
        <v>4749</v>
      </c>
      <c r="AY288" s="77"/>
      <c r="AZ288" s="81" t="s">
        <v>5773</v>
      </c>
      <c r="BA288" s="81" t="s">
        <v>5773</v>
      </c>
      <c r="BB288" s="81" t="s">
        <v>5773</v>
      </c>
      <c r="BC288" s="81" t="s">
        <v>4749</v>
      </c>
      <c r="BD288" s="77">
        <v>297885438</v>
      </c>
      <c r="BE288" s="77"/>
      <c r="BF288" s="77"/>
      <c r="BG288" s="77"/>
      <c r="BH288" s="77"/>
      <c r="BI288" s="77"/>
    </row>
    <row r="289" spans="1:61" ht="15">
      <c r="A289" s="62" t="s">
        <v>299</v>
      </c>
      <c r="B289" s="62" t="s">
        <v>484</v>
      </c>
      <c r="C289" s="63"/>
      <c r="D289" s="64"/>
      <c r="E289" s="65"/>
      <c r="F289" s="66"/>
      <c r="G289" s="63"/>
      <c r="H289" s="67"/>
      <c r="I289" s="68"/>
      <c r="J289" s="68"/>
      <c r="K289" s="32" t="s">
        <v>65</v>
      </c>
      <c r="L289" s="75">
        <v>289</v>
      </c>
      <c r="M289" s="75"/>
      <c r="N289" s="70"/>
      <c r="O289" s="77" t="s">
        <v>572</v>
      </c>
      <c r="P289" s="79">
        <v>45279.17354166666</v>
      </c>
      <c r="Q289" s="77" t="s">
        <v>815</v>
      </c>
      <c r="R289" s="77">
        <v>0</v>
      </c>
      <c r="S289" s="77">
        <v>0</v>
      </c>
      <c r="T289" s="77">
        <v>0</v>
      </c>
      <c r="U289" s="77">
        <v>0</v>
      </c>
      <c r="V289" s="77">
        <v>12</v>
      </c>
      <c r="W289" s="77"/>
      <c r="X289" s="77"/>
      <c r="Y289" s="77"/>
      <c r="Z289" s="77" t="s">
        <v>484</v>
      </c>
      <c r="AA289" s="77"/>
      <c r="AB289" s="77"/>
      <c r="AC289" s="81" t="s">
        <v>2707</v>
      </c>
      <c r="AD289" s="77" t="s">
        <v>2751</v>
      </c>
      <c r="AE289" s="80" t="str">
        <f>HYPERLINK("https://twitter.com/inovies/status/1736962031922692254")</f>
        <v>https://twitter.com/inovies/status/1736962031922692254</v>
      </c>
      <c r="AF289" s="79">
        <v>45279.17354166666</v>
      </c>
      <c r="AG289" s="85">
        <v>45279</v>
      </c>
      <c r="AH289" s="81" t="s">
        <v>3004</v>
      </c>
      <c r="AI289" s="77"/>
      <c r="AJ289" s="77"/>
      <c r="AK289" s="77"/>
      <c r="AL289" s="77"/>
      <c r="AM289" s="77"/>
      <c r="AN289" s="77"/>
      <c r="AO289" s="77"/>
      <c r="AP289" s="77"/>
      <c r="AQ289" s="77"/>
      <c r="AR289" s="77"/>
      <c r="AS289" s="77"/>
      <c r="AT289" s="77"/>
      <c r="AU289" s="77"/>
      <c r="AV289" s="80" t="str">
        <f>HYPERLINK("https://pbs.twimg.com/profile_images/833576943677214720/5ZyUgpEJ_normal.jpg")</f>
        <v>https://pbs.twimg.com/profile_images/833576943677214720/5ZyUgpEJ_normal.jpg</v>
      </c>
      <c r="AW289" s="81" t="s">
        <v>4750</v>
      </c>
      <c r="AX289" s="81" t="s">
        <v>5691</v>
      </c>
      <c r="AY289" s="81" t="s">
        <v>5741</v>
      </c>
      <c r="AZ289" s="81" t="s">
        <v>5691</v>
      </c>
      <c r="BA289" s="81" t="s">
        <v>5773</v>
      </c>
      <c r="BB289" s="81" t="s">
        <v>5773</v>
      </c>
      <c r="BC289" s="81" t="s">
        <v>5691</v>
      </c>
      <c r="BD289" s="77">
        <v>297885438</v>
      </c>
      <c r="BE289" s="77"/>
      <c r="BF289" s="77"/>
      <c r="BG289" s="77"/>
      <c r="BH289" s="77"/>
      <c r="BI289" s="77"/>
    </row>
    <row r="290" spans="1:61" ht="15">
      <c r="A290" s="62" t="s">
        <v>299</v>
      </c>
      <c r="B290" s="62" t="s">
        <v>485</v>
      </c>
      <c r="C290" s="63"/>
      <c r="D290" s="64"/>
      <c r="E290" s="65"/>
      <c r="F290" s="66"/>
      <c r="G290" s="63"/>
      <c r="H290" s="67"/>
      <c r="I290" s="68"/>
      <c r="J290" s="68"/>
      <c r="K290" s="32" t="s">
        <v>65</v>
      </c>
      <c r="L290" s="75">
        <v>290</v>
      </c>
      <c r="M290" s="75"/>
      <c r="N290" s="70"/>
      <c r="O290" s="77" t="s">
        <v>571</v>
      </c>
      <c r="P290" s="79">
        <v>45276.76615740741</v>
      </c>
      <c r="Q290" s="77" t="s">
        <v>816</v>
      </c>
      <c r="R290" s="77">
        <v>0</v>
      </c>
      <c r="S290" s="77">
        <v>0</v>
      </c>
      <c r="T290" s="77">
        <v>0</v>
      </c>
      <c r="U290" s="77">
        <v>0</v>
      </c>
      <c r="V290" s="77">
        <v>3</v>
      </c>
      <c r="W290" s="81" t="s">
        <v>1777</v>
      </c>
      <c r="X290" s="80" t="str">
        <f>HYPERLINK("https://www.inovies.com/digital-marketing/")</f>
        <v>https://www.inovies.com/digital-marketing/</v>
      </c>
      <c r="Y290" s="77" t="s">
        <v>1982</v>
      </c>
      <c r="Z290" s="77" t="s">
        <v>485</v>
      </c>
      <c r="AA290" s="77"/>
      <c r="AB290" s="77"/>
      <c r="AC290" s="81" t="s">
        <v>2707</v>
      </c>
      <c r="AD290" s="77" t="s">
        <v>2751</v>
      </c>
      <c r="AE290" s="80" t="str">
        <f>HYPERLINK("https://twitter.com/inovies/status/1736089624462708921")</f>
        <v>https://twitter.com/inovies/status/1736089624462708921</v>
      </c>
      <c r="AF290" s="79">
        <v>45276.76615740741</v>
      </c>
      <c r="AG290" s="85">
        <v>45276</v>
      </c>
      <c r="AH290" s="81" t="s">
        <v>3005</v>
      </c>
      <c r="AI290" s="77" t="b">
        <v>0</v>
      </c>
      <c r="AJ290" s="77"/>
      <c r="AK290" s="77"/>
      <c r="AL290" s="77"/>
      <c r="AM290" s="77"/>
      <c r="AN290" s="77"/>
      <c r="AO290" s="77"/>
      <c r="AP290" s="77"/>
      <c r="AQ290" s="77"/>
      <c r="AR290" s="77"/>
      <c r="AS290" s="77"/>
      <c r="AT290" s="77"/>
      <c r="AU290" s="77"/>
      <c r="AV290" s="80" t="str">
        <f>HYPERLINK("https://pbs.twimg.com/profile_images/833576943677214720/5ZyUgpEJ_normal.jpg")</f>
        <v>https://pbs.twimg.com/profile_images/833576943677214720/5ZyUgpEJ_normal.jpg</v>
      </c>
      <c r="AW290" s="81" t="s">
        <v>4751</v>
      </c>
      <c r="AX290" s="81" t="s">
        <v>4751</v>
      </c>
      <c r="AY290" s="81" t="s">
        <v>5742</v>
      </c>
      <c r="AZ290" s="81" t="s">
        <v>5773</v>
      </c>
      <c r="BA290" s="81" t="s">
        <v>5773</v>
      </c>
      <c r="BB290" s="81" t="s">
        <v>5773</v>
      </c>
      <c r="BC290" s="81" t="s">
        <v>4751</v>
      </c>
      <c r="BD290" s="77">
        <v>297885438</v>
      </c>
      <c r="BE290" s="77"/>
      <c r="BF290" s="77"/>
      <c r="BG290" s="77"/>
      <c r="BH290" s="77"/>
      <c r="BI290" s="77"/>
    </row>
    <row r="291" spans="1:61" ht="15">
      <c r="A291" s="62" t="s">
        <v>299</v>
      </c>
      <c r="B291" s="62" t="s">
        <v>486</v>
      </c>
      <c r="C291" s="63"/>
      <c r="D291" s="64"/>
      <c r="E291" s="65"/>
      <c r="F291" s="66"/>
      <c r="G291" s="63"/>
      <c r="H291" s="67"/>
      <c r="I291" s="68"/>
      <c r="J291" s="68"/>
      <c r="K291" s="32" t="s">
        <v>65</v>
      </c>
      <c r="L291" s="75">
        <v>291</v>
      </c>
      <c r="M291" s="75"/>
      <c r="N291" s="70"/>
      <c r="O291" s="77" t="s">
        <v>571</v>
      </c>
      <c r="P291" s="79">
        <v>45267.414976851855</v>
      </c>
      <c r="Q291" s="77" t="s">
        <v>817</v>
      </c>
      <c r="R291" s="77">
        <v>0</v>
      </c>
      <c r="S291" s="77">
        <v>0</v>
      </c>
      <c r="T291" s="77">
        <v>0</v>
      </c>
      <c r="U291" s="77">
        <v>0</v>
      </c>
      <c r="V291" s="77">
        <v>33</v>
      </c>
      <c r="W291" s="81" t="s">
        <v>1778</v>
      </c>
      <c r="X291" s="77"/>
      <c r="Y291" s="77"/>
      <c r="Z291" s="77" t="s">
        <v>2074</v>
      </c>
      <c r="AA291" s="77"/>
      <c r="AB291" s="77"/>
      <c r="AC291" s="81" t="s">
        <v>2707</v>
      </c>
      <c r="AD291" s="77" t="s">
        <v>2751</v>
      </c>
      <c r="AE291" s="80" t="str">
        <f>HYPERLINK("https://twitter.com/inovies/status/1732700872751132674")</f>
        <v>https://twitter.com/inovies/status/1732700872751132674</v>
      </c>
      <c r="AF291" s="79">
        <v>45267.414976851855</v>
      </c>
      <c r="AG291" s="85">
        <v>45267</v>
      </c>
      <c r="AH291" s="81" t="s">
        <v>3006</v>
      </c>
      <c r="AI291" s="77"/>
      <c r="AJ291" s="77"/>
      <c r="AK291" s="77"/>
      <c r="AL291" s="77"/>
      <c r="AM291" s="77"/>
      <c r="AN291" s="77"/>
      <c r="AO291" s="77"/>
      <c r="AP291" s="77"/>
      <c r="AQ291" s="77"/>
      <c r="AR291" s="77"/>
      <c r="AS291" s="77"/>
      <c r="AT291" s="77"/>
      <c r="AU291" s="77"/>
      <c r="AV291" s="80" t="str">
        <f>HYPERLINK("https://pbs.twimg.com/profile_images/833576943677214720/5ZyUgpEJ_normal.jpg")</f>
        <v>https://pbs.twimg.com/profile_images/833576943677214720/5ZyUgpEJ_normal.jpg</v>
      </c>
      <c r="AW291" s="81" t="s">
        <v>4752</v>
      </c>
      <c r="AX291" s="81" t="s">
        <v>4752</v>
      </c>
      <c r="AY291" s="77"/>
      <c r="AZ291" s="81" t="s">
        <v>5773</v>
      </c>
      <c r="BA291" s="81" t="s">
        <v>5773</v>
      </c>
      <c r="BB291" s="81" t="s">
        <v>5773</v>
      </c>
      <c r="BC291" s="81" t="s">
        <v>4752</v>
      </c>
      <c r="BD291" s="77">
        <v>297885438</v>
      </c>
      <c r="BE291" s="77"/>
      <c r="BF291" s="77"/>
      <c r="BG291" s="77"/>
      <c r="BH291" s="77"/>
      <c r="BI291" s="77"/>
    </row>
    <row r="292" spans="1:61" ht="15">
      <c r="A292" s="62" t="s">
        <v>299</v>
      </c>
      <c r="B292" s="62" t="s">
        <v>487</v>
      </c>
      <c r="C292" s="63"/>
      <c r="D292" s="64"/>
      <c r="E292" s="65"/>
      <c r="F292" s="66"/>
      <c r="G292" s="63"/>
      <c r="H292" s="67"/>
      <c r="I292" s="68"/>
      <c r="J292" s="68"/>
      <c r="K292" s="32" t="s">
        <v>65</v>
      </c>
      <c r="L292" s="75">
        <v>292</v>
      </c>
      <c r="M292" s="75"/>
      <c r="N292" s="70"/>
      <c r="O292" s="77" t="s">
        <v>571</v>
      </c>
      <c r="P292" s="79">
        <v>45267.414976851855</v>
      </c>
      <c r="Q292" s="77" t="s">
        <v>817</v>
      </c>
      <c r="R292" s="77">
        <v>0</v>
      </c>
      <c r="S292" s="77">
        <v>0</v>
      </c>
      <c r="T292" s="77">
        <v>0</v>
      </c>
      <c r="U292" s="77">
        <v>0</v>
      </c>
      <c r="V292" s="77">
        <v>33</v>
      </c>
      <c r="W292" s="81" t="s">
        <v>1778</v>
      </c>
      <c r="X292" s="77"/>
      <c r="Y292" s="77"/>
      <c r="Z292" s="77" t="s">
        <v>2074</v>
      </c>
      <c r="AA292" s="77"/>
      <c r="AB292" s="77"/>
      <c r="AC292" s="81" t="s">
        <v>2707</v>
      </c>
      <c r="AD292" s="77" t="s">
        <v>2751</v>
      </c>
      <c r="AE292" s="80" t="str">
        <f>HYPERLINK("https://twitter.com/inovies/status/1732700872751132674")</f>
        <v>https://twitter.com/inovies/status/1732700872751132674</v>
      </c>
      <c r="AF292" s="79">
        <v>45267.414976851855</v>
      </c>
      <c r="AG292" s="85">
        <v>45267</v>
      </c>
      <c r="AH292" s="81" t="s">
        <v>3006</v>
      </c>
      <c r="AI292" s="77"/>
      <c r="AJ292" s="77"/>
      <c r="AK292" s="77"/>
      <c r="AL292" s="77"/>
      <c r="AM292" s="77"/>
      <c r="AN292" s="77"/>
      <c r="AO292" s="77"/>
      <c r="AP292" s="77"/>
      <c r="AQ292" s="77"/>
      <c r="AR292" s="77"/>
      <c r="AS292" s="77"/>
      <c r="AT292" s="77"/>
      <c r="AU292" s="77"/>
      <c r="AV292" s="80" t="str">
        <f>HYPERLINK("https://pbs.twimg.com/profile_images/833576943677214720/5ZyUgpEJ_normal.jpg")</f>
        <v>https://pbs.twimg.com/profile_images/833576943677214720/5ZyUgpEJ_normal.jpg</v>
      </c>
      <c r="AW292" s="81" t="s">
        <v>4752</v>
      </c>
      <c r="AX292" s="81" t="s">
        <v>4752</v>
      </c>
      <c r="AY292" s="77"/>
      <c r="AZ292" s="81" t="s">
        <v>5773</v>
      </c>
      <c r="BA292" s="81" t="s">
        <v>5773</v>
      </c>
      <c r="BB292" s="81" t="s">
        <v>5773</v>
      </c>
      <c r="BC292" s="81" t="s">
        <v>4752</v>
      </c>
      <c r="BD292" s="77">
        <v>297885438</v>
      </c>
      <c r="BE292" s="77"/>
      <c r="BF292" s="77"/>
      <c r="BG292" s="77"/>
      <c r="BH292" s="77"/>
      <c r="BI292" s="77"/>
    </row>
    <row r="293" spans="1:61" ht="15">
      <c r="A293" s="62" t="s">
        <v>299</v>
      </c>
      <c r="B293" s="62" t="s">
        <v>488</v>
      </c>
      <c r="C293" s="63"/>
      <c r="D293" s="64"/>
      <c r="E293" s="65"/>
      <c r="F293" s="66"/>
      <c r="G293" s="63"/>
      <c r="H293" s="67"/>
      <c r="I293" s="68"/>
      <c r="J293" s="68"/>
      <c r="K293" s="32" t="s">
        <v>65</v>
      </c>
      <c r="L293" s="75">
        <v>293</v>
      </c>
      <c r="M293" s="75"/>
      <c r="N293" s="70"/>
      <c r="O293" s="77" t="s">
        <v>572</v>
      </c>
      <c r="P293" s="79">
        <v>45279.1634375</v>
      </c>
      <c r="Q293" s="77" t="s">
        <v>818</v>
      </c>
      <c r="R293" s="77">
        <v>0</v>
      </c>
      <c r="S293" s="77">
        <v>0</v>
      </c>
      <c r="T293" s="77">
        <v>0</v>
      </c>
      <c r="U293" s="77">
        <v>0</v>
      </c>
      <c r="V293" s="77">
        <v>6</v>
      </c>
      <c r="W293" s="77"/>
      <c r="X293" s="77"/>
      <c r="Y293" s="77"/>
      <c r="Z293" s="77" t="s">
        <v>488</v>
      </c>
      <c r="AA293" s="77"/>
      <c r="AB293" s="77"/>
      <c r="AC293" s="81" t="s">
        <v>2707</v>
      </c>
      <c r="AD293" s="77" t="s">
        <v>2751</v>
      </c>
      <c r="AE293" s="80" t="str">
        <f>HYPERLINK("https://twitter.com/inovies/status/1736958373050945863")</f>
        <v>https://twitter.com/inovies/status/1736958373050945863</v>
      </c>
      <c r="AF293" s="79">
        <v>45279.1634375</v>
      </c>
      <c r="AG293" s="85">
        <v>45279</v>
      </c>
      <c r="AH293" s="81" t="s">
        <v>3007</v>
      </c>
      <c r="AI293" s="77"/>
      <c r="AJ293" s="77"/>
      <c r="AK293" s="77"/>
      <c r="AL293" s="77"/>
      <c r="AM293" s="77"/>
      <c r="AN293" s="77"/>
      <c r="AO293" s="77"/>
      <c r="AP293" s="77"/>
      <c r="AQ293" s="77"/>
      <c r="AR293" s="77"/>
      <c r="AS293" s="77"/>
      <c r="AT293" s="77"/>
      <c r="AU293" s="77"/>
      <c r="AV293" s="80" t="str">
        <f>HYPERLINK("https://pbs.twimg.com/profile_images/833576943677214720/5ZyUgpEJ_normal.jpg")</f>
        <v>https://pbs.twimg.com/profile_images/833576943677214720/5ZyUgpEJ_normal.jpg</v>
      </c>
      <c r="AW293" s="81" t="s">
        <v>4753</v>
      </c>
      <c r="AX293" s="81" t="s">
        <v>5692</v>
      </c>
      <c r="AY293" s="81" t="s">
        <v>5743</v>
      </c>
      <c r="AZ293" s="81" t="s">
        <v>5692</v>
      </c>
      <c r="BA293" s="81" t="s">
        <v>5773</v>
      </c>
      <c r="BB293" s="81" t="s">
        <v>5773</v>
      </c>
      <c r="BC293" s="81" t="s">
        <v>5692</v>
      </c>
      <c r="BD293" s="77">
        <v>297885438</v>
      </c>
      <c r="BE293" s="77"/>
      <c r="BF293" s="77"/>
      <c r="BG293" s="77"/>
      <c r="BH293" s="77"/>
      <c r="BI293" s="77"/>
    </row>
    <row r="294" spans="1:61" ht="15">
      <c r="A294" s="62" t="s">
        <v>299</v>
      </c>
      <c r="B294" s="62" t="s">
        <v>489</v>
      </c>
      <c r="C294" s="63"/>
      <c r="D294" s="64"/>
      <c r="E294" s="65"/>
      <c r="F294" s="66"/>
      <c r="G294" s="63"/>
      <c r="H294" s="67"/>
      <c r="I294" s="68"/>
      <c r="J294" s="68"/>
      <c r="K294" s="32" t="s">
        <v>65</v>
      </c>
      <c r="L294" s="75">
        <v>294</v>
      </c>
      <c r="M294" s="75"/>
      <c r="N294" s="70"/>
      <c r="O294" s="77" t="s">
        <v>572</v>
      </c>
      <c r="P294" s="79">
        <v>45279.11305555556</v>
      </c>
      <c r="Q294" s="77" t="s">
        <v>819</v>
      </c>
      <c r="R294" s="77">
        <v>0</v>
      </c>
      <c r="S294" s="77">
        <v>2</v>
      </c>
      <c r="T294" s="77">
        <v>0</v>
      </c>
      <c r="U294" s="77">
        <v>0</v>
      </c>
      <c r="V294" s="77">
        <v>55</v>
      </c>
      <c r="W294" s="81" t="s">
        <v>1779</v>
      </c>
      <c r="X294" s="77"/>
      <c r="Y294" s="77"/>
      <c r="Z294" s="77" t="s">
        <v>489</v>
      </c>
      <c r="AA294" s="77"/>
      <c r="AB294" s="77"/>
      <c r="AC294" s="81" t="s">
        <v>2707</v>
      </c>
      <c r="AD294" s="77" t="s">
        <v>2751</v>
      </c>
      <c r="AE294" s="80" t="str">
        <f>HYPERLINK("https://twitter.com/inovies/status/1736940114327069131")</f>
        <v>https://twitter.com/inovies/status/1736940114327069131</v>
      </c>
      <c r="AF294" s="79">
        <v>45279.11305555556</v>
      </c>
      <c r="AG294" s="85">
        <v>45279</v>
      </c>
      <c r="AH294" s="81" t="s">
        <v>3008</v>
      </c>
      <c r="AI294" s="77"/>
      <c r="AJ294" s="77"/>
      <c r="AK294" s="77"/>
      <c r="AL294" s="77"/>
      <c r="AM294" s="77"/>
      <c r="AN294" s="77"/>
      <c r="AO294" s="77"/>
      <c r="AP294" s="77"/>
      <c r="AQ294" s="77"/>
      <c r="AR294" s="77"/>
      <c r="AS294" s="77"/>
      <c r="AT294" s="77"/>
      <c r="AU294" s="77"/>
      <c r="AV294" s="80" t="str">
        <f>HYPERLINK("https://pbs.twimg.com/profile_images/833576943677214720/5ZyUgpEJ_normal.jpg")</f>
        <v>https://pbs.twimg.com/profile_images/833576943677214720/5ZyUgpEJ_normal.jpg</v>
      </c>
      <c r="AW294" s="81" t="s">
        <v>4754</v>
      </c>
      <c r="AX294" s="81" t="s">
        <v>5693</v>
      </c>
      <c r="AY294" s="81" t="s">
        <v>5744</v>
      </c>
      <c r="AZ294" s="81" t="s">
        <v>5693</v>
      </c>
      <c r="BA294" s="81" t="s">
        <v>5773</v>
      </c>
      <c r="BB294" s="81" t="s">
        <v>5773</v>
      </c>
      <c r="BC294" s="81" t="s">
        <v>5693</v>
      </c>
      <c r="BD294" s="77">
        <v>297885438</v>
      </c>
      <c r="BE294" s="77"/>
      <c r="BF294" s="77"/>
      <c r="BG294" s="77"/>
      <c r="BH294" s="77"/>
      <c r="BI294" s="77"/>
    </row>
    <row r="295" spans="1:61" ht="15">
      <c r="A295" s="62" t="s">
        <v>299</v>
      </c>
      <c r="B295" s="62" t="s">
        <v>490</v>
      </c>
      <c r="C295" s="63"/>
      <c r="D295" s="64"/>
      <c r="E295" s="65"/>
      <c r="F295" s="66"/>
      <c r="G295" s="63"/>
      <c r="H295" s="67"/>
      <c r="I295" s="68"/>
      <c r="J295" s="68"/>
      <c r="K295" s="32" t="s">
        <v>65</v>
      </c>
      <c r="L295" s="75">
        <v>295</v>
      </c>
      <c r="M295" s="75"/>
      <c r="N295" s="70"/>
      <c r="O295" s="77" t="s">
        <v>571</v>
      </c>
      <c r="P295" s="79">
        <v>42976.19373842593</v>
      </c>
      <c r="Q295" s="77" t="s">
        <v>820</v>
      </c>
      <c r="R295" s="77">
        <v>0</v>
      </c>
      <c r="S295" s="77">
        <v>1</v>
      </c>
      <c r="T295" s="77">
        <v>0</v>
      </c>
      <c r="U295" s="77">
        <v>0</v>
      </c>
      <c r="V295" s="77"/>
      <c r="W295" s="77"/>
      <c r="X295" s="80" t="str">
        <f>HYPERLINK("https://www.linkedin.com/pulse/chipping-people-you-ready-shelly-palmer")</f>
        <v>https://www.linkedin.com/pulse/chipping-people-you-ready-shelly-palmer</v>
      </c>
      <c r="Y295" s="77" t="s">
        <v>2004</v>
      </c>
      <c r="Z295" s="77" t="s">
        <v>2075</v>
      </c>
      <c r="AA295" s="77"/>
      <c r="AB295" s="77"/>
      <c r="AC295" s="81" t="s">
        <v>2705</v>
      </c>
      <c r="AD295" s="77" t="s">
        <v>2751</v>
      </c>
      <c r="AE295" s="80" t="str">
        <f>HYPERLINK("https://twitter.com/inovies/status/902390098821386240")</f>
        <v>https://twitter.com/inovies/status/902390098821386240</v>
      </c>
      <c r="AF295" s="79">
        <v>42976.19373842593</v>
      </c>
      <c r="AG295" s="85">
        <v>42976</v>
      </c>
      <c r="AH295" s="81" t="s">
        <v>3009</v>
      </c>
      <c r="AI295" s="77" t="b">
        <v>0</v>
      </c>
      <c r="AJ295" s="77"/>
      <c r="AK295" s="77"/>
      <c r="AL295" s="77"/>
      <c r="AM295" s="77"/>
      <c r="AN295" s="77"/>
      <c r="AO295" s="77"/>
      <c r="AP295" s="77"/>
      <c r="AQ295" s="77"/>
      <c r="AR295" s="77"/>
      <c r="AS295" s="77"/>
      <c r="AT295" s="77"/>
      <c r="AU295" s="77"/>
      <c r="AV295" s="80" t="str">
        <f>HYPERLINK("https://pbs.twimg.com/profile_images/833576943677214720/5ZyUgpEJ_normal.jpg")</f>
        <v>https://pbs.twimg.com/profile_images/833576943677214720/5ZyUgpEJ_normal.jpg</v>
      </c>
      <c r="AW295" s="81" t="s">
        <v>4755</v>
      </c>
      <c r="AX295" s="81" t="s">
        <v>4755</v>
      </c>
      <c r="AY295" s="77"/>
      <c r="AZ295" s="81" t="s">
        <v>5773</v>
      </c>
      <c r="BA295" s="81" t="s">
        <v>5773</v>
      </c>
      <c r="BB295" s="81" t="s">
        <v>5773</v>
      </c>
      <c r="BC295" s="81" t="s">
        <v>4755</v>
      </c>
      <c r="BD295" s="77">
        <v>297885438</v>
      </c>
      <c r="BE295" s="77"/>
      <c r="BF295" s="77"/>
      <c r="BG295" s="77"/>
      <c r="BH295" s="77"/>
      <c r="BI295" s="77"/>
    </row>
    <row r="296" spans="1:61" ht="15">
      <c r="A296" s="62" t="s">
        <v>299</v>
      </c>
      <c r="B296" s="62" t="s">
        <v>491</v>
      </c>
      <c r="C296" s="63"/>
      <c r="D296" s="64"/>
      <c r="E296" s="65"/>
      <c r="F296" s="66"/>
      <c r="G296" s="63"/>
      <c r="H296" s="67"/>
      <c r="I296" s="68"/>
      <c r="J296" s="68"/>
      <c r="K296" s="32" t="s">
        <v>65</v>
      </c>
      <c r="L296" s="75">
        <v>296</v>
      </c>
      <c r="M296" s="75"/>
      <c r="N296" s="70"/>
      <c r="O296" s="77" t="s">
        <v>571</v>
      </c>
      <c r="P296" s="79">
        <v>42971.31003472222</v>
      </c>
      <c r="Q296" s="77" t="s">
        <v>821</v>
      </c>
      <c r="R296" s="77">
        <v>0</v>
      </c>
      <c r="S296" s="77">
        <v>0</v>
      </c>
      <c r="T296" s="77">
        <v>0</v>
      </c>
      <c r="U296" s="77">
        <v>0</v>
      </c>
      <c r="V296" s="77"/>
      <c r="W296" s="77"/>
      <c r="X296" s="80" t="str">
        <f>HYPERLINK("https://yourstory.com/2016/11/4ec59cb4da-i-would-love-to-turn-odds-to-my-favor/?utm_source=twitter")</f>
        <v>https://yourstory.com/2016/11/4ec59cb4da-i-would-love-to-turn-odds-to-my-favor/?utm_source=twitter</v>
      </c>
      <c r="Y296" s="77" t="s">
        <v>2005</v>
      </c>
      <c r="Z296" s="77" t="s">
        <v>491</v>
      </c>
      <c r="AA296" s="77"/>
      <c r="AB296" s="77"/>
      <c r="AC296" s="81" t="s">
        <v>2705</v>
      </c>
      <c r="AD296" s="77" t="s">
        <v>2751</v>
      </c>
      <c r="AE296" s="80" t="str">
        <f>HYPERLINK("https://twitter.com/inovies/status/900620302471766017")</f>
        <v>https://twitter.com/inovies/status/900620302471766017</v>
      </c>
      <c r="AF296" s="79">
        <v>42971.31003472222</v>
      </c>
      <c r="AG296" s="85">
        <v>42971</v>
      </c>
      <c r="AH296" s="81" t="s">
        <v>3010</v>
      </c>
      <c r="AI296" s="77" t="b">
        <v>0</v>
      </c>
      <c r="AJ296" s="77"/>
      <c r="AK296" s="77"/>
      <c r="AL296" s="77"/>
      <c r="AM296" s="77"/>
      <c r="AN296" s="77"/>
      <c r="AO296" s="77"/>
      <c r="AP296" s="77"/>
      <c r="AQ296" s="77"/>
      <c r="AR296" s="77"/>
      <c r="AS296" s="77"/>
      <c r="AT296" s="77"/>
      <c r="AU296" s="77"/>
      <c r="AV296" s="80" t="str">
        <f>HYPERLINK("https://pbs.twimg.com/profile_images/833576943677214720/5ZyUgpEJ_normal.jpg")</f>
        <v>https://pbs.twimg.com/profile_images/833576943677214720/5ZyUgpEJ_normal.jpg</v>
      </c>
      <c r="AW296" s="81" t="s">
        <v>4756</v>
      </c>
      <c r="AX296" s="81" t="s">
        <v>4756</v>
      </c>
      <c r="AY296" s="77"/>
      <c r="AZ296" s="81" t="s">
        <v>5773</v>
      </c>
      <c r="BA296" s="81" t="s">
        <v>5773</v>
      </c>
      <c r="BB296" s="81" t="s">
        <v>5773</v>
      </c>
      <c r="BC296" s="81" t="s">
        <v>4756</v>
      </c>
      <c r="BD296" s="77">
        <v>297885438</v>
      </c>
      <c r="BE296" s="77"/>
      <c r="BF296" s="77"/>
      <c r="BG296" s="77"/>
      <c r="BH296" s="77"/>
      <c r="BI296" s="77"/>
    </row>
    <row r="297" spans="1:61" ht="15">
      <c r="A297" s="62" t="s">
        <v>299</v>
      </c>
      <c r="B297" s="62" t="s">
        <v>492</v>
      </c>
      <c r="C297" s="63"/>
      <c r="D297" s="64"/>
      <c r="E297" s="65"/>
      <c r="F297" s="66"/>
      <c r="G297" s="63"/>
      <c r="H297" s="67"/>
      <c r="I297" s="68"/>
      <c r="J297" s="68"/>
      <c r="K297" s="32" t="s">
        <v>65</v>
      </c>
      <c r="L297" s="75">
        <v>297</v>
      </c>
      <c r="M297" s="75"/>
      <c r="N297" s="70"/>
      <c r="O297" s="77" t="s">
        <v>571</v>
      </c>
      <c r="P297" s="79">
        <v>42016.18493055556</v>
      </c>
      <c r="Q297" s="77" t="s">
        <v>822</v>
      </c>
      <c r="R297" s="77">
        <v>0</v>
      </c>
      <c r="S297" s="77">
        <v>1</v>
      </c>
      <c r="T297" s="77">
        <v>0</v>
      </c>
      <c r="U297" s="77">
        <v>0</v>
      </c>
      <c r="V297" s="77"/>
      <c r="W297" s="77"/>
      <c r="X297" s="80" t="str">
        <f>HYPERLINK("https://www.linkedin.com/pulse/its-time-raise-your-web-design-rates-nagendra-b")</f>
        <v>https://www.linkedin.com/pulse/its-time-raise-your-web-design-rates-nagendra-b</v>
      </c>
      <c r="Y297" s="77" t="s">
        <v>2004</v>
      </c>
      <c r="Z297" s="77" t="s">
        <v>492</v>
      </c>
      <c r="AA297" s="77"/>
      <c r="AB297" s="77"/>
      <c r="AC297" s="81" t="s">
        <v>2712</v>
      </c>
      <c r="AD297" s="77" t="s">
        <v>2751</v>
      </c>
      <c r="AE297" s="80" t="str">
        <f>HYPERLINK("https://twitter.com/inovies/status/554494554808651777")</f>
        <v>https://twitter.com/inovies/status/554494554808651777</v>
      </c>
      <c r="AF297" s="79">
        <v>42016.18493055556</v>
      </c>
      <c r="AG297" s="85">
        <v>42016</v>
      </c>
      <c r="AH297" s="81" t="s">
        <v>3011</v>
      </c>
      <c r="AI297" s="77" t="b">
        <v>0</v>
      </c>
      <c r="AJ297" s="77"/>
      <c r="AK297" s="77"/>
      <c r="AL297" s="77"/>
      <c r="AM297" s="77"/>
      <c r="AN297" s="77"/>
      <c r="AO297" s="77"/>
      <c r="AP297" s="77"/>
      <c r="AQ297" s="77"/>
      <c r="AR297" s="77"/>
      <c r="AS297" s="77"/>
      <c r="AT297" s="77"/>
      <c r="AU297" s="77"/>
      <c r="AV297" s="80" t="str">
        <f>HYPERLINK("https://pbs.twimg.com/profile_images/833576943677214720/5ZyUgpEJ_normal.jpg")</f>
        <v>https://pbs.twimg.com/profile_images/833576943677214720/5ZyUgpEJ_normal.jpg</v>
      </c>
      <c r="AW297" s="81" t="s">
        <v>4757</v>
      </c>
      <c r="AX297" s="81" t="s">
        <v>4757</v>
      </c>
      <c r="AY297" s="77"/>
      <c r="AZ297" s="81" t="s">
        <v>5773</v>
      </c>
      <c r="BA297" s="81" t="s">
        <v>5773</v>
      </c>
      <c r="BB297" s="81" t="s">
        <v>5773</v>
      </c>
      <c r="BC297" s="81" t="s">
        <v>4757</v>
      </c>
      <c r="BD297" s="77">
        <v>297885438</v>
      </c>
      <c r="BE297" s="77"/>
      <c r="BF297" s="77"/>
      <c r="BG297" s="77"/>
      <c r="BH297" s="77"/>
      <c r="BI297" s="77"/>
    </row>
    <row r="298" spans="1:61" ht="15">
      <c r="A298" s="62" t="s">
        <v>299</v>
      </c>
      <c r="B298" s="62" t="s">
        <v>492</v>
      </c>
      <c r="C298" s="63"/>
      <c r="D298" s="64"/>
      <c r="E298" s="65"/>
      <c r="F298" s="66"/>
      <c r="G298" s="63"/>
      <c r="H298" s="67"/>
      <c r="I298" s="68"/>
      <c r="J298" s="68"/>
      <c r="K298" s="32" t="s">
        <v>65</v>
      </c>
      <c r="L298" s="75">
        <v>298</v>
      </c>
      <c r="M298" s="75"/>
      <c r="N298" s="70"/>
      <c r="O298" s="77" t="s">
        <v>571</v>
      </c>
      <c r="P298" s="79">
        <v>42976.19373842593</v>
      </c>
      <c r="Q298" s="77" t="s">
        <v>820</v>
      </c>
      <c r="R298" s="77">
        <v>0</v>
      </c>
      <c r="S298" s="77">
        <v>1</v>
      </c>
      <c r="T298" s="77">
        <v>0</v>
      </c>
      <c r="U298" s="77">
        <v>0</v>
      </c>
      <c r="V298" s="77"/>
      <c r="W298" s="77"/>
      <c r="X298" s="80" t="str">
        <f>HYPERLINK("https://www.linkedin.com/pulse/chipping-people-you-ready-shelly-palmer")</f>
        <v>https://www.linkedin.com/pulse/chipping-people-you-ready-shelly-palmer</v>
      </c>
      <c r="Y298" s="77" t="s">
        <v>2004</v>
      </c>
      <c r="Z298" s="77" t="s">
        <v>2075</v>
      </c>
      <c r="AA298" s="77"/>
      <c r="AB298" s="77"/>
      <c r="AC298" s="81" t="s">
        <v>2705</v>
      </c>
      <c r="AD298" s="77" t="s">
        <v>2751</v>
      </c>
      <c r="AE298" s="80" t="str">
        <f>HYPERLINK("https://twitter.com/inovies/status/902390098821386240")</f>
        <v>https://twitter.com/inovies/status/902390098821386240</v>
      </c>
      <c r="AF298" s="79">
        <v>42976.19373842593</v>
      </c>
      <c r="AG298" s="85">
        <v>42976</v>
      </c>
      <c r="AH298" s="81" t="s">
        <v>3009</v>
      </c>
      <c r="AI298" s="77" t="b">
        <v>0</v>
      </c>
      <c r="AJ298" s="77"/>
      <c r="AK298" s="77"/>
      <c r="AL298" s="77"/>
      <c r="AM298" s="77"/>
      <c r="AN298" s="77"/>
      <c r="AO298" s="77"/>
      <c r="AP298" s="77"/>
      <c r="AQ298" s="77"/>
      <c r="AR298" s="77"/>
      <c r="AS298" s="77"/>
      <c r="AT298" s="77"/>
      <c r="AU298" s="77"/>
      <c r="AV298" s="80" t="str">
        <f>HYPERLINK("https://pbs.twimg.com/profile_images/833576943677214720/5ZyUgpEJ_normal.jpg")</f>
        <v>https://pbs.twimg.com/profile_images/833576943677214720/5ZyUgpEJ_normal.jpg</v>
      </c>
      <c r="AW298" s="81" t="s">
        <v>4755</v>
      </c>
      <c r="AX298" s="81" t="s">
        <v>4755</v>
      </c>
      <c r="AY298" s="77"/>
      <c r="AZ298" s="81" t="s">
        <v>5773</v>
      </c>
      <c r="BA298" s="81" t="s">
        <v>5773</v>
      </c>
      <c r="BB298" s="81" t="s">
        <v>5773</v>
      </c>
      <c r="BC298" s="81" t="s">
        <v>4755</v>
      </c>
      <c r="BD298" s="77">
        <v>297885438</v>
      </c>
      <c r="BE298" s="77"/>
      <c r="BF298" s="77"/>
      <c r="BG298" s="77"/>
      <c r="BH298" s="77"/>
      <c r="BI298" s="77"/>
    </row>
    <row r="299" spans="1:61" ht="15">
      <c r="A299" s="62" t="s">
        <v>299</v>
      </c>
      <c r="B299" s="62" t="s">
        <v>492</v>
      </c>
      <c r="C299" s="63"/>
      <c r="D299" s="64"/>
      <c r="E299" s="65"/>
      <c r="F299" s="66"/>
      <c r="G299" s="63"/>
      <c r="H299" s="67"/>
      <c r="I299" s="68"/>
      <c r="J299" s="68"/>
      <c r="K299" s="32" t="s">
        <v>65</v>
      </c>
      <c r="L299" s="75">
        <v>299</v>
      </c>
      <c r="M299" s="75"/>
      <c r="N299" s="70"/>
      <c r="O299" s="77" t="s">
        <v>571</v>
      </c>
      <c r="P299" s="79">
        <v>41964.45030092593</v>
      </c>
      <c r="Q299" s="77" t="s">
        <v>823</v>
      </c>
      <c r="R299" s="77">
        <v>0</v>
      </c>
      <c r="S299" s="77">
        <v>1</v>
      </c>
      <c r="T299" s="77">
        <v>0</v>
      </c>
      <c r="U299" s="77">
        <v>0</v>
      </c>
      <c r="V299" s="77"/>
      <c r="W299" s="77"/>
      <c r="X299" s="80" t="str">
        <f>HYPERLINK("https://www.linkedin.com/pulse/article/20141121104620-111930483-prospective-vs-retrospective-website-clients")</f>
        <v>https://www.linkedin.com/pulse/article/20141121104620-111930483-prospective-vs-retrospective-website-clients</v>
      </c>
      <c r="Y299" s="77" t="s">
        <v>2004</v>
      </c>
      <c r="Z299" s="77" t="s">
        <v>492</v>
      </c>
      <c r="AA299" s="77"/>
      <c r="AB299" s="77"/>
      <c r="AC299" s="81" t="s">
        <v>2712</v>
      </c>
      <c r="AD299" s="77" t="s">
        <v>2751</v>
      </c>
      <c r="AE299" s="80" t="str">
        <f>HYPERLINK("https://twitter.com/inovies/status/535746553818800128")</f>
        <v>https://twitter.com/inovies/status/535746553818800128</v>
      </c>
      <c r="AF299" s="79">
        <v>41964.45030092593</v>
      </c>
      <c r="AG299" s="85">
        <v>41964</v>
      </c>
      <c r="AH299" s="81" t="s">
        <v>3012</v>
      </c>
      <c r="AI299" s="77" t="b">
        <v>0</v>
      </c>
      <c r="AJ299" s="77"/>
      <c r="AK299" s="77"/>
      <c r="AL299" s="77"/>
      <c r="AM299" s="77"/>
      <c r="AN299" s="77"/>
      <c r="AO299" s="77"/>
      <c r="AP299" s="77"/>
      <c r="AQ299" s="77"/>
      <c r="AR299" s="77"/>
      <c r="AS299" s="77"/>
      <c r="AT299" s="77"/>
      <c r="AU299" s="77"/>
      <c r="AV299" s="80" t="str">
        <f>HYPERLINK("https://pbs.twimg.com/profile_images/833576943677214720/5ZyUgpEJ_normal.jpg")</f>
        <v>https://pbs.twimg.com/profile_images/833576943677214720/5ZyUgpEJ_normal.jpg</v>
      </c>
      <c r="AW299" s="81" t="s">
        <v>4758</v>
      </c>
      <c r="AX299" s="81" t="s">
        <v>4758</v>
      </c>
      <c r="AY299" s="77"/>
      <c r="AZ299" s="81" t="s">
        <v>5773</v>
      </c>
      <c r="BA299" s="81" t="s">
        <v>5773</v>
      </c>
      <c r="BB299" s="81" t="s">
        <v>5773</v>
      </c>
      <c r="BC299" s="81" t="s">
        <v>4758</v>
      </c>
      <c r="BD299" s="77">
        <v>297885438</v>
      </c>
      <c r="BE299" s="77"/>
      <c r="BF299" s="77"/>
      <c r="BG299" s="77"/>
      <c r="BH299" s="77"/>
      <c r="BI299" s="77"/>
    </row>
    <row r="300" spans="1:61" ht="15">
      <c r="A300" s="62" t="s">
        <v>299</v>
      </c>
      <c r="B300" s="62" t="s">
        <v>493</v>
      </c>
      <c r="C300" s="63"/>
      <c r="D300" s="64"/>
      <c r="E300" s="65"/>
      <c r="F300" s="66"/>
      <c r="G300" s="63"/>
      <c r="H300" s="67"/>
      <c r="I300" s="68"/>
      <c r="J300" s="68"/>
      <c r="K300" s="32" t="s">
        <v>65</v>
      </c>
      <c r="L300" s="75">
        <v>300</v>
      </c>
      <c r="M300" s="75"/>
      <c r="N300" s="70"/>
      <c r="O300" s="77" t="s">
        <v>572</v>
      </c>
      <c r="P300" s="79">
        <v>45031.79494212963</v>
      </c>
      <c r="Q300" s="77" t="s">
        <v>824</v>
      </c>
      <c r="R300" s="77">
        <v>0</v>
      </c>
      <c r="S300" s="77">
        <v>5</v>
      </c>
      <c r="T300" s="77">
        <v>0</v>
      </c>
      <c r="U300" s="77">
        <v>0</v>
      </c>
      <c r="V300" s="77">
        <v>880</v>
      </c>
      <c r="W300" s="77"/>
      <c r="X300" s="77"/>
      <c r="Y300" s="77"/>
      <c r="Z300" s="77" t="s">
        <v>493</v>
      </c>
      <c r="AA300" s="77"/>
      <c r="AB300" s="77"/>
      <c r="AC300" s="81" t="s">
        <v>2704</v>
      </c>
      <c r="AD300" s="77" t="s">
        <v>2751</v>
      </c>
      <c r="AE300" s="80" t="str">
        <f>HYPERLINK("https://twitter.com/inovies/status/1647315029828730880")</f>
        <v>https://twitter.com/inovies/status/1647315029828730880</v>
      </c>
      <c r="AF300" s="79">
        <v>45031.79494212963</v>
      </c>
      <c r="AG300" s="85">
        <v>45031</v>
      </c>
      <c r="AH300" s="81" t="s">
        <v>3013</v>
      </c>
      <c r="AI300" s="77"/>
      <c r="AJ300" s="77"/>
      <c r="AK300" s="77"/>
      <c r="AL300" s="77"/>
      <c r="AM300" s="77"/>
      <c r="AN300" s="77"/>
      <c r="AO300" s="77"/>
      <c r="AP300" s="77"/>
      <c r="AQ300" s="77"/>
      <c r="AR300" s="77"/>
      <c r="AS300" s="77"/>
      <c r="AT300" s="77"/>
      <c r="AU300" s="77"/>
      <c r="AV300" s="80" t="str">
        <f>HYPERLINK("https://pbs.twimg.com/profile_images/833576943677214720/5ZyUgpEJ_normal.jpg")</f>
        <v>https://pbs.twimg.com/profile_images/833576943677214720/5ZyUgpEJ_normal.jpg</v>
      </c>
      <c r="AW300" s="81" t="s">
        <v>4759</v>
      </c>
      <c r="AX300" s="81" t="s">
        <v>5694</v>
      </c>
      <c r="AY300" s="81" t="s">
        <v>5745</v>
      </c>
      <c r="AZ300" s="81" t="s">
        <v>5694</v>
      </c>
      <c r="BA300" s="81" t="s">
        <v>5773</v>
      </c>
      <c r="BB300" s="81" t="s">
        <v>5773</v>
      </c>
      <c r="BC300" s="81" t="s">
        <v>5694</v>
      </c>
      <c r="BD300" s="77">
        <v>297885438</v>
      </c>
      <c r="BE300" s="77"/>
      <c r="BF300" s="77"/>
      <c r="BG300" s="77"/>
      <c r="BH300" s="77"/>
      <c r="BI300" s="77"/>
    </row>
    <row r="301" spans="1:61" ht="15">
      <c r="A301" s="62" t="s">
        <v>299</v>
      </c>
      <c r="B301" s="62" t="s">
        <v>494</v>
      </c>
      <c r="C301" s="63"/>
      <c r="D301" s="64"/>
      <c r="E301" s="65"/>
      <c r="F301" s="66"/>
      <c r="G301" s="63"/>
      <c r="H301" s="67"/>
      <c r="I301" s="68"/>
      <c r="J301" s="68"/>
      <c r="K301" s="32" t="s">
        <v>65</v>
      </c>
      <c r="L301" s="75">
        <v>301</v>
      </c>
      <c r="M301" s="75"/>
      <c r="N301" s="70"/>
      <c r="O301" s="77" t="s">
        <v>571</v>
      </c>
      <c r="P301" s="79">
        <v>42803.36251157407</v>
      </c>
      <c r="Q301" s="77" t="s">
        <v>825</v>
      </c>
      <c r="R301" s="77">
        <v>0</v>
      </c>
      <c r="S301" s="77">
        <v>1</v>
      </c>
      <c r="T301" s="77">
        <v>0</v>
      </c>
      <c r="U301" s="77">
        <v>0</v>
      </c>
      <c r="V301" s="77"/>
      <c r="W301" s="81" t="s">
        <v>1780</v>
      </c>
      <c r="X301" s="80" t="str">
        <f>HYPERLINK("https://www.paypal-proserv.com/newmoney/celebrating-entrepreneurs/allprofiles.php?id=865")</f>
        <v>https://www.paypal-proserv.com/newmoney/celebrating-entrepreneurs/allprofiles.php?id=865</v>
      </c>
      <c r="Y301" s="77" t="s">
        <v>2006</v>
      </c>
      <c r="Z301" s="77" t="s">
        <v>2076</v>
      </c>
      <c r="AA301" s="77"/>
      <c r="AB301" s="77"/>
      <c r="AC301" s="81" t="s">
        <v>2705</v>
      </c>
      <c r="AD301" s="77" t="s">
        <v>2751</v>
      </c>
      <c r="AE301" s="80" t="str">
        <f>HYPERLINK("https://twitter.com/inovies/status/839758157777895424")</f>
        <v>https://twitter.com/inovies/status/839758157777895424</v>
      </c>
      <c r="AF301" s="79">
        <v>42803.36251157407</v>
      </c>
      <c r="AG301" s="85">
        <v>42803</v>
      </c>
      <c r="AH301" s="81" t="s">
        <v>3014</v>
      </c>
      <c r="AI301" s="77" t="b">
        <v>0</v>
      </c>
      <c r="AJ301" s="77"/>
      <c r="AK301" s="77"/>
      <c r="AL301" s="77"/>
      <c r="AM301" s="77"/>
      <c r="AN301" s="77"/>
      <c r="AO301" s="77"/>
      <c r="AP301" s="77"/>
      <c r="AQ301" s="77"/>
      <c r="AR301" s="77"/>
      <c r="AS301" s="77"/>
      <c r="AT301" s="77"/>
      <c r="AU301" s="77"/>
      <c r="AV301" s="80" t="str">
        <f>HYPERLINK("https://pbs.twimg.com/profile_images/833576943677214720/5ZyUgpEJ_normal.jpg")</f>
        <v>https://pbs.twimg.com/profile_images/833576943677214720/5ZyUgpEJ_normal.jpg</v>
      </c>
      <c r="AW301" s="81" t="s">
        <v>4760</v>
      </c>
      <c r="AX301" s="81" t="s">
        <v>4760</v>
      </c>
      <c r="AY301" s="77"/>
      <c r="AZ301" s="81" t="s">
        <v>5773</v>
      </c>
      <c r="BA301" s="81" t="s">
        <v>5773</v>
      </c>
      <c r="BB301" s="81" t="s">
        <v>5773</v>
      </c>
      <c r="BC301" s="81" t="s">
        <v>4760</v>
      </c>
      <c r="BD301" s="77">
        <v>297885438</v>
      </c>
      <c r="BE301" s="77"/>
      <c r="BF301" s="77"/>
      <c r="BG301" s="77"/>
      <c r="BH301" s="77"/>
      <c r="BI301" s="77"/>
    </row>
    <row r="302" spans="1:61" ht="15">
      <c r="A302" s="62" t="s">
        <v>299</v>
      </c>
      <c r="B302" s="62" t="s">
        <v>495</v>
      </c>
      <c r="C302" s="63"/>
      <c r="D302" s="64"/>
      <c r="E302" s="65"/>
      <c r="F302" s="66"/>
      <c r="G302" s="63"/>
      <c r="H302" s="67"/>
      <c r="I302" s="68"/>
      <c r="J302" s="68"/>
      <c r="K302" s="32" t="s">
        <v>65</v>
      </c>
      <c r="L302" s="75">
        <v>302</v>
      </c>
      <c r="M302" s="75"/>
      <c r="N302" s="70"/>
      <c r="O302" s="77" t="s">
        <v>576</v>
      </c>
      <c r="P302" s="79">
        <v>44357.21910879629</v>
      </c>
      <c r="Q302" s="77" t="s">
        <v>826</v>
      </c>
      <c r="R302" s="77">
        <v>0</v>
      </c>
      <c r="S302" s="77">
        <v>1</v>
      </c>
      <c r="T302" s="77">
        <v>0</v>
      </c>
      <c r="U302" s="77">
        <v>0</v>
      </c>
      <c r="V302" s="77"/>
      <c r="W302" s="77"/>
      <c r="X302" s="80" t="str">
        <f>HYPERLINK("https://twitter.com/inovies/status/1402693044516757504")</f>
        <v>https://twitter.com/inovies/status/1402693044516757504</v>
      </c>
      <c r="Y302" s="77" t="s">
        <v>2000</v>
      </c>
      <c r="Z302" s="77" t="s">
        <v>495</v>
      </c>
      <c r="AA302" s="77"/>
      <c r="AB302" s="77"/>
      <c r="AC302" s="81" t="s">
        <v>2707</v>
      </c>
      <c r="AD302" s="77" t="s">
        <v>2752</v>
      </c>
      <c r="AE302" s="80" t="str">
        <f>HYPERLINK("https://twitter.com/inovies/status/1402856934579916805")</f>
        <v>https://twitter.com/inovies/status/1402856934579916805</v>
      </c>
      <c r="AF302" s="79">
        <v>44357.21910879629</v>
      </c>
      <c r="AG302" s="85">
        <v>44357</v>
      </c>
      <c r="AH302" s="81" t="s">
        <v>3015</v>
      </c>
      <c r="AI302" s="77" t="b">
        <v>0</v>
      </c>
      <c r="AJ302" s="77"/>
      <c r="AK302" s="77"/>
      <c r="AL302" s="77"/>
      <c r="AM302" s="77"/>
      <c r="AN302" s="77"/>
      <c r="AO302" s="77"/>
      <c r="AP302" s="77"/>
      <c r="AQ302" s="77"/>
      <c r="AR302" s="77"/>
      <c r="AS302" s="77"/>
      <c r="AT302" s="77"/>
      <c r="AU302" s="77"/>
      <c r="AV302" s="80" t="str">
        <f>HYPERLINK("https://pbs.twimg.com/profile_images/833576943677214720/5ZyUgpEJ_normal.jpg")</f>
        <v>https://pbs.twimg.com/profile_images/833576943677214720/5ZyUgpEJ_normal.jpg</v>
      </c>
      <c r="AW302" s="81" t="s">
        <v>4761</v>
      </c>
      <c r="AX302" s="81" t="s">
        <v>5695</v>
      </c>
      <c r="AY302" s="81" t="s">
        <v>5746</v>
      </c>
      <c r="AZ302" s="81" t="s">
        <v>5695</v>
      </c>
      <c r="BA302" s="81" t="s">
        <v>5168</v>
      </c>
      <c r="BB302" s="81" t="s">
        <v>5773</v>
      </c>
      <c r="BC302" s="81" t="s">
        <v>5695</v>
      </c>
      <c r="BD302" s="77">
        <v>297885438</v>
      </c>
      <c r="BE302" s="77"/>
      <c r="BF302" s="77"/>
      <c r="BG302" s="77"/>
      <c r="BH302" s="77"/>
      <c r="BI302" s="77"/>
    </row>
    <row r="303" spans="1:61" ht="15">
      <c r="A303" s="62" t="s">
        <v>299</v>
      </c>
      <c r="B303" s="62" t="s">
        <v>495</v>
      </c>
      <c r="C303" s="63"/>
      <c r="D303" s="64"/>
      <c r="E303" s="65"/>
      <c r="F303" s="66"/>
      <c r="G303" s="63"/>
      <c r="H303" s="67"/>
      <c r="I303" s="68"/>
      <c r="J303" s="68"/>
      <c r="K303" s="32" t="s">
        <v>65</v>
      </c>
      <c r="L303" s="75">
        <v>303</v>
      </c>
      <c r="M303" s="75"/>
      <c r="N303" s="70"/>
      <c r="O303" s="77" t="s">
        <v>572</v>
      </c>
      <c r="P303" s="79">
        <v>44357.21910879629</v>
      </c>
      <c r="Q303" s="77" t="s">
        <v>826</v>
      </c>
      <c r="R303" s="77">
        <v>0</v>
      </c>
      <c r="S303" s="77">
        <v>1</v>
      </c>
      <c r="T303" s="77">
        <v>0</v>
      </c>
      <c r="U303" s="77">
        <v>0</v>
      </c>
      <c r="V303" s="77"/>
      <c r="W303" s="77"/>
      <c r="X303" s="80" t="str">
        <f>HYPERLINK("https://twitter.com/inovies/status/1402693044516757504")</f>
        <v>https://twitter.com/inovies/status/1402693044516757504</v>
      </c>
      <c r="Y303" s="77" t="s">
        <v>2000</v>
      </c>
      <c r="Z303" s="77" t="s">
        <v>495</v>
      </c>
      <c r="AA303" s="77"/>
      <c r="AB303" s="77"/>
      <c r="AC303" s="81" t="s">
        <v>2707</v>
      </c>
      <c r="AD303" s="77" t="s">
        <v>2752</v>
      </c>
      <c r="AE303" s="80" t="str">
        <f>HYPERLINK("https://twitter.com/inovies/status/1402856934579916805")</f>
        <v>https://twitter.com/inovies/status/1402856934579916805</v>
      </c>
      <c r="AF303" s="79">
        <v>44357.21910879629</v>
      </c>
      <c r="AG303" s="85">
        <v>44357</v>
      </c>
      <c r="AH303" s="81" t="s">
        <v>3015</v>
      </c>
      <c r="AI303" s="77" t="b">
        <v>0</v>
      </c>
      <c r="AJ303" s="77"/>
      <c r="AK303" s="77"/>
      <c r="AL303" s="77"/>
      <c r="AM303" s="77"/>
      <c r="AN303" s="77"/>
      <c r="AO303" s="77"/>
      <c r="AP303" s="77"/>
      <c r="AQ303" s="77"/>
      <c r="AR303" s="77"/>
      <c r="AS303" s="77"/>
      <c r="AT303" s="77"/>
      <c r="AU303" s="77"/>
      <c r="AV303" s="80" t="str">
        <f>HYPERLINK("https://pbs.twimg.com/profile_images/833576943677214720/5ZyUgpEJ_normal.jpg")</f>
        <v>https://pbs.twimg.com/profile_images/833576943677214720/5ZyUgpEJ_normal.jpg</v>
      </c>
      <c r="AW303" s="81" t="s">
        <v>4761</v>
      </c>
      <c r="AX303" s="81" t="s">
        <v>5695</v>
      </c>
      <c r="AY303" s="81" t="s">
        <v>5746</v>
      </c>
      <c r="AZ303" s="81" t="s">
        <v>5695</v>
      </c>
      <c r="BA303" s="81" t="s">
        <v>5168</v>
      </c>
      <c r="BB303" s="81" t="s">
        <v>5773</v>
      </c>
      <c r="BC303" s="81" t="s">
        <v>5695</v>
      </c>
      <c r="BD303" s="77">
        <v>297885438</v>
      </c>
      <c r="BE303" s="77"/>
      <c r="BF303" s="77"/>
      <c r="BG303" s="77"/>
      <c r="BH303" s="77"/>
      <c r="BI303" s="77"/>
    </row>
    <row r="304" spans="1:61" ht="15">
      <c r="A304" s="62" t="s">
        <v>299</v>
      </c>
      <c r="B304" s="62" t="s">
        <v>496</v>
      </c>
      <c r="C304" s="63"/>
      <c r="D304" s="64"/>
      <c r="E304" s="65"/>
      <c r="F304" s="66"/>
      <c r="G304" s="63"/>
      <c r="H304" s="67"/>
      <c r="I304" s="68"/>
      <c r="J304" s="68"/>
      <c r="K304" s="32" t="s">
        <v>65</v>
      </c>
      <c r="L304" s="75">
        <v>304</v>
      </c>
      <c r="M304" s="75"/>
      <c r="N304" s="70"/>
      <c r="O304" s="77" t="s">
        <v>576</v>
      </c>
      <c r="P304" s="79">
        <v>44357.164814814816</v>
      </c>
      <c r="Q304" s="77" t="s">
        <v>827</v>
      </c>
      <c r="R304" s="77">
        <v>0</v>
      </c>
      <c r="S304" s="77">
        <v>0</v>
      </c>
      <c r="T304" s="77">
        <v>0</v>
      </c>
      <c r="U304" s="77">
        <v>0</v>
      </c>
      <c r="V304" s="77"/>
      <c r="W304" s="77"/>
      <c r="X304" s="80" t="str">
        <f>HYPERLINK("https://twitter.com/Inovies/status/1402693044516757504")</f>
        <v>https://twitter.com/Inovies/status/1402693044516757504</v>
      </c>
      <c r="Y304" s="77" t="s">
        <v>2000</v>
      </c>
      <c r="Z304" s="77" t="s">
        <v>2077</v>
      </c>
      <c r="AA304" s="77"/>
      <c r="AB304" s="77"/>
      <c r="AC304" s="81" t="s">
        <v>2707</v>
      </c>
      <c r="AD304" s="77" t="s">
        <v>2752</v>
      </c>
      <c r="AE304" s="80" t="str">
        <f>HYPERLINK("https://twitter.com/inovies/status/1402837258785333248")</f>
        <v>https://twitter.com/inovies/status/1402837258785333248</v>
      </c>
      <c r="AF304" s="79">
        <v>44357.164814814816</v>
      </c>
      <c r="AG304" s="85">
        <v>44357</v>
      </c>
      <c r="AH304" s="81" t="s">
        <v>3016</v>
      </c>
      <c r="AI304" s="77" t="b">
        <v>0</v>
      </c>
      <c r="AJ304" s="77"/>
      <c r="AK304" s="77"/>
      <c r="AL304" s="77"/>
      <c r="AM304" s="77"/>
      <c r="AN304" s="77"/>
      <c r="AO304" s="77"/>
      <c r="AP304" s="77"/>
      <c r="AQ304" s="77"/>
      <c r="AR304" s="77"/>
      <c r="AS304" s="77"/>
      <c r="AT304" s="77"/>
      <c r="AU304" s="77"/>
      <c r="AV304" s="80" t="str">
        <f>HYPERLINK("https://pbs.twimg.com/profile_images/833576943677214720/5ZyUgpEJ_normal.jpg")</f>
        <v>https://pbs.twimg.com/profile_images/833576943677214720/5ZyUgpEJ_normal.jpg</v>
      </c>
      <c r="AW304" s="81" t="s">
        <v>4762</v>
      </c>
      <c r="AX304" s="81" t="s">
        <v>5696</v>
      </c>
      <c r="AY304" s="81" t="s">
        <v>5747</v>
      </c>
      <c r="AZ304" s="81" t="s">
        <v>5779</v>
      </c>
      <c r="BA304" s="81" t="s">
        <v>5168</v>
      </c>
      <c r="BB304" s="81" t="s">
        <v>5773</v>
      </c>
      <c r="BC304" s="81" t="s">
        <v>5779</v>
      </c>
      <c r="BD304" s="77">
        <v>297885438</v>
      </c>
      <c r="BE304" s="77"/>
      <c r="BF304" s="77"/>
      <c r="BG304" s="77"/>
      <c r="BH304" s="77"/>
      <c r="BI304" s="77"/>
    </row>
    <row r="305" spans="1:61" ht="15">
      <c r="A305" s="62" t="s">
        <v>299</v>
      </c>
      <c r="B305" s="62" t="s">
        <v>497</v>
      </c>
      <c r="C305" s="63"/>
      <c r="D305" s="64"/>
      <c r="E305" s="65"/>
      <c r="F305" s="66"/>
      <c r="G305" s="63"/>
      <c r="H305" s="67"/>
      <c r="I305" s="68"/>
      <c r="J305" s="68"/>
      <c r="K305" s="32" t="s">
        <v>65</v>
      </c>
      <c r="L305" s="75">
        <v>305</v>
      </c>
      <c r="M305" s="75"/>
      <c r="N305" s="70"/>
      <c r="O305" s="77" t="s">
        <v>576</v>
      </c>
      <c r="P305" s="79">
        <v>44357.164814814816</v>
      </c>
      <c r="Q305" s="77" t="s">
        <v>827</v>
      </c>
      <c r="R305" s="77">
        <v>0</v>
      </c>
      <c r="S305" s="77">
        <v>0</v>
      </c>
      <c r="T305" s="77">
        <v>0</v>
      </c>
      <c r="U305" s="77">
        <v>0</v>
      </c>
      <c r="V305" s="77"/>
      <c r="W305" s="77"/>
      <c r="X305" s="80" t="str">
        <f>HYPERLINK("https://twitter.com/Inovies/status/1402693044516757504")</f>
        <v>https://twitter.com/Inovies/status/1402693044516757504</v>
      </c>
      <c r="Y305" s="77" t="s">
        <v>2000</v>
      </c>
      <c r="Z305" s="77" t="s">
        <v>2077</v>
      </c>
      <c r="AA305" s="77"/>
      <c r="AB305" s="77"/>
      <c r="AC305" s="81" t="s">
        <v>2707</v>
      </c>
      <c r="AD305" s="77" t="s">
        <v>2752</v>
      </c>
      <c r="AE305" s="80" t="str">
        <f>HYPERLINK("https://twitter.com/inovies/status/1402837258785333248")</f>
        <v>https://twitter.com/inovies/status/1402837258785333248</v>
      </c>
      <c r="AF305" s="79">
        <v>44357.164814814816</v>
      </c>
      <c r="AG305" s="85">
        <v>44357</v>
      </c>
      <c r="AH305" s="81" t="s">
        <v>3016</v>
      </c>
      <c r="AI305" s="77" t="b">
        <v>0</v>
      </c>
      <c r="AJ305" s="77"/>
      <c r="AK305" s="77"/>
      <c r="AL305" s="77"/>
      <c r="AM305" s="77"/>
      <c r="AN305" s="77"/>
      <c r="AO305" s="77"/>
      <c r="AP305" s="77"/>
      <c r="AQ305" s="77"/>
      <c r="AR305" s="77"/>
      <c r="AS305" s="77"/>
      <c r="AT305" s="77"/>
      <c r="AU305" s="77"/>
      <c r="AV305" s="80" t="str">
        <f>HYPERLINK("https://pbs.twimg.com/profile_images/833576943677214720/5ZyUgpEJ_normal.jpg")</f>
        <v>https://pbs.twimg.com/profile_images/833576943677214720/5ZyUgpEJ_normal.jpg</v>
      </c>
      <c r="AW305" s="81" t="s">
        <v>4762</v>
      </c>
      <c r="AX305" s="81" t="s">
        <v>5696</v>
      </c>
      <c r="AY305" s="81" t="s">
        <v>5747</v>
      </c>
      <c r="AZ305" s="81" t="s">
        <v>5779</v>
      </c>
      <c r="BA305" s="81" t="s">
        <v>5168</v>
      </c>
      <c r="BB305" s="81" t="s">
        <v>5773</v>
      </c>
      <c r="BC305" s="81" t="s">
        <v>5779</v>
      </c>
      <c r="BD305" s="77">
        <v>297885438</v>
      </c>
      <c r="BE305" s="77"/>
      <c r="BF305" s="77"/>
      <c r="BG305" s="77"/>
      <c r="BH305" s="77"/>
      <c r="BI305" s="77"/>
    </row>
    <row r="306" spans="1:61" ht="15">
      <c r="A306" s="62" t="s">
        <v>299</v>
      </c>
      <c r="B306" s="62" t="s">
        <v>497</v>
      </c>
      <c r="C306" s="63"/>
      <c r="D306" s="64"/>
      <c r="E306" s="65"/>
      <c r="F306" s="66"/>
      <c r="G306" s="63"/>
      <c r="H306" s="67"/>
      <c r="I306" s="68"/>
      <c r="J306" s="68"/>
      <c r="K306" s="32" t="s">
        <v>65</v>
      </c>
      <c r="L306" s="75">
        <v>306</v>
      </c>
      <c r="M306" s="75"/>
      <c r="N306" s="70"/>
      <c r="O306" s="77" t="s">
        <v>572</v>
      </c>
      <c r="P306" s="79">
        <v>44357.164814814816</v>
      </c>
      <c r="Q306" s="77" t="s">
        <v>827</v>
      </c>
      <c r="R306" s="77">
        <v>0</v>
      </c>
      <c r="S306" s="77">
        <v>0</v>
      </c>
      <c r="T306" s="77">
        <v>0</v>
      </c>
      <c r="U306" s="77">
        <v>0</v>
      </c>
      <c r="V306" s="77"/>
      <c r="W306" s="77"/>
      <c r="X306" s="80" t="str">
        <f>HYPERLINK("https://twitter.com/Inovies/status/1402693044516757504")</f>
        <v>https://twitter.com/Inovies/status/1402693044516757504</v>
      </c>
      <c r="Y306" s="77" t="s">
        <v>2000</v>
      </c>
      <c r="Z306" s="77" t="s">
        <v>2077</v>
      </c>
      <c r="AA306" s="77"/>
      <c r="AB306" s="77"/>
      <c r="AC306" s="81" t="s">
        <v>2707</v>
      </c>
      <c r="AD306" s="77" t="s">
        <v>2752</v>
      </c>
      <c r="AE306" s="80" t="str">
        <f>HYPERLINK("https://twitter.com/inovies/status/1402837258785333248")</f>
        <v>https://twitter.com/inovies/status/1402837258785333248</v>
      </c>
      <c r="AF306" s="79">
        <v>44357.164814814816</v>
      </c>
      <c r="AG306" s="85">
        <v>44357</v>
      </c>
      <c r="AH306" s="81" t="s">
        <v>3016</v>
      </c>
      <c r="AI306" s="77" t="b">
        <v>0</v>
      </c>
      <c r="AJ306" s="77"/>
      <c r="AK306" s="77"/>
      <c r="AL306" s="77"/>
      <c r="AM306" s="77"/>
      <c r="AN306" s="77"/>
      <c r="AO306" s="77"/>
      <c r="AP306" s="77"/>
      <c r="AQ306" s="77"/>
      <c r="AR306" s="77"/>
      <c r="AS306" s="77"/>
      <c r="AT306" s="77"/>
      <c r="AU306" s="77"/>
      <c r="AV306" s="80" t="str">
        <f>HYPERLINK("https://pbs.twimg.com/profile_images/833576943677214720/5ZyUgpEJ_normal.jpg")</f>
        <v>https://pbs.twimg.com/profile_images/833576943677214720/5ZyUgpEJ_normal.jpg</v>
      </c>
      <c r="AW306" s="81" t="s">
        <v>4762</v>
      </c>
      <c r="AX306" s="81" t="s">
        <v>5696</v>
      </c>
      <c r="AY306" s="81" t="s">
        <v>5747</v>
      </c>
      <c r="AZ306" s="81" t="s">
        <v>5779</v>
      </c>
      <c r="BA306" s="81" t="s">
        <v>5168</v>
      </c>
      <c r="BB306" s="81" t="s">
        <v>5773</v>
      </c>
      <c r="BC306" s="81" t="s">
        <v>5779</v>
      </c>
      <c r="BD306" s="77">
        <v>297885438</v>
      </c>
      <c r="BE306" s="77"/>
      <c r="BF306" s="77"/>
      <c r="BG306" s="77"/>
      <c r="BH306" s="77"/>
      <c r="BI306" s="77"/>
    </row>
    <row r="307" spans="1:61" ht="15">
      <c r="A307" s="62" t="s">
        <v>299</v>
      </c>
      <c r="B307" s="62" t="s">
        <v>498</v>
      </c>
      <c r="C307" s="63"/>
      <c r="D307" s="64"/>
      <c r="E307" s="65"/>
      <c r="F307" s="66"/>
      <c r="G307" s="63"/>
      <c r="H307" s="67"/>
      <c r="I307" s="68"/>
      <c r="J307" s="68"/>
      <c r="K307" s="32" t="s">
        <v>65</v>
      </c>
      <c r="L307" s="75">
        <v>307</v>
      </c>
      <c r="M307" s="75"/>
      <c r="N307" s="70"/>
      <c r="O307" s="77" t="s">
        <v>572</v>
      </c>
      <c r="P307" s="79">
        <v>44357.163773148146</v>
      </c>
      <c r="Q307" s="77" t="s">
        <v>828</v>
      </c>
      <c r="R307" s="77">
        <v>0</v>
      </c>
      <c r="S307" s="77">
        <v>0</v>
      </c>
      <c r="T307" s="77">
        <v>0</v>
      </c>
      <c r="U307" s="77">
        <v>0</v>
      </c>
      <c r="V307" s="77"/>
      <c r="W307" s="77"/>
      <c r="X307" s="80" t="str">
        <f>HYPERLINK("https://twitter.com/Inovies/status/1402693044516757504")</f>
        <v>https://twitter.com/Inovies/status/1402693044516757504</v>
      </c>
      <c r="Y307" s="77" t="s">
        <v>2000</v>
      </c>
      <c r="Z307" s="77" t="s">
        <v>544</v>
      </c>
      <c r="AA307" s="77"/>
      <c r="AB307" s="77"/>
      <c r="AC307" s="81" t="s">
        <v>2707</v>
      </c>
      <c r="AD307" s="77" t="s">
        <v>2752</v>
      </c>
      <c r="AE307" s="80" t="str">
        <f>HYPERLINK("https://twitter.com/inovies/status/1402836880370987011")</f>
        <v>https://twitter.com/inovies/status/1402836880370987011</v>
      </c>
      <c r="AF307" s="79">
        <v>44357.163773148146</v>
      </c>
      <c r="AG307" s="85">
        <v>44357</v>
      </c>
      <c r="AH307" s="81" t="s">
        <v>3017</v>
      </c>
      <c r="AI307" s="77" t="b">
        <v>0</v>
      </c>
      <c r="AJ307" s="77"/>
      <c r="AK307" s="77"/>
      <c r="AL307" s="77"/>
      <c r="AM307" s="77"/>
      <c r="AN307" s="77"/>
      <c r="AO307" s="77"/>
      <c r="AP307" s="77"/>
      <c r="AQ307" s="77"/>
      <c r="AR307" s="77"/>
      <c r="AS307" s="77"/>
      <c r="AT307" s="77"/>
      <c r="AU307" s="77"/>
      <c r="AV307" s="80" t="str">
        <f>HYPERLINK("https://pbs.twimg.com/profile_images/833576943677214720/5ZyUgpEJ_normal.jpg")</f>
        <v>https://pbs.twimg.com/profile_images/833576943677214720/5ZyUgpEJ_normal.jpg</v>
      </c>
      <c r="AW307" s="81" t="s">
        <v>4763</v>
      </c>
      <c r="AX307" s="81" t="s">
        <v>5697</v>
      </c>
      <c r="AY307" s="81" t="s">
        <v>5748</v>
      </c>
      <c r="AZ307" s="81" t="s">
        <v>5780</v>
      </c>
      <c r="BA307" s="81" t="s">
        <v>5168</v>
      </c>
      <c r="BB307" s="81" t="s">
        <v>5773</v>
      </c>
      <c r="BC307" s="81" t="s">
        <v>5780</v>
      </c>
      <c r="BD307" s="77">
        <v>297885438</v>
      </c>
      <c r="BE307" s="77"/>
      <c r="BF307" s="77"/>
      <c r="BG307" s="77"/>
      <c r="BH307" s="77"/>
      <c r="BI307" s="77"/>
    </row>
    <row r="308" spans="1:61" ht="15">
      <c r="A308" s="62" t="s">
        <v>299</v>
      </c>
      <c r="B308" s="62" t="s">
        <v>499</v>
      </c>
      <c r="C308" s="63"/>
      <c r="D308" s="64"/>
      <c r="E308" s="65"/>
      <c r="F308" s="66"/>
      <c r="G308" s="63"/>
      <c r="H308" s="67"/>
      <c r="I308" s="68"/>
      <c r="J308" s="68"/>
      <c r="K308" s="32" t="s">
        <v>65</v>
      </c>
      <c r="L308" s="75">
        <v>308</v>
      </c>
      <c r="M308" s="75"/>
      <c r="N308" s="70"/>
      <c r="O308" s="77" t="s">
        <v>576</v>
      </c>
      <c r="P308" s="79">
        <v>44357.16365740741</v>
      </c>
      <c r="Q308" s="77" t="s">
        <v>829</v>
      </c>
      <c r="R308" s="77">
        <v>0</v>
      </c>
      <c r="S308" s="77">
        <v>0</v>
      </c>
      <c r="T308" s="77">
        <v>0</v>
      </c>
      <c r="U308" s="77">
        <v>0</v>
      </c>
      <c r="V308" s="77"/>
      <c r="W308" s="77"/>
      <c r="X308" s="80" t="str">
        <f>HYPERLINK("https://twitter.com/Inovies/status/1402693044516757504")</f>
        <v>https://twitter.com/Inovies/status/1402693044516757504</v>
      </c>
      <c r="Y308" s="77" t="s">
        <v>2000</v>
      </c>
      <c r="Z308" s="77" t="s">
        <v>499</v>
      </c>
      <c r="AA308" s="77"/>
      <c r="AB308" s="77"/>
      <c r="AC308" s="81" t="s">
        <v>2707</v>
      </c>
      <c r="AD308" s="77" t="s">
        <v>2752</v>
      </c>
      <c r="AE308" s="80" t="str">
        <f>HYPERLINK("https://twitter.com/inovies/status/1402836838100787203")</f>
        <v>https://twitter.com/inovies/status/1402836838100787203</v>
      </c>
      <c r="AF308" s="79">
        <v>44357.16365740741</v>
      </c>
      <c r="AG308" s="85">
        <v>44357</v>
      </c>
      <c r="AH308" s="81" t="s">
        <v>3018</v>
      </c>
      <c r="AI308" s="77" t="b">
        <v>0</v>
      </c>
      <c r="AJ308" s="77"/>
      <c r="AK308" s="77"/>
      <c r="AL308" s="77"/>
      <c r="AM308" s="77"/>
      <c r="AN308" s="77"/>
      <c r="AO308" s="77"/>
      <c r="AP308" s="77"/>
      <c r="AQ308" s="77"/>
      <c r="AR308" s="77"/>
      <c r="AS308" s="77"/>
      <c r="AT308" s="77"/>
      <c r="AU308" s="77"/>
      <c r="AV308" s="80" t="str">
        <f>HYPERLINK("https://pbs.twimg.com/profile_images/833576943677214720/5ZyUgpEJ_normal.jpg")</f>
        <v>https://pbs.twimg.com/profile_images/833576943677214720/5ZyUgpEJ_normal.jpg</v>
      </c>
      <c r="AW308" s="81" t="s">
        <v>4764</v>
      </c>
      <c r="AX308" s="81" t="s">
        <v>5698</v>
      </c>
      <c r="AY308" s="81" t="s">
        <v>5749</v>
      </c>
      <c r="AZ308" s="81" t="s">
        <v>5698</v>
      </c>
      <c r="BA308" s="81" t="s">
        <v>5168</v>
      </c>
      <c r="BB308" s="81" t="s">
        <v>5773</v>
      </c>
      <c r="BC308" s="81" t="s">
        <v>5698</v>
      </c>
      <c r="BD308" s="77">
        <v>297885438</v>
      </c>
      <c r="BE308" s="77"/>
      <c r="BF308" s="77"/>
      <c r="BG308" s="77"/>
      <c r="BH308" s="77"/>
      <c r="BI308" s="77"/>
    </row>
    <row r="309" spans="1:61" ht="15">
      <c r="A309" s="62" t="s">
        <v>299</v>
      </c>
      <c r="B309" s="62" t="s">
        <v>499</v>
      </c>
      <c r="C309" s="63"/>
      <c r="D309" s="64"/>
      <c r="E309" s="65"/>
      <c r="F309" s="66"/>
      <c r="G309" s="63"/>
      <c r="H309" s="67"/>
      <c r="I309" s="68"/>
      <c r="J309" s="68"/>
      <c r="K309" s="32" t="s">
        <v>65</v>
      </c>
      <c r="L309" s="75">
        <v>309</v>
      </c>
      <c r="M309" s="75"/>
      <c r="N309" s="70"/>
      <c r="O309" s="77" t="s">
        <v>572</v>
      </c>
      <c r="P309" s="79">
        <v>44357.16365740741</v>
      </c>
      <c r="Q309" s="77" t="s">
        <v>829</v>
      </c>
      <c r="R309" s="77">
        <v>0</v>
      </c>
      <c r="S309" s="77">
        <v>0</v>
      </c>
      <c r="T309" s="77">
        <v>0</v>
      </c>
      <c r="U309" s="77">
        <v>0</v>
      </c>
      <c r="V309" s="77"/>
      <c r="W309" s="77"/>
      <c r="X309" s="80" t="str">
        <f>HYPERLINK("https://twitter.com/Inovies/status/1402693044516757504")</f>
        <v>https://twitter.com/Inovies/status/1402693044516757504</v>
      </c>
      <c r="Y309" s="77" t="s">
        <v>2000</v>
      </c>
      <c r="Z309" s="77" t="s">
        <v>499</v>
      </c>
      <c r="AA309" s="77"/>
      <c r="AB309" s="77"/>
      <c r="AC309" s="81" t="s">
        <v>2707</v>
      </c>
      <c r="AD309" s="77" t="s">
        <v>2752</v>
      </c>
      <c r="AE309" s="80" t="str">
        <f>HYPERLINK("https://twitter.com/inovies/status/1402836838100787203")</f>
        <v>https://twitter.com/inovies/status/1402836838100787203</v>
      </c>
      <c r="AF309" s="79">
        <v>44357.16365740741</v>
      </c>
      <c r="AG309" s="85">
        <v>44357</v>
      </c>
      <c r="AH309" s="81" t="s">
        <v>3018</v>
      </c>
      <c r="AI309" s="77" t="b">
        <v>0</v>
      </c>
      <c r="AJ309" s="77"/>
      <c r="AK309" s="77"/>
      <c r="AL309" s="77"/>
      <c r="AM309" s="77"/>
      <c r="AN309" s="77"/>
      <c r="AO309" s="77"/>
      <c r="AP309" s="77"/>
      <c r="AQ309" s="77"/>
      <c r="AR309" s="77"/>
      <c r="AS309" s="77"/>
      <c r="AT309" s="77"/>
      <c r="AU309" s="77"/>
      <c r="AV309" s="80" t="str">
        <f>HYPERLINK("https://pbs.twimg.com/profile_images/833576943677214720/5ZyUgpEJ_normal.jpg")</f>
        <v>https://pbs.twimg.com/profile_images/833576943677214720/5ZyUgpEJ_normal.jpg</v>
      </c>
      <c r="AW309" s="81" t="s">
        <v>4764</v>
      </c>
      <c r="AX309" s="81" t="s">
        <v>5698</v>
      </c>
      <c r="AY309" s="81" t="s">
        <v>5749</v>
      </c>
      <c r="AZ309" s="81" t="s">
        <v>5698</v>
      </c>
      <c r="BA309" s="81" t="s">
        <v>5168</v>
      </c>
      <c r="BB309" s="81" t="s">
        <v>5773</v>
      </c>
      <c r="BC309" s="81" t="s">
        <v>5698</v>
      </c>
      <c r="BD309" s="77">
        <v>297885438</v>
      </c>
      <c r="BE309" s="77"/>
      <c r="BF309" s="77"/>
      <c r="BG309" s="77"/>
      <c r="BH309" s="77"/>
      <c r="BI309" s="77"/>
    </row>
    <row r="310" spans="1:61" ht="15">
      <c r="A310" s="62" t="s">
        <v>299</v>
      </c>
      <c r="B310" s="62" t="s">
        <v>500</v>
      </c>
      <c r="C310" s="63"/>
      <c r="D310" s="64"/>
      <c r="E310" s="65"/>
      <c r="F310" s="66"/>
      <c r="G310" s="63"/>
      <c r="H310" s="67"/>
      <c r="I310" s="68"/>
      <c r="J310" s="68"/>
      <c r="K310" s="32" t="s">
        <v>65</v>
      </c>
      <c r="L310" s="75">
        <v>310</v>
      </c>
      <c r="M310" s="75"/>
      <c r="N310" s="70"/>
      <c r="O310" s="77" t="s">
        <v>576</v>
      </c>
      <c r="P310" s="79">
        <v>44357.163564814815</v>
      </c>
      <c r="Q310" s="77" t="s">
        <v>830</v>
      </c>
      <c r="R310" s="77">
        <v>0</v>
      </c>
      <c r="S310" s="77">
        <v>0</v>
      </c>
      <c r="T310" s="77">
        <v>0</v>
      </c>
      <c r="U310" s="77">
        <v>0</v>
      </c>
      <c r="V310" s="77"/>
      <c r="W310" s="77"/>
      <c r="X310" s="80" t="str">
        <f>HYPERLINK("https://twitter.com/Inovies/status/1402693044516757504")</f>
        <v>https://twitter.com/Inovies/status/1402693044516757504</v>
      </c>
      <c r="Y310" s="77" t="s">
        <v>2000</v>
      </c>
      <c r="Z310" s="77" t="s">
        <v>2078</v>
      </c>
      <c r="AA310" s="77"/>
      <c r="AB310" s="77"/>
      <c r="AC310" s="81" t="s">
        <v>2707</v>
      </c>
      <c r="AD310" s="77" t="s">
        <v>2752</v>
      </c>
      <c r="AE310" s="80" t="str">
        <f>HYPERLINK("https://twitter.com/inovies/status/1402836807088164864")</f>
        <v>https://twitter.com/inovies/status/1402836807088164864</v>
      </c>
      <c r="AF310" s="79">
        <v>44357.163564814815</v>
      </c>
      <c r="AG310" s="85">
        <v>44357</v>
      </c>
      <c r="AH310" s="81" t="s">
        <v>3019</v>
      </c>
      <c r="AI310" s="77" t="b">
        <v>0</v>
      </c>
      <c r="AJ310" s="77"/>
      <c r="AK310" s="77"/>
      <c r="AL310" s="77"/>
      <c r="AM310" s="77"/>
      <c r="AN310" s="77"/>
      <c r="AO310" s="77"/>
      <c r="AP310" s="77"/>
      <c r="AQ310" s="77"/>
      <c r="AR310" s="77"/>
      <c r="AS310" s="77"/>
      <c r="AT310" s="77"/>
      <c r="AU310" s="77"/>
      <c r="AV310" s="80" t="str">
        <f>HYPERLINK("https://pbs.twimg.com/profile_images/833576943677214720/5ZyUgpEJ_normal.jpg")</f>
        <v>https://pbs.twimg.com/profile_images/833576943677214720/5ZyUgpEJ_normal.jpg</v>
      </c>
      <c r="AW310" s="81" t="s">
        <v>4765</v>
      </c>
      <c r="AX310" s="81" t="s">
        <v>5699</v>
      </c>
      <c r="AY310" s="81" t="s">
        <v>5750</v>
      </c>
      <c r="AZ310" s="81" t="s">
        <v>5699</v>
      </c>
      <c r="BA310" s="81" t="s">
        <v>5168</v>
      </c>
      <c r="BB310" s="81" t="s">
        <v>5773</v>
      </c>
      <c r="BC310" s="81" t="s">
        <v>5699</v>
      </c>
      <c r="BD310" s="77">
        <v>297885438</v>
      </c>
      <c r="BE310" s="77"/>
      <c r="BF310" s="77"/>
      <c r="BG310" s="77"/>
      <c r="BH310" s="77"/>
      <c r="BI310" s="77"/>
    </row>
    <row r="311" spans="1:61" ht="15">
      <c r="A311" s="62" t="s">
        <v>299</v>
      </c>
      <c r="B311" s="62" t="s">
        <v>501</v>
      </c>
      <c r="C311" s="63"/>
      <c r="D311" s="64"/>
      <c r="E311" s="65"/>
      <c r="F311" s="66"/>
      <c r="G311" s="63"/>
      <c r="H311" s="67"/>
      <c r="I311" s="68"/>
      <c r="J311" s="68"/>
      <c r="K311" s="32" t="s">
        <v>65</v>
      </c>
      <c r="L311" s="75">
        <v>311</v>
      </c>
      <c r="M311" s="75"/>
      <c r="N311" s="70"/>
      <c r="O311" s="77" t="s">
        <v>576</v>
      </c>
      <c r="P311" s="79">
        <v>44357.163564814815</v>
      </c>
      <c r="Q311" s="77" t="s">
        <v>830</v>
      </c>
      <c r="R311" s="77">
        <v>0</v>
      </c>
      <c r="S311" s="77">
        <v>0</v>
      </c>
      <c r="T311" s="77">
        <v>0</v>
      </c>
      <c r="U311" s="77">
        <v>0</v>
      </c>
      <c r="V311" s="77"/>
      <c r="W311" s="77"/>
      <c r="X311" s="80" t="str">
        <f>HYPERLINK("https://twitter.com/Inovies/status/1402693044516757504")</f>
        <v>https://twitter.com/Inovies/status/1402693044516757504</v>
      </c>
      <c r="Y311" s="77" t="s">
        <v>2000</v>
      </c>
      <c r="Z311" s="77" t="s">
        <v>2078</v>
      </c>
      <c r="AA311" s="77"/>
      <c r="AB311" s="77"/>
      <c r="AC311" s="81" t="s">
        <v>2707</v>
      </c>
      <c r="AD311" s="77" t="s">
        <v>2752</v>
      </c>
      <c r="AE311" s="80" t="str">
        <f>HYPERLINK("https://twitter.com/inovies/status/1402836807088164864")</f>
        <v>https://twitter.com/inovies/status/1402836807088164864</v>
      </c>
      <c r="AF311" s="79">
        <v>44357.163564814815</v>
      </c>
      <c r="AG311" s="85">
        <v>44357</v>
      </c>
      <c r="AH311" s="81" t="s">
        <v>3019</v>
      </c>
      <c r="AI311" s="77" t="b">
        <v>0</v>
      </c>
      <c r="AJ311" s="77"/>
      <c r="AK311" s="77"/>
      <c r="AL311" s="77"/>
      <c r="AM311" s="77"/>
      <c r="AN311" s="77"/>
      <c r="AO311" s="77"/>
      <c r="AP311" s="77"/>
      <c r="AQ311" s="77"/>
      <c r="AR311" s="77"/>
      <c r="AS311" s="77"/>
      <c r="AT311" s="77"/>
      <c r="AU311" s="77"/>
      <c r="AV311" s="80" t="str">
        <f>HYPERLINK("https://pbs.twimg.com/profile_images/833576943677214720/5ZyUgpEJ_normal.jpg")</f>
        <v>https://pbs.twimg.com/profile_images/833576943677214720/5ZyUgpEJ_normal.jpg</v>
      </c>
      <c r="AW311" s="81" t="s">
        <v>4765</v>
      </c>
      <c r="AX311" s="81" t="s">
        <v>5699</v>
      </c>
      <c r="AY311" s="81" t="s">
        <v>5750</v>
      </c>
      <c r="AZ311" s="81" t="s">
        <v>5699</v>
      </c>
      <c r="BA311" s="81" t="s">
        <v>5168</v>
      </c>
      <c r="BB311" s="81" t="s">
        <v>5773</v>
      </c>
      <c r="BC311" s="81" t="s">
        <v>5699</v>
      </c>
      <c r="BD311" s="77">
        <v>297885438</v>
      </c>
      <c r="BE311" s="77"/>
      <c r="BF311" s="77"/>
      <c r="BG311" s="77"/>
      <c r="BH311" s="77"/>
      <c r="BI311" s="77"/>
    </row>
    <row r="312" spans="1:61" ht="15">
      <c r="A312" s="62" t="s">
        <v>299</v>
      </c>
      <c r="B312" s="62" t="s">
        <v>501</v>
      </c>
      <c r="C312" s="63"/>
      <c r="D312" s="64"/>
      <c r="E312" s="65"/>
      <c r="F312" s="66"/>
      <c r="G312" s="63"/>
      <c r="H312" s="67"/>
      <c r="I312" s="68"/>
      <c r="J312" s="68"/>
      <c r="K312" s="32" t="s">
        <v>65</v>
      </c>
      <c r="L312" s="75">
        <v>312</v>
      </c>
      <c r="M312" s="75"/>
      <c r="N312" s="70"/>
      <c r="O312" s="77" t="s">
        <v>572</v>
      </c>
      <c r="P312" s="79">
        <v>44357.163564814815</v>
      </c>
      <c r="Q312" s="77" t="s">
        <v>830</v>
      </c>
      <c r="R312" s="77">
        <v>0</v>
      </c>
      <c r="S312" s="77">
        <v>0</v>
      </c>
      <c r="T312" s="77">
        <v>0</v>
      </c>
      <c r="U312" s="77">
        <v>0</v>
      </c>
      <c r="V312" s="77"/>
      <c r="W312" s="77"/>
      <c r="X312" s="80" t="str">
        <f>HYPERLINK("https://twitter.com/Inovies/status/1402693044516757504")</f>
        <v>https://twitter.com/Inovies/status/1402693044516757504</v>
      </c>
      <c r="Y312" s="77" t="s">
        <v>2000</v>
      </c>
      <c r="Z312" s="77" t="s">
        <v>2078</v>
      </c>
      <c r="AA312" s="77"/>
      <c r="AB312" s="77"/>
      <c r="AC312" s="81" t="s">
        <v>2707</v>
      </c>
      <c r="AD312" s="77" t="s">
        <v>2752</v>
      </c>
      <c r="AE312" s="80" t="str">
        <f>HYPERLINK("https://twitter.com/inovies/status/1402836807088164864")</f>
        <v>https://twitter.com/inovies/status/1402836807088164864</v>
      </c>
      <c r="AF312" s="79">
        <v>44357.163564814815</v>
      </c>
      <c r="AG312" s="85">
        <v>44357</v>
      </c>
      <c r="AH312" s="81" t="s">
        <v>3019</v>
      </c>
      <c r="AI312" s="77" t="b">
        <v>0</v>
      </c>
      <c r="AJ312" s="77"/>
      <c r="AK312" s="77"/>
      <c r="AL312" s="77"/>
      <c r="AM312" s="77"/>
      <c r="AN312" s="77"/>
      <c r="AO312" s="77"/>
      <c r="AP312" s="77"/>
      <c r="AQ312" s="77"/>
      <c r="AR312" s="77"/>
      <c r="AS312" s="77"/>
      <c r="AT312" s="77"/>
      <c r="AU312" s="77"/>
      <c r="AV312" s="80" t="str">
        <f>HYPERLINK("https://pbs.twimg.com/profile_images/833576943677214720/5ZyUgpEJ_normal.jpg")</f>
        <v>https://pbs.twimg.com/profile_images/833576943677214720/5ZyUgpEJ_normal.jpg</v>
      </c>
      <c r="AW312" s="81" t="s">
        <v>4765</v>
      </c>
      <c r="AX312" s="81" t="s">
        <v>5699</v>
      </c>
      <c r="AY312" s="81" t="s">
        <v>5750</v>
      </c>
      <c r="AZ312" s="81" t="s">
        <v>5699</v>
      </c>
      <c r="BA312" s="81" t="s">
        <v>5168</v>
      </c>
      <c r="BB312" s="81" t="s">
        <v>5773</v>
      </c>
      <c r="BC312" s="81" t="s">
        <v>5699</v>
      </c>
      <c r="BD312" s="77">
        <v>297885438</v>
      </c>
      <c r="BE312" s="77"/>
      <c r="BF312" s="77"/>
      <c r="BG312" s="77"/>
      <c r="BH312" s="77"/>
      <c r="BI312" s="77"/>
    </row>
    <row r="313" spans="1:61" ht="15">
      <c r="A313" s="62" t="s">
        <v>299</v>
      </c>
      <c r="B313" s="62" t="s">
        <v>502</v>
      </c>
      <c r="C313" s="63"/>
      <c r="D313" s="64"/>
      <c r="E313" s="65"/>
      <c r="F313" s="66"/>
      <c r="G313" s="63"/>
      <c r="H313" s="67"/>
      <c r="I313" s="68"/>
      <c r="J313" s="68"/>
      <c r="K313" s="32" t="s">
        <v>65</v>
      </c>
      <c r="L313" s="75">
        <v>313</v>
      </c>
      <c r="M313" s="75"/>
      <c r="N313" s="70"/>
      <c r="O313" s="77" t="s">
        <v>576</v>
      </c>
      <c r="P313" s="79">
        <v>44357.15969907407</v>
      </c>
      <c r="Q313" s="77" t="s">
        <v>831</v>
      </c>
      <c r="R313" s="77">
        <v>0</v>
      </c>
      <c r="S313" s="77">
        <v>0</v>
      </c>
      <c r="T313" s="77">
        <v>0</v>
      </c>
      <c r="U313" s="77">
        <v>0</v>
      </c>
      <c r="V313" s="77"/>
      <c r="W313" s="77"/>
      <c r="X313" s="80" t="str">
        <f>HYPERLINK("https://twitter.com/Inovies/status/1402693044516757504")</f>
        <v>https://twitter.com/Inovies/status/1402693044516757504</v>
      </c>
      <c r="Y313" s="77" t="s">
        <v>2000</v>
      </c>
      <c r="Z313" s="77" t="s">
        <v>502</v>
      </c>
      <c r="AA313" s="77"/>
      <c r="AB313" s="77"/>
      <c r="AC313" s="81" t="s">
        <v>2707</v>
      </c>
      <c r="AD313" s="77" t="s">
        <v>2752</v>
      </c>
      <c r="AE313" s="80" t="str">
        <f>HYPERLINK("https://twitter.com/inovies/status/1402835403174944768")</f>
        <v>https://twitter.com/inovies/status/1402835403174944768</v>
      </c>
      <c r="AF313" s="79">
        <v>44357.15969907407</v>
      </c>
      <c r="AG313" s="85">
        <v>44357</v>
      </c>
      <c r="AH313" s="81" t="s">
        <v>3020</v>
      </c>
      <c r="AI313" s="77" t="b">
        <v>0</v>
      </c>
      <c r="AJ313" s="77"/>
      <c r="AK313" s="77"/>
      <c r="AL313" s="77"/>
      <c r="AM313" s="77"/>
      <c r="AN313" s="77"/>
      <c r="AO313" s="77"/>
      <c r="AP313" s="77"/>
      <c r="AQ313" s="77"/>
      <c r="AR313" s="77"/>
      <c r="AS313" s="77"/>
      <c r="AT313" s="77"/>
      <c r="AU313" s="77"/>
      <c r="AV313" s="80" t="str">
        <f>HYPERLINK("https://pbs.twimg.com/profile_images/833576943677214720/5ZyUgpEJ_normal.jpg")</f>
        <v>https://pbs.twimg.com/profile_images/833576943677214720/5ZyUgpEJ_normal.jpg</v>
      </c>
      <c r="AW313" s="81" t="s">
        <v>4766</v>
      </c>
      <c r="AX313" s="81" t="s">
        <v>5700</v>
      </c>
      <c r="AY313" s="81" t="s">
        <v>5751</v>
      </c>
      <c r="AZ313" s="81" t="s">
        <v>5700</v>
      </c>
      <c r="BA313" s="81" t="s">
        <v>5168</v>
      </c>
      <c r="BB313" s="81" t="s">
        <v>5773</v>
      </c>
      <c r="BC313" s="81" t="s">
        <v>5700</v>
      </c>
      <c r="BD313" s="77">
        <v>297885438</v>
      </c>
      <c r="BE313" s="77"/>
      <c r="BF313" s="77"/>
      <c r="BG313" s="77"/>
      <c r="BH313" s="77"/>
      <c r="BI313" s="77"/>
    </row>
    <row r="314" spans="1:61" ht="15">
      <c r="A314" s="62" t="s">
        <v>299</v>
      </c>
      <c r="B314" s="62" t="s">
        <v>502</v>
      </c>
      <c r="C314" s="63"/>
      <c r="D314" s="64"/>
      <c r="E314" s="65"/>
      <c r="F314" s="66"/>
      <c r="G314" s="63"/>
      <c r="H314" s="67"/>
      <c r="I314" s="68"/>
      <c r="J314" s="68"/>
      <c r="K314" s="32" t="s">
        <v>65</v>
      </c>
      <c r="L314" s="75">
        <v>314</v>
      </c>
      <c r="M314" s="75"/>
      <c r="N314" s="70"/>
      <c r="O314" s="77" t="s">
        <v>572</v>
      </c>
      <c r="P314" s="79">
        <v>44357.15969907407</v>
      </c>
      <c r="Q314" s="77" t="s">
        <v>831</v>
      </c>
      <c r="R314" s="77">
        <v>0</v>
      </c>
      <c r="S314" s="77">
        <v>0</v>
      </c>
      <c r="T314" s="77">
        <v>0</v>
      </c>
      <c r="U314" s="77">
        <v>0</v>
      </c>
      <c r="V314" s="77"/>
      <c r="W314" s="77"/>
      <c r="X314" s="80" t="str">
        <f>HYPERLINK("https://twitter.com/Inovies/status/1402693044516757504")</f>
        <v>https://twitter.com/Inovies/status/1402693044516757504</v>
      </c>
      <c r="Y314" s="77" t="s">
        <v>2000</v>
      </c>
      <c r="Z314" s="77" t="s">
        <v>502</v>
      </c>
      <c r="AA314" s="77"/>
      <c r="AB314" s="77"/>
      <c r="AC314" s="81" t="s">
        <v>2707</v>
      </c>
      <c r="AD314" s="77" t="s">
        <v>2752</v>
      </c>
      <c r="AE314" s="80" t="str">
        <f>HYPERLINK("https://twitter.com/inovies/status/1402835403174944768")</f>
        <v>https://twitter.com/inovies/status/1402835403174944768</v>
      </c>
      <c r="AF314" s="79">
        <v>44357.15969907407</v>
      </c>
      <c r="AG314" s="85">
        <v>44357</v>
      </c>
      <c r="AH314" s="81" t="s">
        <v>3020</v>
      </c>
      <c r="AI314" s="77" t="b">
        <v>0</v>
      </c>
      <c r="AJ314" s="77"/>
      <c r="AK314" s="77"/>
      <c r="AL314" s="77"/>
      <c r="AM314" s="77"/>
      <c r="AN314" s="77"/>
      <c r="AO314" s="77"/>
      <c r="AP314" s="77"/>
      <c r="AQ314" s="77"/>
      <c r="AR314" s="77"/>
      <c r="AS314" s="77"/>
      <c r="AT314" s="77"/>
      <c r="AU314" s="77"/>
      <c r="AV314" s="80" t="str">
        <f>HYPERLINK("https://pbs.twimg.com/profile_images/833576943677214720/5ZyUgpEJ_normal.jpg")</f>
        <v>https://pbs.twimg.com/profile_images/833576943677214720/5ZyUgpEJ_normal.jpg</v>
      </c>
      <c r="AW314" s="81" t="s">
        <v>4766</v>
      </c>
      <c r="AX314" s="81" t="s">
        <v>5700</v>
      </c>
      <c r="AY314" s="81" t="s">
        <v>5751</v>
      </c>
      <c r="AZ314" s="81" t="s">
        <v>5700</v>
      </c>
      <c r="BA314" s="81" t="s">
        <v>5168</v>
      </c>
      <c r="BB314" s="81" t="s">
        <v>5773</v>
      </c>
      <c r="BC314" s="81" t="s">
        <v>5700</v>
      </c>
      <c r="BD314" s="77">
        <v>297885438</v>
      </c>
      <c r="BE314" s="77"/>
      <c r="BF314" s="77"/>
      <c r="BG314" s="77"/>
      <c r="BH314" s="77"/>
      <c r="BI314" s="77"/>
    </row>
    <row r="315" spans="1:61" ht="15">
      <c r="A315" s="62" t="s">
        <v>299</v>
      </c>
      <c r="B315" s="62" t="s">
        <v>503</v>
      </c>
      <c r="C315" s="63"/>
      <c r="D315" s="64"/>
      <c r="E315" s="65"/>
      <c r="F315" s="66"/>
      <c r="G315" s="63"/>
      <c r="H315" s="67"/>
      <c r="I315" s="68"/>
      <c r="J315" s="68"/>
      <c r="K315" s="32" t="s">
        <v>65</v>
      </c>
      <c r="L315" s="75">
        <v>315</v>
      </c>
      <c r="M315" s="75"/>
      <c r="N315" s="70"/>
      <c r="O315" s="77" t="s">
        <v>572</v>
      </c>
      <c r="P315" s="79">
        <v>42956.45309027778</v>
      </c>
      <c r="Q315" s="77" t="s">
        <v>832</v>
      </c>
      <c r="R315" s="77">
        <v>0</v>
      </c>
      <c r="S315" s="77">
        <v>0</v>
      </c>
      <c r="T315" s="77">
        <v>0</v>
      </c>
      <c r="U315" s="77">
        <v>0</v>
      </c>
      <c r="V315" s="77"/>
      <c r="W315" s="77"/>
      <c r="X315" s="80" t="str">
        <f>HYPERLINK("https://www.inovies.com")</f>
        <v>https://www.inovies.com</v>
      </c>
      <c r="Y315" s="77" t="s">
        <v>1982</v>
      </c>
      <c r="Z315" s="77" t="s">
        <v>503</v>
      </c>
      <c r="AA315" s="77"/>
      <c r="AB315" s="77"/>
      <c r="AC315" s="81" t="s">
        <v>2705</v>
      </c>
      <c r="AD315" s="77" t="s">
        <v>2752</v>
      </c>
      <c r="AE315" s="80" t="str">
        <f>HYPERLINK("https://twitter.com/inovies/status/895236328220119040")</f>
        <v>https://twitter.com/inovies/status/895236328220119040</v>
      </c>
      <c r="AF315" s="79">
        <v>42956.45309027778</v>
      </c>
      <c r="AG315" s="85">
        <v>42956</v>
      </c>
      <c r="AH315" s="81" t="s">
        <v>3021</v>
      </c>
      <c r="AI315" s="77" t="b">
        <v>0</v>
      </c>
      <c r="AJ315" s="77"/>
      <c r="AK315" s="77"/>
      <c r="AL315" s="77"/>
      <c r="AM315" s="77"/>
      <c r="AN315" s="77"/>
      <c r="AO315" s="77"/>
      <c r="AP315" s="77"/>
      <c r="AQ315" s="77"/>
      <c r="AR315" s="77"/>
      <c r="AS315" s="77"/>
      <c r="AT315" s="77"/>
      <c r="AU315" s="77"/>
      <c r="AV315" s="80" t="str">
        <f>HYPERLINK("https://pbs.twimg.com/profile_images/833576943677214720/5ZyUgpEJ_normal.jpg")</f>
        <v>https://pbs.twimg.com/profile_images/833576943677214720/5ZyUgpEJ_normal.jpg</v>
      </c>
      <c r="AW315" s="81" t="s">
        <v>4767</v>
      </c>
      <c r="AX315" s="81" t="s">
        <v>5701</v>
      </c>
      <c r="AY315" s="81" t="s">
        <v>5752</v>
      </c>
      <c r="AZ315" s="81" t="s">
        <v>5701</v>
      </c>
      <c r="BA315" s="81" t="s">
        <v>5773</v>
      </c>
      <c r="BB315" s="81" t="s">
        <v>5773</v>
      </c>
      <c r="BC315" s="81" t="s">
        <v>5701</v>
      </c>
      <c r="BD315" s="77">
        <v>297885438</v>
      </c>
      <c r="BE315" s="77"/>
      <c r="BF315" s="77"/>
      <c r="BG315" s="77"/>
      <c r="BH315" s="77"/>
      <c r="BI315" s="77"/>
    </row>
    <row r="316" spans="1:61" ht="15">
      <c r="A316" s="62" t="s">
        <v>299</v>
      </c>
      <c r="B316" s="62" t="s">
        <v>504</v>
      </c>
      <c r="C316" s="63"/>
      <c r="D316" s="64"/>
      <c r="E316" s="65"/>
      <c r="F316" s="66"/>
      <c r="G316" s="63"/>
      <c r="H316" s="67"/>
      <c r="I316" s="68"/>
      <c r="J316" s="68"/>
      <c r="K316" s="32" t="s">
        <v>65</v>
      </c>
      <c r="L316" s="75">
        <v>316</v>
      </c>
      <c r="M316" s="75"/>
      <c r="N316" s="70"/>
      <c r="O316" s="77" t="s">
        <v>573</v>
      </c>
      <c r="P316" s="79">
        <v>45281.04908564815</v>
      </c>
      <c r="Q316" s="77" t="s">
        <v>833</v>
      </c>
      <c r="R316" s="77">
        <v>0</v>
      </c>
      <c r="S316" s="77">
        <v>0</v>
      </c>
      <c r="T316" s="77">
        <v>0</v>
      </c>
      <c r="U316" s="77">
        <v>0</v>
      </c>
      <c r="V316" s="77">
        <v>28</v>
      </c>
      <c r="W316" s="77"/>
      <c r="X316" s="77"/>
      <c r="Y316" s="77"/>
      <c r="Z316" s="77" t="s">
        <v>2079</v>
      </c>
      <c r="AA316" s="77"/>
      <c r="AB316" s="77"/>
      <c r="AC316" s="81" t="s">
        <v>2707</v>
      </c>
      <c r="AD316" s="77" t="s">
        <v>2751</v>
      </c>
      <c r="AE316" s="80" t="str">
        <f>HYPERLINK("https://twitter.com/inovies/status/1737641706714210472")</f>
        <v>https://twitter.com/inovies/status/1737641706714210472</v>
      </c>
      <c r="AF316" s="79">
        <v>45281.04908564815</v>
      </c>
      <c r="AG316" s="85">
        <v>45281</v>
      </c>
      <c r="AH316" s="81" t="s">
        <v>3022</v>
      </c>
      <c r="AI316" s="77"/>
      <c r="AJ316" s="77"/>
      <c r="AK316" s="77"/>
      <c r="AL316" s="77"/>
      <c r="AM316" s="77"/>
      <c r="AN316" s="77"/>
      <c r="AO316" s="77"/>
      <c r="AP316" s="77"/>
      <c r="AQ316" s="77"/>
      <c r="AR316" s="77"/>
      <c r="AS316" s="77"/>
      <c r="AT316" s="77"/>
      <c r="AU316" s="77"/>
      <c r="AV316" s="80" t="str">
        <f>HYPERLINK("https://pbs.twimg.com/profile_images/833576943677214720/5ZyUgpEJ_normal.jpg")</f>
        <v>https://pbs.twimg.com/profile_images/833576943677214720/5ZyUgpEJ_normal.jpg</v>
      </c>
      <c r="AW316" s="81" t="s">
        <v>4768</v>
      </c>
      <c r="AX316" s="81" t="s">
        <v>5702</v>
      </c>
      <c r="AY316" s="81" t="s">
        <v>5753</v>
      </c>
      <c r="AZ316" s="81" t="s">
        <v>5702</v>
      </c>
      <c r="BA316" s="81" t="s">
        <v>5773</v>
      </c>
      <c r="BB316" s="81" t="s">
        <v>5773</v>
      </c>
      <c r="BC316" s="81" t="s">
        <v>5702</v>
      </c>
      <c r="BD316" s="77">
        <v>297885438</v>
      </c>
      <c r="BE316" s="77"/>
      <c r="BF316" s="77"/>
      <c r="BG316" s="77"/>
      <c r="BH316" s="77"/>
      <c r="BI316" s="77"/>
    </row>
    <row r="317" spans="1:61" ht="15">
      <c r="A317" s="62" t="s">
        <v>299</v>
      </c>
      <c r="B317" s="62" t="s">
        <v>504</v>
      </c>
      <c r="C317" s="63"/>
      <c r="D317" s="64"/>
      <c r="E317" s="65"/>
      <c r="F317" s="66"/>
      <c r="G317" s="63"/>
      <c r="H317" s="67"/>
      <c r="I317" s="68"/>
      <c r="J317" s="68"/>
      <c r="K317" s="32" t="s">
        <v>65</v>
      </c>
      <c r="L317" s="75">
        <v>317</v>
      </c>
      <c r="M317" s="75"/>
      <c r="N317" s="70"/>
      <c r="O317" s="77" t="s">
        <v>572</v>
      </c>
      <c r="P317" s="79">
        <v>45281.04908564815</v>
      </c>
      <c r="Q317" s="77" t="s">
        <v>833</v>
      </c>
      <c r="R317" s="77">
        <v>0</v>
      </c>
      <c r="S317" s="77">
        <v>0</v>
      </c>
      <c r="T317" s="77">
        <v>0</v>
      </c>
      <c r="U317" s="77">
        <v>0</v>
      </c>
      <c r="V317" s="77">
        <v>28</v>
      </c>
      <c r="W317" s="77"/>
      <c r="X317" s="77"/>
      <c r="Y317" s="77"/>
      <c r="Z317" s="77" t="s">
        <v>2079</v>
      </c>
      <c r="AA317" s="77"/>
      <c r="AB317" s="77"/>
      <c r="AC317" s="81" t="s">
        <v>2707</v>
      </c>
      <c r="AD317" s="77" t="s">
        <v>2751</v>
      </c>
      <c r="AE317" s="80" t="str">
        <f>HYPERLINK("https://twitter.com/inovies/status/1737641706714210472")</f>
        <v>https://twitter.com/inovies/status/1737641706714210472</v>
      </c>
      <c r="AF317" s="79">
        <v>45281.04908564815</v>
      </c>
      <c r="AG317" s="85">
        <v>45281</v>
      </c>
      <c r="AH317" s="81" t="s">
        <v>3022</v>
      </c>
      <c r="AI317" s="77"/>
      <c r="AJ317" s="77"/>
      <c r="AK317" s="77"/>
      <c r="AL317" s="77"/>
      <c r="AM317" s="77"/>
      <c r="AN317" s="77"/>
      <c r="AO317" s="77"/>
      <c r="AP317" s="77"/>
      <c r="AQ317" s="77"/>
      <c r="AR317" s="77"/>
      <c r="AS317" s="77"/>
      <c r="AT317" s="77"/>
      <c r="AU317" s="77"/>
      <c r="AV317" s="80" t="str">
        <f>HYPERLINK("https://pbs.twimg.com/profile_images/833576943677214720/5ZyUgpEJ_normal.jpg")</f>
        <v>https://pbs.twimg.com/profile_images/833576943677214720/5ZyUgpEJ_normal.jpg</v>
      </c>
      <c r="AW317" s="81" t="s">
        <v>4768</v>
      </c>
      <c r="AX317" s="81" t="s">
        <v>5702</v>
      </c>
      <c r="AY317" s="81" t="s">
        <v>5753</v>
      </c>
      <c r="AZ317" s="81" t="s">
        <v>5702</v>
      </c>
      <c r="BA317" s="81" t="s">
        <v>5773</v>
      </c>
      <c r="BB317" s="81" t="s">
        <v>5773</v>
      </c>
      <c r="BC317" s="81" t="s">
        <v>5702</v>
      </c>
      <c r="BD317" s="77">
        <v>297885438</v>
      </c>
      <c r="BE317" s="77"/>
      <c r="BF317" s="77"/>
      <c r="BG317" s="77"/>
      <c r="BH317" s="77"/>
      <c r="BI317" s="77"/>
    </row>
    <row r="318" spans="1:61" ht="15">
      <c r="A318" s="62" t="s">
        <v>299</v>
      </c>
      <c r="B318" s="62" t="s">
        <v>505</v>
      </c>
      <c r="C318" s="63"/>
      <c r="D318" s="64"/>
      <c r="E318" s="65"/>
      <c r="F318" s="66"/>
      <c r="G318" s="63"/>
      <c r="H318" s="67"/>
      <c r="I318" s="68"/>
      <c r="J318" s="68"/>
      <c r="K318" s="32" t="s">
        <v>65</v>
      </c>
      <c r="L318" s="75">
        <v>318</v>
      </c>
      <c r="M318" s="75"/>
      <c r="N318" s="70"/>
      <c r="O318" s="77" t="s">
        <v>571</v>
      </c>
      <c r="P318" s="79">
        <v>45279.016076388885</v>
      </c>
      <c r="Q318" s="77" t="s">
        <v>834</v>
      </c>
      <c r="R318" s="77">
        <v>0</v>
      </c>
      <c r="S318" s="77">
        <v>0</v>
      </c>
      <c r="T318" s="77">
        <v>0</v>
      </c>
      <c r="U318" s="77">
        <v>0</v>
      </c>
      <c r="V318" s="77">
        <v>65</v>
      </c>
      <c r="W318" s="81" t="s">
        <v>1781</v>
      </c>
      <c r="X318" s="77"/>
      <c r="Y318" s="77"/>
      <c r="Z318" s="77" t="s">
        <v>505</v>
      </c>
      <c r="AA318" s="77" t="s">
        <v>2201</v>
      </c>
      <c r="AB318" s="77" t="s">
        <v>2695</v>
      </c>
      <c r="AC318" s="81" t="s">
        <v>2707</v>
      </c>
      <c r="AD318" s="77" t="s">
        <v>2751</v>
      </c>
      <c r="AE318" s="80" t="str">
        <f>HYPERLINK("https://twitter.com/inovies/status/1736904971021328582")</f>
        <v>https://twitter.com/inovies/status/1736904971021328582</v>
      </c>
      <c r="AF318" s="79">
        <v>45279.016076388885</v>
      </c>
      <c r="AG318" s="85">
        <v>45279</v>
      </c>
      <c r="AH318" s="81" t="s">
        <v>3023</v>
      </c>
      <c r="AI318" s="77" t="b">
        <v>0</v>
      </c>
      <c r="AJ318" s="77"/>
      <c r="AK318" s="77"/>
      <c r="AL318" s="77"/>
      <c r="AM318" s="77"/>
      <c r="AN318" s="77"/>
      <c r="AO318" s="77"/>
      <c r="AP318" s="77"/>
      <c r="AQ318" s="77" t="s">
        <v>4019</v>
      </c>
      <c r="AR318" s="77">
        <v>23500</v>
      </c>
      <c r="AS318" s="77"/>
      <c r="AT318" s="77"/>
      <c r="AU318" s="77"/>
      <c r="AV318" s="80" t="str">
        <f>HYPERLINK("https://pbs.twimg.com/ext_tw_video_thumb/1736903995816390656/pu/img/N8rUW4AbJSAEq-tn.jpg")</f>
        <v>https://pbs.twimg.com/ext_tw_video_thumb/1736903995816390656/pu/img/N8rUW4AbJSAEq-tn.jpg</v>
      </c>
      <c r="AW318" s="81" t="s">
        <v>4769</v>
      </c>
      <c r="AX318" s="81" t="s">
        <v>4769</v>
      </c>
      <c r="AY318" s="77"/>
      <c r="AZ318" s="81" t="s">
        <v>5773</v>
      </c>
      <c r="BA318" s="81" t="s">
        <v>5773</v>
      </c>
      <c r="BB318" s="81" t="s">
        <v>5773</v>
      </c>
      <c r="BC318" s="81" t="s">
        <v>4769</v>
      </c>
      <c r="BD318" s="77">
        <v>297885438</v>
      </c>
      <c r="BE318" s="77"/>
      <c r="BF318" s="77"/>
      <c r="BG318" s="77"/>
      <c r="BH318" s="77"/>
      <c r="BI318" s="77"/>
    </row>
    <row r="319" spans="1:61" ht="15">
      <c r="A319" s="62" t="s">
        <v>299</v>
      </c>
      <c r="B319" s="62" t="s">
        <v>505</v>
      </c>
      <c r="C319" s="63"/>
      <c r="D319" s="64"/>
      <c r="E319" s="65"/>
      <c r="F319" s="66"/>
      <c r="G319" s="63"/>
      <c r="H319" s="67"/>
      <c r="I319" s="68"/>
      <c r="J319" s="68"/>
      <c r="K319" s="32" t="s">
        <v>65</v>
      </c>
      <c r="L319" s="75">
        <v>319</v>
      </c>
      <c r="M319" s="75"/>
      <c r="N319" s="70"/>
      <c r="O319" s="77" t="s">
        <v>572</v>
      </c>
      <c r="P319" s="79">
        <v>45281.04064814815</v>
      </c>
      <c r="Q319" s="77" t="s">
        <v>835</v>
      </c>
      <c r="R319" s="77">
        <v>0</v>
      </c>
      <c r="S319" s="77">
        <v>0</v>
      </c>
      <c r="T319" s="77">
        <v>0</v>
      </c>
      <c r="U319" s="77">
        <v>0</v>
      </c>
      <c r="V319" s="77">
        <v>18</v>
      </c>
      <c r="W319" s="81" t="s">
        <v>1782</v>
      </c>
      <c r="X319" s="77"/>
      <c r="Y319" s="77"/>
      <c r="Z319" s="77" t="s">
        <v>505</v>
      </c>
      <c r="AA319" s="77"/>
      <c r="AB319" s="77"/>
      <c r="AC319" s="81" t="s">
        <v>2707</v>
      </c>
      <c r="AD319" s="77" t="s">
        <v>2751</v>
      </c>
      <c r="AE319" s="80" t="str">
        <f>HYPERLINK("https://twitter.com/inovies/status/1737638649507054043")</f>
        <v>https://twitter.com/inovies/status/1737638649507054043</v>
      </c>
      <c r="AF319" s="79">
        <v>45281.04064814815</v>
      </c>
      <c r="AG319" s="85">
        <v>45281</v>
      </c>
      <c r="AH319" s="81" t="s">
        <v>3024</v>
      </c>
      <c r="AI319" s="77"/>
      <c r="AJ319" s="77"/>
      <c r="AK319" s="77"/>
      <c r="AL319" s="77"/>
      <c r="AM319" s="77"/>
      <c r="AN319" s="77"/>
      <c r="AO319" s="77"/>
      <c r="AP319" s="77"/>
      <c r="AQ319" s="77"/>
      <c r="AR319" s="77"/>
      <c r="AS319" s="77"/>
      <c r="AT319" s="77"/>
      <c r="AU319" s="77"/>
      <c r="AV319" s="80" t="str">
        <f>HYPERLINK("https://pbs.twimg.com/profile_images/833576943677214720/5ZyUgpEJ_normal.jpg")</f>
        <v>https://pbs.twimg.com/profile_images/833576943677214720/5ZyUgpEJ_normal.jpg</v>
      </c>
      <c r="AW319" s="81" t="s">
        <v>4770</v>
      </c>
      <c r="AX319" s="81" t="s">
        <v>5703</v>
      </c>
      <c r="AY319" s="81" t="s">
        <v>5754</v>
      </c>
      <c r="AZ319" s="81" t="s">
        <v>5703</v>
      </c>
      <c r="BA319" s="81" t="s">
        <v>5773</v>
      </c>
      <c r="BB319" s="81" t="s">
        <v>5773</v>
      </c>
      <c r="BC319" s="81" t="s">
        <v>5703</v>
      </c>
      <c r="BD319" s="77">
        <v>297885438</v>
      </c>
      <c r="BE319" s="77"/>
      <c r="BF319" s="77"/>
      <c r="BG319" s="77"/>
      <c r="BH319" s="77"/>
      <c r="BI319" s="77"/>
    </row>
    <row r="320" spans="1:61" ht="15">
      <c r="A320" s="62" t="s">
        <v>301</v>
      </c>
      <c r="B320" s="62" t="s">
        <v>299</v>
      </c>
      <c r="C320" s="63"/>
      <c r="D320" s="64"/>
      <c r="E320" s="65"/>
      <c r="F320" s="66"/>
      <c r="G320" s="63"/>
      <c r="H320" s="67"/>
      <c r="I320" s="68"/>
      <c r="J320" s="68"/>
      <c r="K320" s="32" t="s">
        <v>65</v>
      </c>
      <c r="L320" s="75">
        <v>320</v>
      </c>
      <c r="M320" s="75"/>
      <c r="N320" s="70"/>
      <c r="O320" s="77" t="s">
        <v>571</v>
      </c>
      <c r="P320" s="79">
        <v>42956.31575231482</v>
      </c>
      <c r="Q320" s="77" t="s">
        <v>836</v>
      </c>
      <c r="R320" s="77">
        <v>0</v>
      </c>
      <c r="S320" s="77">
        <v>0</v>
      </c>
      <c r="T320" s="77">
        <v>0</v>
      </c>
      <c r="U320" s="77">
        <v>0</v>
      </c>
      <c r="V320" s="77"/>
      <c r="W320" s="77"/>
      <c r="X320" s="80" t="str">
        <f>HYPERLINK("http://grwth.link/whats-growth-marketing")</f>
        <v>http://grwth.link/whats-growth-marketing</v>
      </c>
      <c r="Y320" s="77" t="s">
        <v>2007</v>
      </c>
      <c r="Z320" s="77" t="s">
        <v>299</v>
      </c>
      <c r="AA320" s="77"/>
      <c r="AB320" s="77"/>
      <c r="AC320" s="81" t="s">
        <v>2723</v>
      </c>
      <c r="AD320" s="77" t="s">
        <v>2751</v>
      </c>
      <c r="AE320" s="80" t="str">
        <f>HYPERLINK("https://twitter.com/growthmktconf/status/895186556897689602")</f>
        <v>https://twitter.com/growthmktconf/status/895186556897689602</v>
      </c>
      <c r="AF320" s="79">
        <v>42956.31575231482</v>
      </c>
      <c r="AG320" s="85">
        <v>42956</v>
      </c>
      <c r="AH320" s="81" t="s">
        <v>3025</v>
      </c>
      <c r="AI320" s="77" t="b">
        <v>0</v>
      </c>
      <c r="AJ320" s="77"/>
      <c r="AK320" s="77"/>
      <c r="AL320" s="77"/>
      <c r="AM320" s="77"/>
      <c r="AN320" s="77"/>
      <c r="AO320" s="77"/>
      <c r="AP320" s="77"/>
      <c r="AQ320" s="77"/>
      <c r="AR320" s="77"/>
      <c r="AS320" s="77"/>
      <c r="AT320" s="77"/>
      <c r="AU320" s="77"/>
      <c r="AV320" s="80" t="str">
        <f>HYPERLINK("https://pbs.twimg.com/profile_images/1094193552698077185/_I-5pm2s_normal.jpg")</f>
        <v>https://pbs.twimg.com/profile_images/1094193552698077185/_I-5pm2s_normal.jpg</v>
      </c>
      <c r="AW320" s="81" t="s">
        <v>4771</v>
      </c>
      <c r="AX320" s="81" t="s">
        <v>4771</v>
      </c>
      <c r="AY320" s="81" t="s">
        <v>5721</v>
      </c>
      <c r="AZ320" s="81" t="s">
        <v>5773</v>
      </c>
      <c r="BA320" s="81" t="s">
        <v>5773</v>
      </c>
      <c r="BB320" s="81" t="s">
        <v>5773</v>
      </c>
      <c r="BC320" s="81" t="s">
        <v>4771</v>
      </c>
      <c r="BD320" s="77">
        <v>3278888852</v>
      </c>
      <c r="BE320" s="77"/>
      <c r="BF320" s="77"/>
      <c r="BG320" s="77"/>
      <c r="BH320" s="77"/>
      <c r="BI320" s="77"/>
    </row>
    <row r="321" spans="1:61" ht="15">
      <c r="A321" s="62" t="s">
        <v>302</v>
      </c>
      <c r="B321" s="62" t="s">
        <v>506</v>
      </c>
      <c r="C321" s="63"/>
      <c r="D321" s="64"/>
      <c r="E321" s="65"/>
      <c r="F321" s="66"/>
      <c r="G321" s="63"/>
      <c r="H321" s="67"/>
      <c r="I321" s="68"/>
      <c r="J321" s="68"/>
      <c r="K321" s="32" t="s">
        <v>65</v>
      </c>
      <c r="L321" s="75">
        <v>321</v>
      </c>
      <c r="M321" s="75"/>
      <c r="N321" s="70"/>
      <c r="O321" s="77" t="s">
        <v>572</v>
      </c>
      <c r="P321" s="79">
        <v>43302.867210648146</v>
      </c>
      <c r="Q321" s="77" t="s">
        <v>837</v>
      </c>
      <c r="R321" s="77">
        <v>0</v>
      </c>
      <c r="S321" s="77">
        <v>0</v>
      </c>
      <c r="T321" s="77">
        <v>4</v>
      </c>
      <c r="U321" s="77">
        <v>4</v>
      </c>
      <c r="V321" s="77"/>
      <c r="W321" s="77"/>
      <c r="X321" s="77"/>
      <c r="Y321" s="77"/>
      <c r="Z321" s="77" t="s">
        <v>506</v>
      </c>
      <c r="AA321" s="77"/>
      <c r="AB321" s="77"/>
      <c r="AC321" s="81" t="s">
        <v>2704</v>
      </c>
      <c r="AD321" s="77" t="s">
        <v>2751</v>
      </c>
      <c r="AE321" s="80" t="str">
        <f>HYPERLINK("https://twitter.com/internetjer/status/1020772599150727168")</f>
        <v>https://twitter.com/internetjer/status/1020772599150727168</v>
      </c>
      <c r="AF321" s="79">
        <v>43302.867210648146</v>
      </c>
      <c r="AG321" s="85">
        <v>43302</v>
      </c>
      <c r="AH321" s="81" t="s">
        <v>3026</v>
      </c>
      <c r="AI321" s="77"/>
      <c r="AJ321" s="77"/>
      <c r="AK321" s="77"/>
      <c r="AL321" s="77"/>
      <c r="AM321" s="77"/>
      <c r="AN321" s="77"/>
      <c r="AO321" s="77"/>
      <c r="AP321" s="77"/>
      <c r="AQ321" s="77"/>
      <c r="AR321" s="77"/>
      <c r="AS321" s="77"/>
      <c r="AT321" s="77"/>
      <c r="AU321" s="77"/>
      <c r="AV321" s="80" t="str">
        <f>HYPERLINK("https://pbs.twimg.com/profile_images/1685857224734965761/8qyN6Y-w_normal.jpg")</f>
        <v>https://pbs.twimg.com/profile_images/1685857224734965761/8qyN6Y-w_normal.jpg</v>
      </c>
      <c r="AW321" s="81" t="s">
        <v>4772</v>
      </c>
      <c r="AX321" s="81" t="s">
        <v>5704</v>
      </c>
      <c r="AY321" s="81" t="s">
        <v>5755</v>
      </c>
      <c r="AZ321" s="81" t="s">
        <v>5704</v>
      </c>
      <c r="BA321" s="81" t="s">
        <v>5773</v>
      </c>
      <c r="BB321" s="81" t="s">
        <v>5773</v>
      </c>
      <c r="BC321" s="81" t="s">
        <v>5704</v>
      </c>
      <c r="BD321" s="77">
        <v>103435881</v>
      </c>
      <c r="BE321" s="77"/>
      <c r="BF321" s="77"/>
      <c r="BG321" s="77"/>
      <c r="BH321" s="77"/>
      <c r="BI321" s="77"/>
    </row>
    <row r="322" spans="1:61" ht="15">
      <c r="A322" s="62" t="s">
        <v>303</v>
      </c>
      <c r="B322" s="62" t="s">
        <v>303</v>
      </c>
      <c r="C322" s="63"/>
      <c r="D322" s="64"/>
      <c r="E322" s="65"/>
      <c r="F322" s="66"/>
      <c r="G322" s="63"/>
      <c r="H322" s="67"/>
      <c r="I322" s="68"/>
      <c r="J322" s="68"/>
      <c r="K322" s="32" t="s">
        <v>65</v>
      </c>
      <c r="L322" s="75">
        <v>322</v>
      </c>
      <c r="M322" s="75"/>
      <c r="N322" s="70"/>
      <c r="O322" s="77" t="s">
        <v>179</v>
      </c>
      <c r="P322" s="79">
        <v>43784.564791666664</v>
      </c>
      <c r="Q322" s="77" t="s">
        <v>838</v>
      </c>
      <c r="R322" s="77">
        <v>0</v>
      </c>
      <c r="S322" s="77">
        <v>0</v>
      </c>
      <c r="T322" s="77">
        <v>0</v>
      </c>
      <c r="U322" s="77">
        <v>0</v>
      </c>
      <c r="V322" s="77"/>
      <c r="W322" s="81" t="s">
        <v>1783</v>
      </c>
      <c r="X322" s="80" t="str">
        <f>HYPERLINK("https://www.inovies.com/digital-marketing-company/")</f>
        <v>https://www.inovies.com/digital-marketing-company/</v>
      </c>
      <c r="Y322" s="77" t="s">
        <v>1982</v>
      </c>
      <c r="Z322" s="77"/>
      <c r="AA322" s="77" t="s">
        <v>2202</v>
      </c>
      <c r="AB322" s="77" t="s">
        <v>2696</v>
      </c>
      <c r="AC322" s="81" t="s">
        <v>2707</v>
      </c>
      <c r="AD322" s="77" t="s">
        <v>2751</v>
      </c>
      <c r="AE322" s="80" t="str">
        <f>HYPERLINK("https://twitter.com/oviyamchetna/status/1195333956557656064")</f>
        <v>https://twitter.com/oviyamchetna/status/1195333956557656064</v>
      </c>
      <c r="AF322" s="79">
        <v>43784.564791666664</v>
      </c>
      <c r="AG322" s="85">
        <v>43784</v>
      </c>
      <c r="AH322" s="81" t="s">
        <v>3027</v>
      </c>
      <c r="AI322" s="77" t="b">
        <v>0</v>
      </c>
      <c r="AJ322" s="77"/>
      <c r="AK322" s="77"/>
      <c r="AL322" s="77"/>
      <c r="AM322" s="77"/>
      <c r="AN322" s="77"/>
      <c r="AO322" s="77"/>
      <c r="AP322" s="77"/>
      <c r="AQ322" s="77" t="s">
        <v>4020</v>
      </c>
      <c r="AR322" s="77"/>
      <c r="AS322" s="77"/>
      <c r="AT322" s="77"/>
      <c r="AU322" s="77"/>
      <c r="AV322" s="80" t="str">
        <f>HYPERLINK("https://pbs.twimg.com/media/EJat5M-UEAAztzQ.jpg")</f>
        <v>https://pbs.twimg.com/media/EJat5M-UEAAztzQ.jpg</v>
      </c>
      <c r="AW322" s="81" t="s">
        <v>4773</v>
      </c>
      <c r="AX322" s="81" t="s">
        <v>4773</v>
      </c>
      <c r="AY322" s="77"/>
      <c r="AZ322" s="81" t="s">
        <v>5773</v>
      </c>
      <c r="BA322" s="81" t="s">
        <v>5773</v>
      </c>
      <c r="BB322" s="81" t="s">
        <v>5773</v>
      </c>
      <c r="BC322" s="81" t="s">
        <v>4773</v>
      </c>
      <c r="BD322" s="81" t="s">
        <v>5803</v>
      </c>
      <c r="BE322" s="77"/>
      <c r="BF322" s="77"/>
      <c r="BG322" s="77"/>
      <c r="BH322" s="77"/>
      <c r="BI322" s="77"/>
    </row>
    <row r="323" spans="1:61" ht="15">
      <c r="A323" s="62" t="s">
        <v>304</v>
      </c>
      <c r="B323" s="62" t="s">
        <v>507</v>
      </c>
      <c r="C323" s="63"/>
      <c r="D323" s="64"/>
      <c r="E323" s="65"/>
      <c r="F323" s="66"/>
      <c r="G323" s="63"/>
      <c r="H323" s="67"/>
      <c r="I323" s="68"/>
      <c r="J323" s="68"/>
      <c r="K323" s="32" t="s">
        <v>65</v>
      </c>
      <c r="L323" s="75">
        <v>323</v>
      </c>
      <c r="M323" s="75"/>
      <c r="N323" s="70"/>
      <c r="O323" s="77" t="s">
        <v>571</v>
      </c>
      <c r="P323" s="79">
        <v>44048.18613425926</v>
      </c>
      <c r="Q323" s="77" t="s">
        <v>839</v>
      </c>
      <c r="R323" s="77">
        <v>0</v>
      </c>
      <c r="S323" s="77">
        <v>1</v>
      </c>
      <c r="T323" s="77">
        <v>0</v>
      </c>
      <c r="U323" s="77">
        <v>0</v>
      </c>
      <c r="V323" s="77"/>
      <c r="W323" s="81" t="s">
        <v>1784</v>
      </c>
      <c r="X323" s="80" t="str">
        <f>HYPERLINK("https://bit.ly/30r2Oga")</f>
        <v>https://bit.ly/30r2Oga</v>
      </c>
      <c r="Y323" s="77" t="s">
        <v>1984</v>
      </c>
      <c r="Z323" s="77" t="s">
        <v>2080</v>
      </c>
      <c r="AA323" s="77"/>
      <c r="AB323" s="77"/>
      <c r="AC323" s="81" t="s">
        <v>2707</v>
      </c>
      <c r="AD323" s="77" t="s">
        <v>2751</v>
      </c>
      <c r="AE323" s="80" t="str">
        <f>HYPERLINK("https://twitter.com/develop4u_co/status/1290867133832818688")</f>
        <v>https://twitter.com/develop4u_co/status/1290867133832818688</v>
      </c>
      <c r="AF323" s="79">
        <v>44048.18613425926</v>
      </c>
      <c r="AG323" s="85">
        <v>44048</v>
      </c>
      <c r="AH323" s="81" t="s">
        <v>3028</v>
      </c>
      <c r="AI323" s="77" t="b">
        <v>0</v>
      </c>
      <c r="AJ323" s="77"/>
      <c r="AK323" s="77"/>
      <c r="AL323" s="77"/>
      <c r="AM323" s="77"/>
      <c r="AN323" s="77"/>
      <c r="AO323" s="77"/>
      <c r="AP323" s="77"/>
      <c r="AQ323" s="77"/>
      <c r="AR323" s="77"/>
      <c r="AS323" s="77"/>
      <c r="AT323" s="77"/>
      <c r="AU323" s="77"/>
      <c r="AV323" s="80" t="str">
        <f>HYPERLINK("https://pbs.twimg.com/profile_images/1239883131261292545/ajX2pve3_normal.jpg")</f>
        <v>https://pbs.twimg.com/profile_images/1239883131261292545/ajX2pve3_normal.jpg</v>
      </c>
      <c r="AW323" s="81" t="s">
        <v>4774</v>
      </c>
      <c r="AX323" s="81" t="s">
        <v>4774</v>
      </c>
      <c r="AY323" s="77"/>
      <c r="AZ323" s="81" t="s">
        <v>5773</v>
      </c>
      <c r="BA323" s="81" t="s">
        <v>5773</v>
      </c>
      <c r="BB323" s="81" t="s">
        <v>5773</v>
      </c>
      <c r="BC323" s="81" t="s">
        <v>4774</v>
      </c>
      <c r="BD323" s="81" t="s">
        <v>5804</v>
      </c>
      <c r="BE323" s="77"/>
      <c r="BF323" s="77"/>
      <c r="BG323" s="77"/>
      <c r="BH323" s="77"/>
      <c r="BI323" s="77"/>
    </row>
    <row r="324" spans="1:61" ht="15">
      <c r="A324" s="62" t="s">
        <v>304</v>
      </c>
      <c r="B324" s="62" t="s">
        <v>508</v>
      </c>
      <c r="C324" s="63"/>
      <c r="D324" s="64"/>
      <c r="E324" s="65"/>
      <c r="F324" s="66"/>
      <c r="G324" s="63"/>
      <c r="H324" s="67"/>
      <c r="I324" s="68"/>
      <c r="J324" s="68"/>
      <c r="K324" s="32" t="s">
        <v>65</v>
      </c>
      <c r="L324" s="75">
        <v>324</v>
      </c>
      <c r="M324" s="75"/>
      <c r="N324" s="70"/>
      <c r="O324" s="77" t="s">
        <v>571</v>
      </c>
      <c r="P324" s="79">
        <v>44048.18613425926</v>
      </c>
      <c r="Q324" s="77" t="s">
        <v>839</v>
      </c>
      <c r="R324" s="77">
        <v>0</v>
      </c>
      <c r="S324" s="77">
        <v>1</v>
      </c>
      <c r="T324" s="77">
        <v>0</v>
      </c>
      <c r="U324" s="77">
        <v>0</v>
      </c>
      <c r="V324" s="77"/>
      <c r="W324" s="81" t="s">
        <v>1784</v>
      </c>
      <c r="X324" s="80" t="str">
        <f>HYPERLINK("https://bit.ly/30r2Oga")</f>
        <v>https://bit.ly/30r2Oga</v>
      </c>
      <c r="Y324" s="77" t="s">
        <v>1984</v>
      </c>
      <c r="Z324" s="77" t="s">
        <v>2080</v>
      </c>
      <c r="AA324" s="77"/>
      <c r="AB324" s="77"/>
      <c r="AC324" s="81" t="s">
        <v>2707</v>
      </c>
      <c r="AD324" s="77" t="s">
        <v>2751</v>
      </c>
      <c r="AE324" s="80" t="str">
        <f>HYPERLINK("https://twitter.com/develop4u_co/status/1290867133832818688")</f>
        <v>https://twitter.com/develop4u_co/status/1290867133832818688</v>
      </c>
      <c r="AF324" s="79">
        <v>44048.18613425926</v>
      </c>
      <c r="AG324" s="85">
        <v>44048</v>
      </c>
      <c r="AH324" s="81" t="s">
        <v>3028</v>
      </c>
      <c r="AI324" s="77" t="b">
        <v>0</v>
      </c>
      <c r="AJ324" s="77"/>
      <c r="AK324" s="77"/>
      <c r="AL324" s="77"/>
      <c r="AM324" s="77"/>
      <c r="AN324" s="77"/>
      <c r="AO324" s="77"/>
      <c r="AP324" s="77"/>
      <c r="AQ324" s="77"/>
      <c r="AR324" s="77"/>
      <c r="AS324" s="77"/>
      <c r="AT324" s="77"/>
      <c r="AU324" s="77"/>
      <c r="AV324" s="80" t="str">
        <f>HYPERLINK("https://pbs.twimg.com/profile_images/1239883131261292545/ajX2pve3_normal.jpg")</f>
        <v>https://pbs.twimg.com/profile_images/1239883131261292545/ajX2pve3_normal.jpg</v>
      </c>
      <c r="AW324" s="81" t="s">
        <v>4774</v>
      </c>
      <c r="AX324" s="81" t="s">
        <v>4774</v>
      </c>
      <c r="AY324" s="77"/>
      <c r="AZ324" s="81" t="s">
        <v>5773</v>
      </c>
      <c r="BA324" s="81" t="s">
        <v>5773</v>
      </c>
      <c r="BB324" s="81" t="s">
        <v>5773</v>
      </c>
      <c r="BC324" s="81" t="s">
        <v>4774</v>
      </c>
      <c r="BD324" s="81" t="s">
        <v>5804</v>
      </c>
      <c r="BE324" s="77"/>
      <c r="BF324" s="77"/>
      <c r="BG324" s="77"/>
      <c r="BH324" s="77"/>
      <c r="BI324" s="77"/>
    </row>
    <row r="325" spans="1:61" ht="15">
      <c r="A325" s="62" t="s">
        <v>304</v>
      </c>
      <c r="B325" s="62" t="s">
        <v>509</v>
      </c>
      <c r="C325" s="63"/>
      <c r="D325" s="64"/>
      <c r="E325" s="65"/>
      <c r="F325" s="66"/>
      <c r="G325" s="63"/>
      <c r="H325" s="67"/>
      <c r="I325" s="68"/>
      <c r="J325" s="68"/>
      <c r="K325" s="32" t="s">
        <v>65</v>
      </c>
      <c r="L325" s="75">
        <v>325</v>
      </c>
      <c r="M325" s="75"/>
      <c r="N325" s="70"/>
      <c r="O325" s="77" t="s">
        <v>571</v>
      </c>
      <c r="P325" s="79">
        <v>44048.18613425926</v>
      </c>
      <c r="Q325" s="77" t="s">
        <v>839</v>
      </c>
      <c r="R325" s="77">
        <v>0</v>
      </c>
      <c r="S325" s="77">
        <v>1</v>
      </c>
      <c r="T325" s="77">
        <v>0</v>
      </c>
      <c r="U325" s="77">
        <v>0</v>
      </c>
      <c r="V325" s="77"/>
      <c r="W325" s="81" t="s">
        <v>1784</v>
      </c>
      <c r="X325" s="80" t="str">
        <f>HYPERLINK("https://bit.ly/30r2Oga")</f>
        <v>https://bit.ly/30r2Oga</v>
      </c>
      <c r="Y325" s="77" t="s">
        <v>1984</v>
      </c>
      <c r="Z325" s="77" t="s">
        <v>2080</v>
      </c>
      <c r="AA325" s="77"/>
      <c r="AB325" s="77"/>
      <c r="AC325" s="81" t="s">
        <v>2707</v>
      </c>
      <c r="AD325" s="77" t="s">
        <v>2751</v>
      </c>
      <c r="AE325" s="80" t="str">
        <f>HYPERLINK("https://twitter.com/develop4u_co/status/1290867133832818688")</f>
        <v>https://twitter.com/develop4u_co/status/1290867133832818688</v>
      </c>
      <c r="AF325" s="79">
        <v>44048.18613425926</v>
      </c>
      <c r="AG325" s="85">
        <v>44048</v>
      </c>
      <c r="AH325" s="81" t="s">
        <v>3028</v>
      </c>
      <c r="AI325" s="77" t="b">
        <v>0</v>
      </c>
      <c r="AJ325" s="77"/>
      <c r="AK325" s="77"/>
      <c r="AL325" s="77"/>
      <c r="AM325" s="77"/>
      <c r="AN325" s="77"/>
      <c r="AO325" s="77"/>
      <c r="AP325" s="77"/>
      <c r="AQ325" s="77"/>
      <c r="AR325" s="77"/>
      <c r="AS325" s="77"/>
      <c r="AT325" s="77"/>
      <c r="AU325" s="77"/>
      <c r="AV325" s="80" t="str">
        <f>HYPERLINK("https://pbs.twimg.com/profile_images/1239883131261292545/ajX2pve3_normal.jpg")</f>
        <v>https://pbs.twimg.com/profile_images/1239883131261292545/ajX2pve3_normal.jpg</v>
      </c>
      <c r="AW325" s="81" t="s">
        <v>4774</v>
      </c>
      <c r="AX325" s="81" t="s">
        <v>4774</v>
      </c>
      <c r="AY325" s="77"/>
      <c r="AZ325" s="81" t="s">
        <v>5773</v>
      </c>
      <c r="BA325" s="81" t="s">
        <v>5773</v>
      </c>
      <c r="BB325" s="81" t="s">
        <v>5773</v>
      </c>
      <c r="BC325" s="81" t="s">
        <v>4774</v>
      </c>
      <c r="BD325" s="81" t="s">
        <v>5804</v>
      </c>
      <c r="BE325" s="77"/>
      <c r="BF325" s="77"/>
      <c r="BG325" s="77"/>
      <c r="BH325" s="77"/>
      <c r="BI325" s="77"/>
    </row>
    <row r="326" spans="1:61" ht="15">
      <c r="A326" s="62" t="s">
        <v>304</v>
      </c>
      <c r="B326" s="62" t="s">
        <v>510</v>
      </c>
      <c r="C326" s="63"/>
      <c r="D326" s="64"/>
      <c r="E326" s="65"/>
      <c r="F326" s="66"/>
      <c r="G326" s="63"/>
      <c r="H326" s="67"/>
      <c r="I326" s="68"/>
      <c r="J326" s="68"/>
      <c r="K326" s="32" t="s">
        <v>65</v>
      </c>
      <c r="L326" s="75">
        <v>326</v>
      </c>
      <c r="M326" s="75"/>
      <c r="N326" s="70"/>
      <c r="O326" s="77" t="s">
        <v>571</v>
      </c>
      <c r="P326" s="79">
        <v>44048.18613425926</v>
      </c>
      <c r="Q326" s="77" t="s">
        <v>839</v>
      </c>
      <c r="R326" s="77">
        <v>0</v>
      </c>
      <c r="S326" s="77">
        <v>1</v>
      </c>
      <c r="T326" s="77">
        <v>0</v>
      </c>
      <c r="U326" s="77">
        <v>0</v>
      </c>
      <c r="V326" s="77"/>
      <c r="W326" s="81" t="s">
        <v>1784</v>
      </c>
      <c r="X326" s="80" t="str">
        <f>HYPERLINK("https://bit.ly/30r2Oga")</f>
        <v>https://bit.ly/30r2Oga</v>
      </c>
      <c r="Y326" s="77" t="s">
        <v>1984</v>
      </c>
      <c r="Z326" s="77" t="s">
        <v>2080</v>
      </c>
      <c r="AA326" s="77"/>
      <c r="AB326" s="77"/>
      <c r="AC326" s="81" t="s">
        <v>2707</v>
      </c>
      <c r="AD326" s="77" t="s">
        <v>2751</v>
      </c>
      <c r="AE326" s="80" t="str">
        <f>HYPERLINK("https://twitter.com/develop4u_co/status/1290867133832818688")</f>
        <v>https://twitter.com/develop4u_co/status/1290867133832818688</v>
      </c>
      <c r="AF326" s="79">
        <v>44048.18613425926</v>
      </c>
      <c r="AG326" s="85">
        <v>44048</v>
      </c>
      <c r="AH326" s="81" t="s">
        <v>3028</v>
      </c>
      <c r="AI326" s="77" t="b">
        <v>0</v>
      </c>
      <c r="AJ326" s="77"/>
      <c r="AK326" s="77"/>
      <c r="AL326" s="77"/>
      <c r="AM326" s="77"/>
      <c r="AN326" s="77"/>
      <c r="AO326" s="77"/>
      <c r="AP326" s="77"/>
      <c r="AQ326" s="77"/>
      <c r="AR326" s="77"/>
      <c r="AS326" s="77"/>
      <c r="AT326" s="77"/>
      <c r="AU326" s="77"/>
      <c r="AV326" s="80" t="str">
        <f>HYPERLINK("https://pbs.twimg.com/profile_images/1239883131261292545/ajX2pve3_normal.jpg")</f>
        <v>https://pbs.twimg.com/profile_images/1239883131261292545/ajX2pve3_normal.jpg</v>
      </c>
      <c r="AW326" s="81" t="s">
        <v>4774</v>
      </c>
      <c r="AX326" s="81" t="s">
        <v>4774</v>
      </c>
      <c r="AY326" s="77"/>
      <c r="AZ326" s="81" t="s">
        <v>5773</v>
      </c>
      <c r="BA326" s="81" t="s">
        <v>5773</v>
      </c>
      <c r="BB326" s="81" t="s">
        <v>5773</v>
      </c>
      <c r="BC326" s="81" t="s">
        <v>4774</v>
      </c>
      <c r="BD326" s="81" t="s">
        <v>5804</v>
      </c>
      <c r="BE326" s="77"/>
      <c r="BF326" s="77"/>
      <c r="BG326" s="77"/>
      <c r="BH326" s="77"/>
      <c r="BI326" s="77"/>
    </row>
    <row r="327" spans="1:61" ht="15">
      <c r="A327" s="62" t="s">
        <v>304</v>
      </c>
      <c r="B327" s="62" t="s">
        <v>511</v>
      </c>
      <c r="C327" s="63"/>
      <c r="D327" s="64"/>
      <c r="E327" s="65"/>
      <c r="F327" s="66"/>
      <c r="G327" s="63"/>
      <c r="H327" s="67"/>
      <c r="I327" s="68"/>
      <c r="J327" s="68"/>
      <c r="K327" s="32" t="s">
        <v>65</v>
      </c>
      <c r="L327" s="75">
        <v>327</v>
      </c>
      <c r="M327" s="75"/>
      <c r="N327" s="70"/>
      <c r="O327" s="77" t="s">
        <v>571</v>
      </c>
      <c r="P327" s="79">
        <v>44048.18613425926</v>
      </c>
      <c r="Q327" s="77" t="s">
        <v>839</v>
      </c>
      <c r="R327" s="77">
        <v>0</v>
      </c>
      <c r="S327" s="77">
        <v>1</v>
      </c>
      <c r="T327" s="77">
        <v>0</v>
      </c>
      <c r="U327" s="77">
        <v>0</v>
      </c>
      <c r="V327" s="77"/>
      <c r="W327" s="81" t="s">
        <v>1784</v>
      </c>
      <c r="X327" s="80" t="str">
        <f>HYPERLINK("https://bit.ly/30r2Oga")</f>
        <v>https://bit.ly/30r2Oga</v>
      </c>
      <c r="Y327" s="77" t="s">
        <v>1984</v>
      </c>
      <c r="Z327" s="77" t="s">
        <v>2080</v>
      </c>
      <c r="AA327" s="77"/>
      <c r="AB327" s="77"/>
      <c r="AC327" s="81" t="s">
        <v>2707</v>
      </c>
      <c r="AD327" s="77" t="s">
        <v>2751</v>
      </c>
      <c r="AE327" s="80" t="str">
        <f>HYPERLINK("https://twitter.com/develop4u_co/status/1290867133832818688")</f>
        <v>https://twitter.com/develop4u_co/status/1290867133832818688</v>
      </c>
      <c r="AF327" s="79">
        <v>44048.18613425926</v>
      </c>
      <c r="AG327" s="85">
        <v>44048</v>
      </c>
      <c r="AH327" s="81" t="s">
        <v>3028</v>
      </c>
      <c r="AI327" s="77" t="b">
        <v>0</v>
      </c>
      <c r="AJ327" s="77"/>
      <c r="AK327" s="77"/>
      <c r="AL327" s="77"/>
      <c r="AM327" s="77"/>
      <c r="AN327" s="77"/>
      <c r="AO327" s="77"/>
      <c r="AP327" s="77"/>
      <c r="AQ327" s="77"/>
      <c r="AR327" s="77"/>
      <c r="AS327" s="77"/>
      <c r="AT327" s="77"/>
      <c r="AU327" s="77"/>
      <c r="AV327" s="80" t="str">
        <f>HYPERLINK("https://pbs.twimg.com/profile_images/1239883131261292545/ajX2pve3_normal.jpg")</f>
        <v>https://pbs.twimg.com/profile_images/1239883131261292545/ajX2pve3_normal.jpg</v>
      </c>
      <c r="AW327" s="81" t="s">
        <v>4774</v>
      </c>
      <c r="AX327" s="81" t="s">
        <v>4774</v>
      </c>
      <c r="AY327" s="77"/>
      <c r="AZ327" s="81" t="s">
        <v>5773</v>
      </c>
      <c r="BA327" s="81" t="s">
        <v>5773</v>
      </c>
      <c r="BB327" s="81" t="s">
        <v>5773</v>
      </c>
      <c r="BC327" s="81" t="s">
        <v>4774</v>
      </c>
      <c r="BD327" s="81" t="s">
        <v>5804</v>
      </c>
      <c r="BE327" s="77"/>
      <c r="BF327" s="77"/>
      <c r="BG327" s="77"/>
      <c r="BH327" s="77"/>
      <c r="BI327" s="77"/>
    </row>
    <row r="328" spans="1:61" ht="15">
      <c r="A328" s="62" t="s">
        <v>304</v>
      </c>
      <c r="B328" s="62" t="s">
        <v>299</v>
      </c>
      <c r="C328" s="63"/>
      <c r="D328" s="64"/>
      <c r="E328" s="65"/>
      <c r="F328" s="66"/>
      <c r="G328" s="63"/>
      <c r="H328" s="67"/>
      <c r="I328" s="68"/>
      <c r="J328" s="68"/>
      <c r="K328" s="32" t="s">
        <v>65</v>
      </c>
      <c r="L328" s="75">
        <v>328</v>
      </c>
      <c r="M328" s="75"/>
      <c r="N328" s="70"/>
      <c r="O328" s="77" t="s">
        <v>571</v>
      </c>
      <c r="P328" s="79">
        <v>44048.18613425926</v>
      </c>
      <c r="Q328" s="77" t="s">
        <v>839</v>
      </c>
      <c r="R328" s="77">
        <v>0</v>
      </c>
      <c r="S328" s="77">
        <v>1</v>
      </c>
      <c r="T328" s="77">
        <v>0</v>
      </c>
      <c r="U328" s="77">
        <v>0</v>
      </c>
      <c r="V328" s="77"/>
      <c r="W328" s="81" t="s">
        <v>1784</v>
      </c>
      <c r="X328" s="80" t="str">
        <f>HYPERLINK("https://bit.ly/30r2Oga")</f>
        <v>https://bit.ly/30r2Oga</v>
      </c>
      <c r="Y328" s="77" t="s">
        <v>1984</v>
      </c>
      <c r="Z328" s="77" t="s">
        <v>2080</v>
      </c>
      <c r="AA328" s="77"/>
      <c r="AB328" s="77"/>
      <c r="AC328" s="81" t="s">
        <v>2707</v>
      </c>
      <c r="AD328" s="77" t="s">
        <v>2751</v>
      </c>
      <c r="AE328" s="80" t="str">
        <f>HYPERLINK("https://twitter.com/develop4u_co/status/1290867133832818688")</f>
        <v>https://twitter.com/develop4u_co/status/1290867133832818688</v>
      </c>
      <c r="AF328" s="79">
        <v>44048.18613425926</v>
      </c>
      <c r="AG328" s="85">
        <v>44048</v>
      </c>
      <c r="AH328" s="81" t="s">
        <v>3028</v>
      </c>
      <c r="AI328" s="77" t="b">
        <v>0</v>
      </c>
      <c r="AJ328" s="77"/>
      <c r="AK328" s="77"/>
      <c r="AL328" s="77"/>
      <c r="AM328" s="77"/>
      <c r="AN328" s="77"/>
      <c r="AO328" s="77"/>
      <c r="AP328" s="77"/>
      <c r="AQ328" s="77"/>
      <c r="AR328" s="77"/>
      <c r="AS328" s="77"/>
      <c r="AT328" s="77"/>
      <c r="AU328" s="77"/>
      <c r="AV328" s="80" t="str">
        <f>HYPERLINK("https://pbs.twimg.com/profile_images/1239883131261292545/ajX2pve3_normal.jpg")</f>
        <v>https://pbs.twimg.com/profile_images/1239883131261292545/ajX2pve3_normal.jpg</v>
      </c>
      <c r="AW328" s="81" t="s">
        <v>4774</v>
      </c>
      <c r="AX328" s="81" t="s">
        <v>4774</v>
      </c>
      <c r="AY328" s="77"/>
      <c r="AZ328" s="81" t="s">
        <v>5773</v>
      </c>
      <c r="BA328" s="81" t="s">
        <v>5773</v>
      </c>
      <c r="BB328" s="81" t="s">
        <v>5773</v>
      </c>
      <c r="BC328" s="81" t="s">
        <v>4774</v>
      </c>
      <c r="BD328" s="81" t="s">
        <v>5804</v>
      </c>
      <c r="BE328" s="77"/>
      <c r="BF328" s="77"/>
      <c r="BG328" s="77"/>
      <c r="BH328" s="77"/>
      <c r="BI328" s="77"/>
    </row>
    <row r="329" spans="1:61" ht="15">
      <c r="A329" s="62" t="s">
        <v>305</v>
      </c>
      <c r="B329" s="62" t="s">
        <v>305</v>
      </c>
      <c r="C329" s="63"/>
      <c r="D329" s="64"/>
      <c r="E329" s="65"/>
      <c r="F329" s="66"/>
      <c r="G329" s="63"/>
      <c r="H329" s="67"/>
      <c r="I329" s="68"/>
      <c r="J329" s="68"/>
      <c r="K329" s="32" t="s">
        <v>65</v>
      </c>
      <c r="L329" s="75">
        <v>329</v>
      </c>
      <c r="M329" s="75"/>
      <c r="N329" s="70"/>
      <c r="O329" s="77" t="s">
        <v>179</v>
      </c>
      <c r="P329" s="79">
        <v>41230.57020833333</v>
      </c>
      <c r="Q329" s="77" t="s">
        <v>840</v>
      </c>
      <c r="R329" s="77">
        <v>0</v>
      </c>
      <c r="S329" s="77">
        <v>0</v>
      </c>
      <c r="T329" s="77">
        <v>0</v>
      </c>
      <c r="U329" s="77">
        <v>0</v>
      </c>
      <c r="V329" s="77"/>
      <c r="W329" s="81" t="s">
        <v>1785</v>
      </c>
      <c r="X329" s="80" t="str">
        <f>HYPERLINK("http://tinyurl.com/cxdqqq6")</f>
        <v>http://tinyurl.com/cxdqqq6</v>
      </c>
      <c r="Y329" s="77" t="s">
        <v>1986</v>
      </c>
      <c r="Z329" s="77"/>
      <c r="AA329" s="77"/>
      <c r="AB329" s="77"/>
      <c r="AC329" s="81" t="s">
        <v>2722</v>
      </c>
      <c r="AD329" s="77" t="s">
        <v>2751</v>
      </c>
      <c r="AE329" s="80" t="str">
        <f>HYPERLINK("https://twitter.com/indbcclassified/status/269797312463794176")</f>
        <v>https://twitter.com/indbcclassified/status/269797312463794176</v>
      </c>
      <c r="AF329" s="79">
        <v>41230.57020833333</v>
      </c>
      <c r="AG329" s="85">
        <v>41230</v>
      </c>
      <c r="AH329" s="81" t="s">
        <v>3029</v>
      </c>
      <c r="AI329" s="77" t="b">
        <v>0</v>
      </c>
      <c r="AJ329" s="77"/>
      <c r="AK329" s="77"/>
      <c r="AL329" s="77"/>
      <c r="AM329" s="77"/>
      <c r="AN329" s="77"/>
      <c r="AO329" s="77"/>
      <c r="AP329" s="77"/>
      <c r="AQ329" s="77"/>
      <c r="AR329" s="77"/>
      <c r="AS329" s="77"/>
      <c r="AT329" s="77"/>
      <c r="AU329" s="77"/>
      <c r="AV329" s="80" t="str">
        <f>HYPERLINK("https://pbs.twimg.com/profile_images/1452858912/logo_normal.png")</f>
        <v>https://pbs.twimg.com/profile_images/1452858912/logo_normal.png</v>
      </c>
      <c r="AW329" s="81" t="s">
        <v>4775</v>
      </c>
      <c r="AX329" s="81" t="s">
        <v>4775</v>
      </c>
      <c r="AY329" s="77"/>
      <c r="AZ329" s="81" t="s">
        <v>5773</v>
      </c>
      <c r="BA329" s="81" t="s">
        <v>5773</v>
      </c>
      <c r="BB329" s="81" t="s">
        <v>5773</v>
      </c>
      <c r="BC329" s="81" t="s">
        <v>4775</v>
      </c>
      <c r="BD329" s="77">
        <v>339473294</v>
      </c>
      <c r="BE329" s="77"/>
      <c r="BF329" s="77"/>
      <c r="BG329" s="77"/>
      <c r="BH329" s="77"/>
      <c r="BI329" s="77"/>
    </row>
    <row r="330" spans="1:61" ht="15">
      <c r="A330" s="62" t="s">
        <v>306</v>
      </c>
      <c r="B330" s="62" t="s">
        <v>306</v>
      </c>
      <c r="C330" s="63"/>
      <c r="D330" s="64"/>
      <c r="E330" s="65"/>
      <c r="F330" s="66"/>
      <c r="G330" s="63"/>
      <c r="H330" s="67"/>
      <c r="I330" s="68"/>
      <c r="J330" s="68"/>
      <c r="K330" s="32" t="s">
        <v>65</v>
      </c>
      <c r="L330" s="75">
        <v>330</v>
      </c>
      <c r="M330" s="75"/>
      <c r="N330" s="70"/>
      <c r="O330" s="77" t="s">
        <v>179</v>
      </c>
      <c r="P330" s="79">
        <v>41872.52421296296</v>
      </c>
      <c r="Q330" s="77" t="s">
        <v>841</v>
      </c>
      <c r="R330" s="77">
        <v>0</v>
      </c>
      <c r="S330" s="77">
        <v>0</v>
      </c>
      <c r="T330" s="77">
        <v>0</v>
      </c>
      <c r="U330" s="77">
        <v>0</v>
      </c>
      <c r="V330" s="77"/>
      <c r="W330" s="77"/>
      <c r="X330" s="80" t="str">
        <f>HYPERLINK("http://wp.me/p4zw85-9Nn")</f>
        <v>http://wp.me/p4zw85-9Nn</v>
      </c>
      <c r="Y330" s="77" t="s">
        <v>2008</v>
      </c>
      <c r="Z330" s="77"/>
      <c r="AA330" s="77"/>
      <c r="AB330" s="77"/>
      <c r="AC330" s="81" t="s">
        <v>2720</v>
      </c>
      <c r="AD330" s="77" t="s">
        <v>2751</v>
      </c>
      <c r="AE330" s="80" t="str">
        <f>HYPERLINK("https://twitter.com/hyderabadblogs/status/502433655403204609")</f>
        <v>https://twitter.com/hyderabadblogs/status/502433655403204609</v>
      </c>
      <c r="AF330" s="79">
        <v>41872.52421296296</v>
      </c>
      <c r="AG330" s="85">
        <v>41872</v>
      </c>
      <c r="AH330" s="81" t="s">
        <v>3030</v>
      </c>
      <c r="AI330" s="77" t="b">
        <v>0</v>
      </c>
      <c r="AJ330" s="77"/>
      <c r="AK330" s="77"/>
      <c r="AL330" s="77"/>
      <c r="AM330" s="77"/>
      <c r="AN330" s="77"/>
      <c r="AO330" s="77"/>
      <c r="AP330" s="77"/>
      <c r="AQ330" s="77"/>
      <c r="AR330" s="77"/>
      <c r="AS330" s="77"/>
      <c r="AT330" s="77"/>
      <c r="AU330" s="77"/>
      <c r="AV330" s="80" t="str">
        <f>HYPERLINK("https://abs.twimg.com/sticky/default_profile_images/default_profile_normal.png")</f>
        <v>https://abs.twimg.com/sticky/default_profile_images/default_profile_normal.png</v>
      </c>
      <c r="AW330" s="81" t="s">
        <v>4776</v>
      </c>
      <c r="AX330" s="81" t="s">
        <v>4776</v>
      </c>
      <c r="AY330" s="77"/>
      <c r="AZ330" s="81" t="s">
        <v>5773</v>
      </c>
      <c r="BA330" s="81" t="s">
        <v>5773</v>
      </c>
      <c r="BB330" s="81" t="s">
        <v>5773</v>
      </c>
      <c r="BC330" s="81" t="s">
        <v>4776</v>
      </c>
      <c r="BD330" s="77">
        <v>2547109196</v>
      </c>
      <c r="BE330" s="77"/>
      <c r="BF330" s="77"/>
      <c r="BG330" s="77"/>
      <c r="BH330" s="77"/>
      <c r="BI330" s="77"/>
    </row>
    <row r="331" spans="1:61" ht="15">
      <c r="A331" s="62" t="s">
        <v>306</v>
      </c>
      <c r="B331" s="62" t="s">
        <v>306</v>
      </c>
      <c r="C331" s="63"/>
      <c r="D331" s="64"/>
      <c r="E331" s="65"/>
      <c r="F331" s="66"/>
      <c r="G331" s="63"/>
      <c r="H331" s="67"/>
      <c r="I331" s="68"/>
      <c r="J331" s="68"/>
      <c r="K331" s="32" t="s">
        <v>65</v>
      </c>
      <c r="L331" s="75">
        <v>331</v>
      </c>
      <c r="M331" s="75"/>
      <c r="N331" s="70"/>
      <c r="O331" s="77" t="s">
        <v>179</v>
      </c>
      <c r="P331" s="79">
        <v>41872.31752314815</v>
      </c>
      <c r="Q331" s="77" t="s">
        <v>842</v>
      </c>
      <c r="R331" s="77">
        <v>0</v>
      </c>
      <c r="S331" s="77">
        <v>0</v>
      </c>
      <c r="T331" s="77">
        <v>0</v>
      </c>
      <c r="U331" s="77">
        <v>0</v>
      </c>
      <c r="V331" s="77"/>
      <c r="W331" s="77"/>
      <c r="X331" s="80" t="str">
        <f>HYPERLINK("http://wp.me/p4zw85-9Mm")</f>
        <v>http://wp.me/p4zw85-9Mm</v>
      </c>
      <c r="Y331" s="77" t="s">
        <v>2008</v>
      </c>
      <c r="Z331" s="77"/>
      <c r="AA331" s="77"/>
      <c r="AB331" s="77"/>
      <c r="AC331" s="81" t="s">
        <v>2720</v>
      </c>
      <c r="AD331" s="77" t="s">
        <v>2751</v>
      </c>
      <c r="AE331" s="80" t="str">
        <f>HYPERLINK("https://twitter.com/hyderabadblogs/status/502358751244849152")</f>
        <v>https://twitter.com/hyderabadblogs/status/502358751244849152</v>
      </c>
      <c r="AF331" s="79">
        <v>41872.31752314815</v>
      </c>
      <c r="AG331" s="85">
        <v>41872</v>
      </c>
      <c r="AH331" s="81" t="s">
        <v>3031</v>
      </c>
      <c r="AI331" s="77" t="b">
        <v>0</v>
      </c>
      <c r="AJ331" s="77"/>
      <c r="AK331" s="77"/>
      <c r="AL331" s="77"/>
      <c r="AM331" s="77"/>
      <c r="AN331" s="77"/>
      <c r="AO331" s="77"/>
      <c r="AP331" s="77"/>
      <c r="AQ331" s="77"/>
      <c r="AR331" s="77"/>
      <c r="AS331" s="77"/>
      <c r="AT331" s="77"/>
      <c r="AU331" s="77"/>
      <c r="AV331" s="80" t="str">
        <f>HYPERLINK("https://abs.twimg.com/sticky/default_profile_images/default_profile_normal.png")</f>
        <v>https://abs.twimg.com/sticky/default_profile_images/default_profile_normal.png</v>
      </c>
      <c r="AW331" s="81" t="s">
        <v>4777</v>
      </c>
      <c r="AX331" s="81" t="s">
        <v>4777</v>
      </c>
      <c r="AY331" s="77"/>
      <c r="AZ331" s="81" t="s">
        <v>5773</v>
      </c>
      <c r="BA331" s="81" t="s">
        <v>5773</v>
      </c>
      <c r="BB331" s="81" t="s">
        <v>5773</v>
      </c>
      <c r="BC331" s="81" t="s">
        <v>4777</v>
      </c>
      <c r="BD331" s="77">
        <v>2547109196</v>
      </c>
      <c r="BE331" s="77"/>
      <c r="BF331" s="77"/>
      <c r="BG331" s="77"/>
      <c r="BH331" s="77"/>
      <c r="BI331" s="77"/>
    </row>
    <row r="332" spans="1:61" ht="15">
      <c r="A332" s="62" t="s">
        <v>307</v>
      </c>
      <c r="B332" s="62" t="s">
        <v>307</v>
      </c>
      <c r="C332" s="63"/>
      <c r="D332" s="64"/>
      <c r="E332" s="65"/>
      <c r="F332" s="66"/>
      <c r="G332" s="63"/>
      <c r="H332" s="67"/>
      <c r="I332" s="68"/>
      <c r="J332" s="68"/>
      <c r="K332" s="32" t="s">
        <v>65</v>
      </c>
      <c r="L332" s="75">
        <v>332</v>
      </c>
      <c r="M332" s="75"/>
      <c r="N332" s="70"/>
      <c r="O332" s="77" t="s">
        <v>179</v>
      </c>
      <c r="P332" s="79">
        <v>42791.860243055555</v>
      </c>
      <c r="Q332" s="77" t="s">
        <v>843</v>
      </c>
      <c r="R332" s="77">
        <v>0</v>
      </c>
      <c r="S332" s="77">
        <v>0</v>
      </c>
      <c r="T332" s="77">
        <v>0</v>
      </c>
      <c r="U332" s="77">
        <v>0</v>
      </c>
      <c r="V332" s="77"/>
      <c r="W332" s="77"/>
      <c r="X332" s="77"/>
      <c r="Y332" s="77"/>
      <c r="Z332" s="77"/>
      <c r="AA332" s="77" t="s">
        <v>2203</v>
      </c>
      <c r="AB332" s="77" t="s">
        <v>2696</v>
      </c>
      <c r="AC332" s="81" t="s">
        <v>2710</v>
      </c>
      <c r="AD332" s="77" t="s">
        <v>2751</v>
      </c>
      <c r="AE332" s="80" t="str">
        <f>HYPERLINK("https://twitter.com/bootstraptags/status/835589874228961280")</f>
        <v>https://twitter.com/bootstraptags/status/835589874228961280</v>
      </c>
      <c r="AF332" s="79">
        <v>42791.860243055555</v>
      </c>
      <c r="AG332" s="85">
        <v>42791</v>
      </c>
      <c r="AH332" s="81" t="s">
        <v>3032</v>
      </c>
      <c r="AI332" s="77" t="b">
        <v>0</v>
      </c>
      <c r="AJ332" s="77"/>
      <c r="AK332" s="77"/>
      <c r="AL332" s="77"/>
      <c r="AM332" s="77"/>
      <c r="AN332" s="77"/>
      <c r="AO332" s="77"/>
      <c r="AP332" s="77"/>
      <c r="AQ332" s="77" t="s">
        <v>4009</v>
      </c>
      <c r="AR332" s="77"/>
      <c r="AS332" s="77"/>
      <c r="AT332" s="77"/>
      <c r="AU332" s="77"/>
      <c r="AV332" s="80" t="str">
        <f>HYPERLINK("https://pbs.twimg.com/media/C5iakheXEAEZqP8.jpg")</f>
        <v>https://pbs.twimg.com/media/C5iakheXEAEZqP8.jpg</v>
      </c>
      <c r="AW332" s="81" t="s">
        <v>4778</v>
      </c>
      <c r="AX332" s="81" t="s">
        <v>4778</v>
      </c>
      <c r="AY332" s="77"/>
      <c r="AZ332" s="81" t="s">
        <v>5773</v>
      </c>
      <c r="BA332" s="81" t="s">
        <v>5773</v>
      </c>
      <c r="BB332" s="81" t="s">
        <v>5773</v>
      </c>
      <c r="BC332" s="81" t="s">
        <v>4778</v>
      </c>
      <c r="BD332" s="81" t="s">
        <v>5805</v>
      </c>
      <c r="BE332" s="77"/>
      <c r="BF332" s="77"/>
      <c r="BG332" s="77"/>
      <c r="BH332" s="77"/>
      <c r="BI332" s="77"/>
    </row>
    <row r="333" spans="1:61" ht="15">
      <c r="A333" s="62" t="s">
        <v>308</v>
      </c>
      <c r="B333" s="62" t="s">
        <v>512</v>
      </c>
      <c r="C333" s="63"/>
      <c r="D333" s="64"/>
      <c r="E333" s="65"/>
      <c r="F333" s="66"/>
      <c r="G333" s="63"/>
      <c r="H333" s="67"/>
      <c r="I333" s="68"/>
      <c r="J333" s="68"/>
      <c r="K333" s="32" t="s">
        <v>65</v>
      </c>
      <c r="L333" s="75">
        <v>333</v>
      </c>
      <c r="M333" s="75"/>
      <c r="N333" s="70"/>
      <c r="O333" s="77" t="s">
        <v>572</v>
      </c>
      <c r="P333" s="79">
        <v>45093.931226851855</v>
      </c>
      <c r="Q333" s="77" t="s">
        <v>844</v>
      </c>
      <c r="R333" s="77">
        <v>0</v>
      </c>
      <c r="S333" s="77">
        <v>0</v>
      </c>
      <c r="T333" s="77">
        <v>0</v>
      </c>
      <c r="U333" s="77">
        <v>0</v>
      </c>
      <c r="V333" s="77">
        <v>17</v>
      </c>
      <c r="W333" s="77"/>
      <c r="X333" s="77"/>
      <c r="Y333" s="77"/>
      <c r="Z333" s="77" t="s">
        <v>2081</v>
      </c>
      <c r="AA333" s="77"/>
      <c r="AB333" s="77"/>
      <c r="AC333" s="81" t="s">
        <v>2701</v>
      </c>
      <c r="AD333" s="77" t="s">
        <v>2751</v>
      </c>
      <c r="AE333" s="80" t="str">
        <f>HYPERLINK("https://twitter.com/kevreem/status/1669832464171249668")</f>
        <v>https://twitter.com/kevreem/status/1669832464171249668</v>
      </c>
      <c r="AF333" s="79">
        <v>45093.931226851855</v>
      </c>
      <c r="AG333" s="85">
        <v>45093</v>
      </c>
      <c r="AH333" s="81" t="s">
        <v>3033</v>
      </c>
      <c r="AI333" s="77"/>
      <c r="AJ333" s="77"/>
      <c r="AK333" s="77"/>
      <c r="AL333" s="77"/>
      <c r="AM333" s="77"/>
      <c r="AN333" s="77"/>
      <c r="AO333" s="77"/>
      <c r="AP333" s="77"/>
      <c r="AQ333" s="77"/>
      <c r="AR333" s="77"/>
      <c r="AS333" s="77"/>
      <c r="AT333" s="77"/>
      <c r="AU333" s="77"/>
      <c r="AV333" s="80" t="str">
        <f>HYPERLINK("https://pbs.twimg.com/profile_images/1402727893327876098/fFfpTvTp_normal.jpg")</f>
        <v>https://pbs.twimg.com/profile_images/1402727893327876098/fFfpTvTp_normal.jpg</v>
      </c>
      <c r="AW333" s="81" t="s">
        <v>4779</v>
      </c>
      <c r="AX333" s="81" t="s">
        <v>5705</v>
      </c>
      <c r="AY333" s="81" t="s">
        <v>5756</v>
      </c>
      <c r="AZ333" s="81" t="s">
        <v>5705</v>
      </c>
      <c r="BA333" s="81" t="s">
        <v>5773</v>
      </c>
      <c r="BB333" s="81" t="s">
        <v>5773</v>
      </c>
      <c r="BC333" s="81" t="s">
        <v>5705</v>
      </c>
      <c r="BD333" s="77">
        <v>1564623295</v>
      </c>
      <c r="BE333" s="77"/>
      <c r="BF333" s="77"/>
      <c r="BG333" s="77"/>
      <c r="BH333" s="77"/>
      <c r="BI333" s="77"/>
    </row>
    <row r="334" spans="1:61" ht="15">
      <c r="A334" s="62" t="s">
        <v>309</v>
      </c>
      <c r="B334" s="62" t="s">
        <v>309</v>
      </c>
      <c r="C334" s="63"/>
      <c r="D334" s="64"/>
      <c r="E334" s="65"/>
      <c r="F334" s="66"/>
      <c r="G334" s="63"/>
      <c r="H334" s="67"/>
      <c r="I334" s="68"/>
      <c r="J334" s="68"/>
      <c r="K334" s="32" t="s">
        <v>65</v>
      </c>
      <c r="L334" s="75">
        <v>334</v>
      </c>
      <c r="M334" s="75"/>
      <c r="N334" s="70"/>
      <c r="O334" s="77" t="s">
        <v>179</v>
      </c>
      <c r="P334" s="79">
        <v>42315.502546296295</v>
      </c>
      <c r="Q334" s="77" t="s">
        <v>845</v>
      </c>
      <c r="R334" s="77">
        <v>0</v>
      </c>
      <c r="S334" s="77">
        <v>0</v>
      </c>
      <c r="T334" s="77">
        <v>0</v>
      </c>
      <c r="U334" s="77">
        <v>0</v>
      </c>
      <c r="V334" s="77"/>
      <c r="W334" s="81" t="s">
        <v>1786</v>
      </c>
      <c r="X334" s="80" t="str">
        <f>HYPERLINK("http://dld.bz/dZxGh")</f>
        <v>http://dld.bz/dZxGh</v>
      </c>
      <c r="Y334" s="77" t="s">
        <v>1976</v>
      </c>
      <c r="Z334" s="77"/>
      <c r="AA334" s="77"/>
      <c r="AB334" s="77"/>
      <c r="AC334" s="81" t="s">
        <v>2706</v>
      </c>
      <c r="AD334" s="77" t="s">
        <v>2762</v>
      </c>
      <c r="AE334" s="80" t="str">
        <f>HYPERLINK("https://twitter.com/ia_uxjobs/status/662963624873472001")</f>
        <v>https://twitter.com/ia_uxjobs/status/662963624873472001</v>
      </c>
      <c r="AF334" s="79">
        <v>42315.502546296295</v>
      </c>
      <c r="AG334" s="85">
        <v>42315</v>
      </c>
      <c r="AH334" s="81" t="s">
        <v>3034</v>
      </c>
      <c r="AI334" s="77" t="b">
        <v>0</v>
      </c>
      <c r="AJ334" s="77"/>
      <c r="AK334" s="77"/>
      <c r="AL334" s="77"/>
      <c r="AM334" s="77"/>
      <c r="AN334" s="77"/>
      <c r="AO334" s="77"/>
      <c r="AP334" s="77"/>
      <c r="AQ334" s="77"/>
      <c r="AR334" s="77"/>
      <c r="AS334" s="77"/>
      <c r="AT334" s="77"/>
      <c r="AU334" s="77"/>
      <c r="AV334" s="80" t="str">
        <f>HYPERLINK("https://pbs.twimg.com/profile_images/1475461575205171202/j3Ljg7LN_normal.jpg")</f>
        <v>https://pbs.twimg.com/profile_images/1475461575205171202/j3Ljg7LN_normal.jpg</v>
      </c>
      <c r="AW334" s="81" t="s">
        <v>4780</v>
      </c>
      <c r="AX334" s="81" t="s">
        <v>4780</v>
      </c>
      <c r="AY334" s="77"/>
      <c r="AZ334" s="81" t="s">
        <v>5773</v>
      </c>
      <c r="BA334" s="81" t="s">
        <v>5773</v>
      </c>
      <c r="BB334" s="81" t="s">
        <v>5773</v>
      </c>
      <c r="BC334" s="81" t="s">
        <v>4780</v>
      </c>
      <c r="BD334" s="77">
        <v>32340428</v>
      </c>
      <c r="BE334" s="77"/>
      <c r="BF334" s="77"/>
      <c r="BG334" s="77"/>
      <c r="BH334" s="77"/>
      <c r="BI334" s="77"/>
    </row>
    <row r="335" spans="1:61" ht="15">
      <c r="A335" s="62" t="s">
        <v>310</v>
      </c>
      <c r="B335" s="62" t="s">
        <v>513</v>
      </c>
      <c r="C335" s="63"/>
      <c r="D335" s="64"/>
      <c r="E335" s="65"/>
      <c r="F335" s="66"/>
      <c r="G335" s="63"/>
      <c r="H335" s="67"/>
      <c r="I335" s="68"/>
      <c r="J335" s="68"/>
      <c r="K335" s="32" t="s">
        <v>65</v>
      </c>
      <c r="L335" s="75">
        <v>335</v>
      </c>
      <c r="M335" s="75"/>
      <c r="N335" s="70"/>
      <c r="O335" s="77" t="s">
        <v>572</v>
      </c>
      <c r="P335" s="79">
        <v>42748.716261574074</v>
      </c>
      <c r="Q335" s="77" t="s">
        <v>846</v>
      </c>
      <c r="R335" s="77">
        <v>0</v>
      </c>
      <c r="S335" s="77">
        <v>0</v>
      </c>
      <c r="T335" s="77">
        <v>0</v>
      </c>
      <c r="U335" s="77">
        <v>0</v>
      </c>
      <c r="V335" s="77"/>
      <c r="W335" s="77"/>
      <c r="X335" s="77"/>
      <c r="Y335" s="77"/>
      <c r="Z335" s="77" t="s">
        <v>513</v>
      </c>
      <c r="AA335" s="77"/>
      <c r="AB335" s="77"/>
      <c r="AC335" s="81" t="s">
        <v>2701</v>
      </c>
      <c r="AD335" s="77" t="s">
        <v>2751</v>
      </c>
      <c r="AE335" s="80" t="str">
        <f>HYPERLINK("https://twitter.com/jayantisrao/status/819955018467975168")</f>
        <v>https://twitter.com/jayantisrao/status/819955018467975168</v>
      </c>
      <c r="AF335" s="79">
        <v>42748.716261574074</v>
      </c>
      <c r="AG335" s="85">
        <v>42748</v>
      </c>
      <c r="AH335" s="81" t="s">
        <v>3035</v>
      </c>
      <c r="AI335" s="77"/>
      <c r="AJ335" s="77"/>
      <c r="AK335" s="77"/>
      <c r="AL335" s="77"/>
      <c r="AM335" s="77"/>
      <c r="AN335" s="77"/>
      <c r="AO335" s="77"/>
      <c r="AP335" s="77"/>
      <c r="AQ335" s="77"/>
      <c r="AR335" s="77"/>
      <c r="AS335" s="77"/>
      <c r="AT335" s="77"/>
      <c r="AU335" s="77"/>
      <c r="AV335" s="80" t="str">
        <f>HYPERLINK("https://pbs.twimg.com/profile_images/1556366299911290880/9jKdj66g_normal.jpg")</f>
        <v>https://pbs.twimg.com/profile_images/1556366299911290880/9jKdj66g_normal.jpg</v>
      </c>
      <c r="AW335" s="81" t="s">
        <v>4781</v>
      </c>
      <c r="AX335" s="81" t="s">
        <v>5706</v>
      </c>
      <c r="AY335" s="81" t="s">
        <v>5757</v>
      </c>
      <c r="AZ335" s="81" t="s">
        <v>5706</v>
      </c>
      <c r="BA335" s="81" t="s">
        <v>5773</v>
      </c>
      <c r="BB335" s="81" t="s">
        <v>5773</v>
      </c>
      <c r="BC335" s="81" t="s">
        <v>5706</v>
      </c>
      <c r="BD335" s="77">
        <v>52114314</v>
      </c>
      <c r="BE335" s="77"/>
      <c r="BF335" s="77"/>
      <c r="BG335" s="77"/>
      <c r="BH335" s="77"/>
      <c r="BI335" s="77"/>
    </row>
    <row r="336" spans="1:61" ht="15">
      <c r="A336" s="62" t="s">
        <v>311</v>
      </c>
      <c r="B336" s="62" t="s">
        <v>311</v>
      </c>
      <c r="C336" s="63"/>
      <c r="D336" s="64"/>
      <c r="E336" s="65"/>
      <c r="F336" s="66"/>
      <c r="G336" s="63"/>
      <c r="H336" s="67"/>
      <c r="I336" s="68"/>
      <c r="J336" s="68"/>
      <c r="K336" s="32" t="s">
        <v>65</v>
      </c>
      <c r="L336" s="75">
        <v>336</v>
      </c>
      <c r="M336" s="75"/>
      <c r="N336" s="70"/>
      <c r="O336" s="77" t="s">
        <v>179</v>
      </c>
      <c r="P336" s="79">
        <v>44808.89895833333</v>
      </c>
      <c r="Q336" s="77" t="s">
        <v>847</v>
      </c>
      <c r="R336" s="77">
        <v>22</v>
      </c>
      <c r="S336" s="77">
        <v>98</v>
      </c>
      <c r="T336" s="77">
        <v>3</v>
      </c>
      <c r="U336" s="77">
        <v>1</v>
      </c>
      <c r="V336" s="77"/>
      <c r="W336" s="77"/>
      <c r="X336" s="80" t="str">
        <f>HYPERLINK("https://tinyurl.com/y2bcujb3")</f>
        <v>https://tinyurl.com/y2bcujb3</v>
      </c>
      <c r="Y336" s="77" t="s">
        <v>1986</v>
      </c>
      <c r="Z336" s="77"/>
      <c r="AA336" s="77" t="s">
        <v>2204</v>
      </c>
      <c r="AB336" s="77" t="s">
        <v>2694</v>
      </c>
      <c r="AC336" s="81" t="s">
        <v>2707</v>
      </c>
      <c r="AD336" s="77" t="s">
        <v>2751</v>
      </c>
      <c r="AE336" s="80" t="str">
        <f>HYPERLINK("https://twitter.com/newbabyfly/status/1566540230945128448")</f>
        <v>https://twitter.com/newbabyfly/status/1566540230945128448</v>
      </c>
      <c r="AF336" s="79">
        <v>44808.89895833333</v>
      </c>
      <c r="AG336" s="85">
        <v>44808</v>
      </c>
      <c r="AH336" s="81" t="s">
        <v>3036</v>
      </c>
      <c r="AI336" s="77" t="b">
        <v>0</v>
      </c>
      <c r="AJ336" s="77"/>
      <c r="AK336" s="77"/>
      <c r="AL336" s="77"/>
      <c r="AM336" s="77"/>
      <c r="AN336" s="77"/>
      <c r="AO336" s="77"/>
      <c r="AP336" s="77"/>
      <c r="AQ336" s="77" t="s">
        <v>4021</v>
      </c>
      <c r="AR336" s="77"/>
      <c r="AS336" s="77"/>
      <c r="AT336" s="77"/>
      <c r="AU336" s="77"/>
      <c r="AV336" s="80" t="str">
        <f>HYPERLINK("https://pbs.twimg.com/media/Fb13ajLWQAEt1pr.jpg")</f>
        <v>https://pbs.twimg.com/media/Fb13ajLWQAEt1pr.jpg</v>
      </c>
      <c r="AW336" s="81" t="s">
        <v>4782</v>
      </c>
      <c r="AX336" s="81" t="s">
        <v>4782</v>
      </c>
      <c r="AY336" s="77"/>
      <c r="AZ336" s="81" t="s">
        <v>5773</v>
      </c>
      <c r="BA336" s="81" t="s">
        <v>5773</v>
      </c>
      <c r="BB336" s="81" t="s">
        <v>5773</v>
      </c>
      <c r="BC336" s="81" t="s">
        <v>4782</v>
      </c>
      <c r="BD336" s="77">
        <v>15171716</v>
      </c>
      <c r="BE336" s="77"/>
      <c r="BF336" s="77"/>
      <c r="BG336" s="77"/>
      <c r="BH336" s="77"/>
      <c r="BI336" s="77"/>
    </row>
    <row r="337" spans="1:61" ht="15">
      <c r="A337" s="62" t="s">
        <v>312</v>
      </c>
      <c r="B337" s="62" t="s">
        <v>312</v>
      </c>
      <c r="C337" s="63"/>
      <c r="D337" s="64"/>
      <c r="E337" s="65"/>
      <c r="F337" s="66"/>
      <c r="G337" s="63"/>
      <c r="H337" s="67"/>
      <c r="I337" s="68"/>
      <c r="J337" s="68"/>
      <c r="K337" s="32" t="s">
        <v>65</v>
      </c>
      <c r="L337" s="75">
        <v>337</v>
      </c>
      <c r="M337" s="75"/>
      <c r="N337" s="70"/>
      <c r="O337" s="77" t="s">
        <v>179</v>
      </c>
      <c r="P337" s="79">
        <v>42885.55221064815</v>
      </c>
      <c r="Q337" s="77" t="s">
        <v>848</v>
      </c>
      <c r="R337" s="77">
        <v>0</v>
      </c>
      <c r="S337" s="77">
        <v>0</v>
      </c>
      <c r="T337" s="77">
        <v>0</v>
      </c>
      <c r="U337" s="77">
        <v>0</v>
      </c>
      <c r="V337" s="77"/>
      <c r="W337" s="77"/>
      <c r="X337" s="77"/>
      <c r="Y337" s="77"/>
      <c r="Z337" s="77"/>
      <c r="AA337" s="77"/>
      <c r="AB337" s="77"/>
      <c r="AC337" s="81" t="s">
        <v>2710</v>
      </c>
      <c r="AD337" s="77" t="s">
        <v>2751</v>
      </c>
      <c r="AE337" s="80" t="str">
        <f>HYPERLINK("https://twitter.com/alisovino/status/869542707332612097")</f>
        <v>https://twitter.com/alisovino/status/869542707332612097</v>
      </c>
      <c r="AF337" s="79">
        <v>42885.55221064815</v>
      </c>
      <c r="AG337" s="85">
        <v>42885</v>
      </c>
      <c r="AH337" s="81" t="s">
        <v>3037</v>
      </c>
      <c r="AI337" s="77"/>
      <c r="AJ337" s="77"/>
      <c r="AK337" s="77"/>
      <c r="AL337" s="77"/>
      <c r="AM337" s="77"/>
      <c r="AN337" s="77"/>
      <c r="AO337" s="77"/>
      <c r="AP337" s="77"/>
      <c r="AQ337" s="77"/>
      <c r="AR337" s="77"/>
      <c r="AS337" s="77"/>
      <c r="AT337" s="77"/>
      <c r="AU337" s="77"/>
      <c r="AV337" s="80" t="str">
        <f>HYPERLINK("https://pbs.twimg.com/profile_images/1420296194111246336/p2UYgLMb_normal.jpg")</f>
        <v>https://pbs.twimg.com/profile_images/1420296194111246336/p2UYgLMb_normal.jpg</v>
      </c>
      <c r="AW337" s="81" t="s">
        <v>4783</v>
      </c>
      <c r="AX337" s="81" t="s">
        <v>4783</v>
      </c>
      <c r="AY337" s="77"/>
      <c r="AZ337" s="81" t="s">
        <v>5773</v>
      </c>
      <c r="BA337" s="81" t="s">
        <v>5773</v>
      </c>
      <c r="BB337" s="81" t="s">
        <v>5773</v>
      </c>
      <c r="BC337" s="81" t="s">
        <v>4783</v>
      </c>
      <c r="BD337" s="81" t="s">
        <v>5806</v>
      </c>
      <c r="BE337" s="77"/>
      <c r="BF337" s="77"/>
      <c r="BG337" s="77"/>
      <c r="BH337" s="77"/>
      <c r="BI337" s="77"/>
    </row>
    <row r="338" spans="1:61" ht="15">
      <c r="A338" s="62" t="s">
        <v>313</v>
      </c>
      <c r="B338" s="62" t="s">
        <v>299</v>
      </c>
      <c r="C338" s="63"/>
      <c r="D338" s="64"/>
      <c r="E338" s="65"/>
      <c r="F338" s="66"/>
      <c r="G338" s="63"/>
      <c r="H338" s="67"/>
      <c r="I338" s="68"/>
      <c r="J338" s="68"/>
      <c r="K338" s="32" t="s">
        <v>65</v>
      </c>
      <c r="L338" s="75">
        <v>338</v>
      </c>
      <c r="M338" s="75"/>
      <c r="N338" s="70"/>
      <c r="O338" s="77" t="s">
        <v>572</v>
      </c>
      <c r="P338" s="79">
        <v>44357.118738425925</v>
      </c>
      <c r="Q338" s="77" t="s">
        <v>588</v>
      </c>
      <c r="R338" s="77">
        <v>2</v>
      </c>
      <c r="S338" s="77">
        <v>4</v>
      </c>
      <c r="T338" s="77">
        <v>0</v>
      </c>
      <c r="U338" s="77">
        <v>0</v>
      </c>
      <c r="V338" s="77"/>
      <c r="W338" s="81" t="s">
        <v>1710</v>
      </c>
      <c r="X338" s="77"/>
      <c r="Y338" s="77"/>
      <c r="Z338" s="77" t="s">
        <v>299</v>
      </c>
      <c r="AA338" s="77"/>
      <c r="AB338" s="77"/>
      <c r="AC338" s="81" t="s">
        <v>2701</v>
      </c>
      <c r="AD338" s="77" t="s">
        <v>2752</v>
      </c>
      <c r="AE338" s="80" t="str">
        <f>HYPERLINK("https://twitter.com/aim_pvsk/status/1402820560187396097")</f>
        <v>https://twitter.com/aim_pvsk/status/1402820560187396097</v>
      </c>
      <c r="AF338" s="79">
        <v>44357.118738425925</v>
      </c>
      <c r="AG338" s="85">
        <v>44357</v>
      </c>
      <c r="AH338" s="81" t="s">
        <v>3038</v>
      </c>
      <c r="AI338" s="77"/>
      <c r="AJ338" s="77" t="s">
        <v>3884</v>
      </c>
      <c r="AK338" s="77" t="s">
        <v>3889</v>
      </c>
      <c r="AL338" s="77" t="s">
        <v>3892</v>
      </c>
      <c r="AM338" s="77" t="s">
        <v>3898</v>
      </c>
      <c r="AN338" s="77" t="s">
        <v>3905</v>
      </c>
      <c r="AO338" s="77" t="s">
        <v>3913</v>
      </c>
      <c r="AP338" s="77" t="s">
        <v>3917</v>
      </c>
      <c r="AQ338" s="77"/>
      <c r="AR338" s="77"/>
      <c r="AS338" s="77"/>
      <c r="AT338" s="77"/>
      <c r="AU338" s="77"/>
      <c r="AV338" s="80" t="str">
        <f>HYPERLINK("https://pbs.twimg.com/profile_images/1402816470212481025/vdLEQOzr_normal.jpg")</f>
        <v>https://pbs.twimg.com/profile_images/1402816470212481025/vdLEQOzr_normal.jpg</v>
      </c>
      <c r="AW338" s="81" t="s">
        <v>4784</v>
      </c>
      <c r="AX338" s="81" t="s">
        <v>5168</v>
      </c>
      <c r="AY338" s="81" t="s">
        <v>5721</v>
      </c>
      <c r="AZ338" s="81" t="s">
        <v>5168</v>
      </c>
      <c r="BA338" s="81" t="s">
        <v>5773</v>
      </c>
      <c r="BB338" s="81" t="s">
        <v>5773</v>
      </c>
      <c r="BC338" s="81" t="s">
        <v>5168</v>
      </c>
      <c r="BD338" s="81" t="s">
        <v>5807</v>
      </c>
      <c r="BE338" s="77"/>
      <c r="BF338" s="77"/>
      <c r="BG338" s="77"/>
      <c r="BH338" s="77"/>
      <c r="BI338" s="77"/>
    </row>
    <row r="339" spans="1:61" ht="15">
      <c r="A339" s="62" t="s">
        <v>314</v>
      </c>
      <c r="B339" s="62" t="s">
        <v>314</v>
      </c>
      <c r="C339" s="63"/>
      <c r="D339" s="64"/>
      <c r="E339" s="65"/>
      <c r="F339" s="66"/>
      <c r="G339" s="63"/>
      <c r="H339" s="67"/>
      <c r="I339" s="68"/>
      <c r="J339" s="68"/>
      <c r="K339" s="32" t="s">
        <v>65</v>
      </c>
      <c r="L339" s="75">
        <v>339</v>
      </c>
      <c r="M339" s="75"/>
      <c r="N339" s="70"/>
      <c r="O339" s="77" t="s">
        <v>179</v>
      </c>
      <c r="P339" s="79">
        <v>42137.404953703706</v>
      </c>
      <c r="Q339" s="77" t="s">
        <v>849</v>
      </c>
      <c r="R339" s="77">
        <v>0</v>
      </c>
      <c r="S339" s="77">
        <v>0</v>
      </c>
      <c r="T339" s="77">
        <v>0</v>
      </c>
      <c r="U339" s="77">
        <v>0</v>
      </c>
      <c r="V339" s="77"/>
      <c r="W339" s="81" t="s">
        <v>1787</v>
      </c>
      <c r="X339" s="80" t="str">
        <f>HYPERLINK("http://goo.gl/fb/9UKiz4")</f>
        <v>http://goo.gl/fb/9UKiz4</v>
      </c>
      <c r="Y339" s="77" t="s">
        <v>1975</v>
      </c>
      <c r="Z339" s="77"/>
      <c r="AA339" s="77"/>
      <c r="AB339" s="77"/>
      <c r="AC339" s="81" t="s">
        <v>2702</v>
      </c>
      <c r="AD339" s="77" t="s">
        <v>2751</v>
      </c>
      <c r="AE339" s="80" t="str">
        <f>HYPERLINK("https://twitter.com/jobspotz/status/598423219796877313")</f>
        <v>https://twitter.com/jobspotz/status/598423219796877313</v>
      </c>
      <c r="AF339" s="79">
        <v>42137.404953703706</v>
      </c>
      <c r="AG339" s="85">
        <v>42137</v>
      </c>
      <c r="AH339" s="81" t="s">
        <v>3039</v>
      </c>
      <c r="AI339" s="77" t="b">
        <v>0</v>
      </c>
      <c r="AJ339" s="77"/>
      <c r="AK339" s="77"/>
      <c r="AL339" s="77"/>
      <c r="AM339" s="77"/>
      <c r="AN339" s="77"/>
      <c r="AO339" s="77"/>
      <c r="AP339" s="77"/>
      <c r="AQ339" s="77"/>
      <c r="AR339" s="77"/>
      <c r="AS339" s="77"/>
      <c r="AT339" s="77"/>
      <c r="AU339" s="77"/>
      <c r="AV339" s="80" t="str">
        <f>HYPERLINK("https://pbs.twimg.com/profile_images/583343407839363072/8UwPcPiH_normal.jpg")</f>
        <v>https://pbs.twimg.com/profile_images/583343407839363072/8UwPcPiH_normal.jpg</v>
      </c>
      <c r="AW339" s="81" t="s">
        <v>4785</v>
      </c>
      <c r="AX339" s="81" t="s">
        <v>4785</v>
      </c>
      <c r="AY339" s="77"/>
      <c r="AZ339" s="81" t="s">
        <v>5773</v>
      </c>
      <c r="BA339" s="81" t="s">
        <v>5773</v>
      </c>
      <c r="BB339" s="81" t="s">
        <v>5773</v>
      </c>
      <c r="BC339" s="81" t="s">
        <v>4785</v>
      </c>
      <c r="BD339" s="77">
        <v>3127503050</v>
      </c>
      <c r="BE339" s="77"/>
      <c r="BF339" s="77"/>
      <c r="BG339" s="77"/>
      <c r="BH339" s="77"/>
      <c r="BI339" s="77"/>
    </row>
    <row r="340" spans="1:61" ht="15">
      <c r="A340" s="62" t="s">
        <v>315</v>
      </c>
      <c r="B340" s="62" t="s">
        <v>299</v>
      </c>
      <c r="C340" s="63"/>
      <c r="D340" s="64"/>
      <c r="E340" s="65"/>
      <c r="F340" s="66"/>
      <c r="G340" s="63"/>
      <c r="H340" s="67"/>
      <c r="I340" s="68"/>
      <c r="J340" s="68"/>
      <c r="K340" s="32" t="s">
        <v>65</v>
      </c>
      <c r="L340" s="75">
        <v>340</v>
      </c>
      <c r="M340" s="75"/>
      <c r="N340" s="70"/>
      <c r="O340" s="77" t="s">
        <v>571</v>
      </c>
      <c r="P340" s="79">
        <v>43178.2475</v>
      </c>
      <c r="Q340" s="77" t="s">
        <v>850</v>
      </c>
      <c r="R340" s="77">
        <v>1</v>
      </c>
      <c r="S340" s="77">
        <v>3</v>
      </c>
      <c r="T340" s="77">
        <v>0</v>
      </c>
      <c r="U340" s="77">
        <v>0</v>
      </c>
      <c r="V340" s="77"/>
      <c r="W340" s="81" t="s">
        <v>1788</v>
      </c>
      <c r="X340" s="77"/>
      <c r="Y340" s="77"/>
      <c r="Z340" s="77" t="s">
        <v>299</v>
      </c>
      <c r="AA340" s="77" t="s">
        <v>2205</v>
      </c>
      <c r="AB340" s="77" t="s">
        <v>2696</v>
      </c>
      <c r="AC340" s="81" t="s">
        <v>2705</v>
      </c>
      <c r="AD340" s="77" t="s">
        <v>2751</v>
      </c>
      <c r="AE340" s="80" t="str">
        <f>HYPERLINK("https://twitter.com/indywoodifc/status/975611926846853121")</f>
        <v>https://twitter.com/indywoodifc/status/975611926846853121</v>
      </c>
      <c r="AF340" s="79">
        <v>43178.2475</v>
      </c>
      <c r="AG340" s="85">
        <v>43178</v>
      </c>
      <c r="AH340" s="81" t="s">
        <v>3040</v>
      </c>
      <c r="AI340" s="77" t="b">
        <v>0</v>
      </c>
      <c r="AJ340" s="77"/>
      <c r="AK340" s="77"/>
      <c r="AL340" s="77"/>
      <c r="AM340" s="77"/>
      <c r="AN340" s="77"/>
      <c r="AO340" s="77"/>
      <c r="AP340" s="77"/>
      <c r="AQ340" s="77" t="s">
        <v>4022</v>
      </c>
      <c r="AR340" s="77"/>
      <c r="AS340" s="77"/>
      <c r="AT340" s="77"/>
      <c r="AU340" s="77"/>
      <c r="AV340" s="80" t="str">
        <f>HYPERLINK("https://pbs.twimg.com/media/DYoR20GU8AAUe3D.jpg")</f>
        <v>https://pbs.twimg.com/media/DYoR20GU8AAUe3D.jpg</v>
      </c>
      <c r="AW340" s="81" t="s">
        <v>4786</v>
      </c>
      <c r="AX340" s="81" t="s">
        <v>4786</v>
      </c>
      <c r="AY340" s="77"/>
      <c r="AZ340" s="81" t="s">
        <v>5773</v>
      </c>
      <c r="BA340" s="81" t="s">
        <v>5773</v>
      </c>
      <c r="BB340" s="81" t="s">
        <v>5773</v>
      </c>
      <c r="BC340" s="81" t="s">
        <v>4786</v>
      </c>
      <c r="BD340" s="81" t="s">
        <v>5808</v>
      </c>
      <c r="BE340" s="77"/>
      <c r="BF340" s="77"/>
      <c r="BG340" s="77"/>
      <c r="BH340" s="77"/>
      <c r="BI340" s="77"/>
    </row>
    <row r="341" spans="1:61" ht="15">
      <c r="A341" s="62" t="s">
        <v>316</v>
      </c>
      <c r="B341" s="62" t="s">
        <v>514</v>
      </c>
      <c r="C341" s="63"/>
      <c r="D341" s="64"/>
      <c r="E341" s="65"/>
      <c r="F341" s="66"/>
      <c r="G341" s="63"/>
      <c r="H341" s="67"/>
      <c r="I341" s="68"/>
      <c r="J341" s="68"/>
      <c r="K341" s="32" t="s">
        <v>65</v>
      </c>
      <c r="L341" s="75">
        <v>341</v>
      </c>
      <c r="M341" s="75"/>
      <c r="N341" s="70"/>
      <c r="O341" s="77" t="s">
        <v>571</v>
      </c>
      <c r="P341" s="79">
        <v>44057.023877314816</v>
      </c>
      <c r="Q341" s="77" t="s">
        <v>851</v>
      </c>
      <c r="R341" s="77">
        <v>0</v>
      </c>
      <c r="S341" s="77">
        <v>1</v>
      </c>
      <c r="T341" s="77">
        <v>0</v>
      </c>
      <c r="U341" s="77">
        <v>0</v>
      </c>
      <c r="V341" s="77"/>
      <c r="W341" s="77"/>
      <c r="X341" s="77"/>
      <c r="Y341" s="77"/>
      <c r="Z341" s="77" t="s">
        <v>2082</v>
      </c>
      <c r="AA341" s="77"/>
      <c r="AB341" s="77"/>
      <c r="AC341" s="81" t="s">
        <v>2710</v>
      </c>
      <c r="AD341" s="77" t="s">
        <v>2751</v>
      </c>
      <c r="AE341" s="80" t="str">
        <f>HYPERLINK("https://twitter.com/allifrye123/status/1294069825908682752")</f>
        <v>https://twitter.com/allifrye123/status/1294069825908682752</v>
      </c>
      <c r="AF341" s="79">
        <v>44057.023877314816</v>
      </c>
      <c r="AG341" s="85">
        <v>44057</v>
      </c>
      <c r="AH341" s="81" t="s">
        <v>3041</v>
      </c>
      <c r="AI341" s="77"/>
      <c r="AJ341" s="77"/>
      <c r="AK341" s="77"/>
      <c r="AL341" s="77"/>
      <c r="AM341" s="77"/>
      <c r="AN341" s="77"/>
      <c r="AO341" s="77"/>
      <c r="AP341" s="77"/>
      <c r="AQ341" s="77"/>
      <c r="AR341" s="77"/>
      <c r="AS341" s="77"/>
      <c r="AT341" s="77"/>
      <c r="AU341" s="77"/>
      <c r="AV341" s="80" t="str">
        <f>HYPERLINK("https://pbs.twimg.com/profile_images/1652268191719014402/AJLST_8V_normal.jpg")</f>
        <v>https://pbs.twimg.com/profile_images/1652268191719014402/AJLST_8V_normal.jpg</v>
      </c>
      <c r="AW341" s="81" t="s">
        <v>4787</v>
      </c>
      <c r="AX341" s="81" t="s">
        <v>4787</v>
      </c>
      <c r="AY341" s="77"/>
      <c r="AZ341" s="81" t="s">
        <v>5773</v>
      </c>
      <c r="BA341" s="81" t="s">
        <v>5773</v>
      </c>
      <c r="BB341" s="81" t="s">
        <v>5773</v>
      </c>
      <c r="BC341" s="81" t="s">
        <v>4787</v>
      </c>
      <c r="BD341" s="77">
        <v>97307104</v>
      </c>
      <c r="BE341" s="77"/>
      <c r="BF341" s="77"/>
      <c r="BG341" s="77"/>
      <c r="BH341" s="77"/>
      <c r="BI341" s="77"/>
    </row>
    <row r="342" spans="1:61" ht="15">
      <c r="A342" s="62" t="s">
        <v>316</v>
      </c>
      <c r="B342" s="62" t="s">
        <v>515</v>
      </c>
      <c r="C342" s="63"/>
      <c r="D342" s="64"/>
      <c r="E342" s="65"/>
      <c r="F342" s="66"/>
      <c r="G342" s="63"/>
      <c r="H342" s="67"/>
      <c r="I342" s="68"/>
      <c r="J342" s="68"/>
      <c r="K342" s="32" t="s">
        <v>65</v>
      </c>
      <c r="L342" s="75">
        <v>342</v>
      </c>
      <c r="M342" s="75"/>
      <c r="N342" s="70"/>
      <c r="O342" s="77" t="s">
        <v>571</v>
      </c>
      <c r="P342" s="79">
        <v>44057.023877314816</v>
      </c>
      <c r="Q342" s="77" t="s">
        <v>851</v>
      </c>
      <c r="R342" s="77">
        <v>0</v>
      </c>
      <c r="S342" s="77">
        <v>1</v>
      </c>
      <c r="T342" s="77">
        <v>0</v>
      </c>
      <c r="U342" s="77">
        <v>0</v>
      </c>
      <c r="V342" s="77"/>
      <c r="W342" s="77"/>
      <c r="X342" s="77"/>
      <c r="Y342" s="77"/>
      <c r="Z342" s="77" t="s">
        <v>2082</v>
      </c>
      <c r="AA342" s="77"/>
      <c r="AB342" s="77"/>
      <c r="AC342" s="81" t="s">
        <v>2710</v>
      </c>
      <c r="AD342" s="77" t="s">
        <v>2751</v>
      </c>
      <c r="AE342" s="80" t="str">
        <f>HYPERLINK("https://twitter.com/allifrye123/status/1294069825908682752")</f>
        <v>https://twitter.com/allifrye123/status/1294069825908682752</v>
      </c>
      <c r="AF342" s="79">
        <v>44057.023877314816</v>
      </c>
      <c r="AG342" s="85">
        <v>44057</v>
      </c>
      <c r="AH342" s="81" t="s">
        <v>3041</v>
      </c>
      <c r="AI342" s="77"/>
      <c r="AJ342" s="77"/>
      <c r="AK342" s="77"/>
      <c r="AL342" s="77"/>
      <c r="AM342" s="77"/>
      <c r="AN342" s="77"/>
      <c r="AO342" s="77"/>
      <c r="AP342" s="77"/>
      <c r="AQ342" s="77"/>
      <c r="AR342" s="77"/>
      <c r="AS342" s="77"/>
      <c r="AT342" s="77"/>
      <c r="AU342" s="77"/>
      <c r="AV342" s="80" t="str">
        <f>HYPERLINK("https://pbs.twimg.com/profile_images/1652268191719014402/AJLST_8V_normal.jpg")</f>
        <v>https://pbs.twimg.com/profile_images/1652268191719014402/AJLST_8V_normal.jpg</v>
      </c>
      <c r="AW342" s="81" t="s">
        <v>4787</v>
      </c>
      <c r="AX342" s="81" t="s">
        <v>4787</v>
      </c>
      <c r="AY342" s="77"/>
      <c r="AZ342" s="81" t="s">
        <v>5773</v>
      </c>
      <c r="BA342" s="81" t="s">
        <v>5773</v>
      </c>
      <c r="BB342" s="81" t="s">
        <v>5773</v>
      </c>
      <c r="BC342" s="81" t="s">
        <v>4787</v>
      </c>
      <c r="BD342" s="77">
        <v>97307104</v>
      </c>
      <c r="BE342" s="77"/>
      <c r="BF342" s="77"/>
      <c r="BG342" s="77"/>
      <c r="BH342" s="77"/>
      <c r="BI342" s="77"/>
    </row>
    <row r="343" spans="1:61" ht="15">
      <c r="A343" s="62" t="s">
        <v>316</v>
      </c>
      <c r="B343" s="62" t="s">
        <v>516</v>
      </c>
      <c r="C343" s="63"/>
      <c r="D343" s="64"/>
      <c r="E343" s="65"/>
      <c r="F343" s="66"/>
      <c r="G343" s="63"/>
      <c r="H343" s="67"/>
      <c r="I343" s="68"/>
      <c r="J343" s="68"/>
      <c r="K343" s="32" t="s">
        <v>65</v>
      </c>
      <c r="L343" s="75">
        <v>343</v>
      </c>
      <c r="M343" s="75"/>
      <c r="N343" s="70"/>
      <c r="O343" s="77" t="s">
        <v>571</v>
      </c>
      <c r="P343" s="79">
        <v>44057.023877314816</v>
      </c>
      <c r="Q343" s="77" t="s">
        <v>851</v>
      </c>
      <c r="R343" s="77">
        <v>0</v>
      </c>
      <c r="S343" s="77">
        <v>1</v>
      </c>
      <c r="T343" s="77">
        <v>0</v>
      </c>
      <c r="U343" s="77">
        <v>0</v>
      </c>
      <c r="V343" s="77"/>
      <c r="W343" s="77"/>
      <c r="X343" s="77"/>
      <c r="Y343" s="77"/>
      <c r="Z343" s="77" t="s">
        <v>2082</v>
      </c>
      <c r="AA343" s="77"/>
      <c r="AB343" s="77"/>
      <c r="AC343" s="81" t="s">
        <v>2710</v>
      </c>
      <c r="AD343" s="77" t="s">
        <v>2751</v>
      </c>
      <c r="AE343" s="80" t="str">
        <f>HYPERLINK("https://twitter.com/allifrye123/status/1294069825908682752")</f>
        <v>https://twitter.com/allifrye123/status/1294069825908682752</v>
      </c>
      <c r="AF343" s="79">
        <v>44057.023877314816</v>
      </c>
      <c r="AG343" s="85">
        <v>44057</v>
      </c>
      <c r="AH343" s="81" t="s">
        <v>3041</v>
      </c>
      <c r="AI343" s="77"/>
      <c r="AJ343" s="77"/>
      <c r="AK343" s="77"/>
      <c r="AL343" s="77"/>
      <c r="AM343" s="77"/>
      <c r="AN343" s="77"/>
      <c r="AO343" s="77"/>
      <c r="AP343" s="77"/>
      <c r="AQ343" s="77"/>
      <c r="AR343" s="77"/>
      <c r="AS343" s="77"/>
      <c r="AT343" s="77"/>
      <c r="AU343" s="77"/>
      <c r="AV343" s="80" t="str">
        <f>HYPERLINK("https://pbs.twimg.com/profile_images/1652268191719014402/AJLST_8V_normal.jpg")</f>
        <v>https://pbs.twimg.com/profile_images/1652268191719014402/AJLST_8V_normal.jpg</v>
      </c>
      <c r="AW343" s="81" t="s">
        <v>4787</v>
      </c>
      <c r="AX343" s="81" t="s">
        <v>4787</v>
      </c>
      <c r="AY343" s="77"/>
      <c r="AZ343" s="81" t="s">
        <v>5773</v>
      </c>
      <c r="BA343" s="81" t="s">
        <v>5773</v>
      </c>
      <c r="BB343" s="81" t="s">
        <v>5773</v>
      </c>
      <c r="BC343" s="81" t="s">
        <v>4787</v>
      </c>
      <c r="BD343" s="77">
        <v>97307104</v>
      </c>
      <c r="BE343" s="77"/>
      <c r="BF343" s="77"/>
      <c r="BG343" s="77"/>
      <c r="BH343" s="77"/>
      <c r="BI343" s="77"/>
    </row>
    <row r="344" spans="1:61" ht="15">
      <c r="A344" s="62" t="s">
        <v>316</v>
      </c>
      <c r="B344" s="62" t="s">
        <v>517</v>
      </c>
      <c r="C344" s="63"/>
      <c r="D344" s="64"/>
      <c r="E344" s="65"/>
      <c r="F344" s="66"/>
      <c r="G344" s="63"/>
      <c r="H344" s="67"/>
      <c r="I344" s="68"/>
      <c r="J344" s="68"/>
      <c r="K344" s="32" t="s">
        <v>65</v>
      </c>
      <c r="L344" s="75">
        <v>344</v>
      </c>
      <c r="M344" s="75"/>
      <c r="N344" s="70"/>
      <c r="O344" s="77" t="s">
        <v>571</v>
      </c>
      <c r="P344" s="79">
        <v>44057.023877314816</v>
      </c>
      <c r="Q344" s="77" t="s">
        <v>851</v>
      </c>
      <c r="R344" s="77">
        <v>0</v>
      </c>
      <c r="S344" s="77">
        <v>1</v>
      </c>
      <c r="T344" s="77">
        <v>0</v>
      </c>
      <c r="U344" s="77">
        <v>0</v>
      </c>
      <c r="V344" s="77"/>
      <c r="W344" s="77"/>
      <c r="X344" s="77"/>
      <c r="Y344" s="77"/>
      <c r="Z344" s="77" t="s">
        <v>2082</v>
      </c>
      <c r="AA344" s="77"/>
      <c r="AB344" s="77"/>
      <c r="AC344" s="81" t="s">
        <v>2710</v>
      </c>
      <c r="AD344" s="77" t="s">
        <v>2751</v>
      </c>
      <c r="AE344" s="80" t="str">
        <f>HYPERLINK("https://twitter.com/allifrye123/status/1294069825908682752")</f>
        <v>https://twitter.com/allifrye123/status/1294069825908682752</v>
      </c>
      <c r="AF344" s="79">
        <v>44057.023877314816</v>
      </c>
      <c r="AG344" s="85">
        <v>44057</v>
      </c>
      <c r="AH344" s="81" t="s">
        <v>3041</v>
      </c>
      <c r="AI344" s="77"/>
      <c r="AJ344" s="77"/>
      <c r="AK344" s="77"/>
      <c r="AL344" s="77"/>
      <c r="AM344" s="77"/>
      <c r="AN344" s="77"/>
      <c r="AO344" s="77"/>
      <c r="AP344" s="77"/>
      <c r="AQ344" s="77"/>
      <c r="AR344" s="77"/>
      <c r="AS344" s="77"/>
      <c r="AT344" s="77"/>
      <c r="AU344" s="77"/>
      <c r="AV344" s="80" t="str">
        <f>HYPERLINK("https://pbs.twimg.com/profile_images/1652268191719014402/AJLST_8V_normal.jpg")</f>
        <v>https://pbs.twimg.com/profile_images/1652268191719014402/AJLST_8V_normal.jpg</v>
      </c>
      <c r="AW344" s="81" t="s">
        <v>4787</v>
      </c>
      <c r="AX344" s="81" t="s">
        <v>4787</v>
      </c>
      <c r="AY344" s="77"/>
      <c r="AZ344" s="81" t="s">
        <v>5773</v>
      </c>
      <c r="BA344" s="81" t="s">
        <v>5773</v>
      </c>
      <c r="BB344" s="81" t="s">
        <v>5773</v>
      </c>
      <c r="BC344" s="81" t="s">
        <v>4787</v>
      </c>
      <c r="BD344" s="77">
        <v>97307104</v>
      </c>
      <c r="BE344" s="77"/>
      <c r="BF344" s="77"/>
      <c r="BG344" s="77"/>
      <c r="BH344" s="77"/>
      <c r="BI344" s="77"/>
    </row>
    <row r="345" spans="1:61" ht="15">
      <c r="A345" s="62" t="s">
        <v>316</v>
      </c>
      <c r="B345" s="62" t="s">
        <v>518</v>
      </c>
      <c r="C345" s="63"/>
      <c r="D345" s="64"/>
      <c r="E345" s="65"/>
      <c r="F345" s="66"/>
      <c r="G345" s="63"/>
      <c r="H345" s="67"/>
      <c r="I345" s="68"/>
      <c r="J345" s="68"/>
      <c r="K345" s="32" t="s">
        <v>65</v>
      </c>
      <c r="L345" s="75">
        <v>345</v>
      </c>
      <c r="M345" s="75"/>
      <c r="N345" s="70"/>
      <c r="O345" s="77" t="s">
        <v>571</v>
      </c>
      <c r="P345" s="79">
        <v>44057.023877314816</v>
      </c>
      <c r="Q345" s="77" t="s">
        <v>851</v>
      </c>
      <c r="R345" s="77">
        <v>0</v>
      </c>
      <c r="S345" s="77">
        <v>1</v>
      </c>
      <c r="T345" s="77">
        <v>0</v>
      </c>
      <c r="U345" s="77">
        <v>0</v>
      </c>
      <c r="V345" s="77"/>
      <c r="W345" s="77"/>
      <c r="X345" s="77"/>
      <c r="Y345" s="77"/>
      <c r="Z345" s="77" t="s">
        <v>2082</v>
      </c>
      <c r="AA345" s="77"/>
      <c r="AB345" s="77"/>
      <c r="AC345" s="81" t="s">
        <v>2710</v>
      </c>
      <c r="AD345" s="77" t="s">
        <v>2751</v>
      </c>
      <c r="AE345" s="80" t="str">
        <f>HYPERLINK("https://twitter.com/allifrye123/status/1294069825908682752")</f>
        <v>https://twitter.com/allifrye123/status/1294069825908682752</v>
      </c>
      <c r="AF345" s="79">
        <v>44057.023877314816</v>
      </c>
      <c r="AG345" s="85">
        <v>44057</v>
      </c>
      <c r="AH345" s="81" t="s">
        <v>3041</v>
      </c>
      <c r="AI345" s="77"/>
      <c r="AJ345" s="77"/>
      <c r="AK345" s="77"/>
      <c r="AL345" s="77"/>
      <c r="AM345" s="77"/>
      <c r="AN345" s="77"/>
      <c r="AO345" s="77"/>
      <c r="AP345" s="77"/>
      <c r="AQ345" s="77"/>
      <c r="AR345" s="77"/>
      <c r="AS345" s="77"/>
      <c r="AT345" s="77"/>
      <c r="AU345" s="77"/>
      <c r="AV345" s="80" t="str">
        <f>HYPERLINK("https://pbs.twimg.com/profile_images/1652268191719014402/AJLST_8V_normal.jpg")</f>
        <v>https://pbs.twimg.com/profile_images/1652268191719014402/AJLST_8V_normal.jpg</v>
      </c>
      <c r="AW345" s="81" t="s">
        <v>4787</v>
      </c>
      <c r="AX345" s="81" t="s">
        <v>4787</v>
      </c>
      <c r="AY345" s="77"/>
      <c r="AZ345" s="81" t="s">
        <v>5773</v>
      </c>
      <c r="BA345" s="81" t="s">
        <v>5773</v>
      </c>
      <c r="BB345" s="81" t="s">
        <v>5773</v>
      </c>
      <c r="BC345" s="81" t="s">
        <v>4787</v>
      </c>
      <c r="BD345" s="77">
        <v>97307104</v>
      </c>
      <c r="BE345" s="77"/>
      <c r="BF345" s="77"/>
      <c r="BG345" s="77"/>
      <c r="BH345" s="77"/>
      <c r="BI345" s="77"/>
    </row>
    <row r="346" spans="1:61" ht="15">
      <c r="A346" s="62" t="s">
        <v>316</v>
      </c>
      <c r="B346" s="62" t="s">
        <v>299</v>
      </c>
      <c r="C346" s="63"/>
      <c r="D346" s="64"/>
      <c r="E346" s="65"/>
      <c r="F346" s="66"/>
      <c r="G346" s="63"/>
      <c r="H346" s="67"/>
      <c r="I346" s="68"/>
      <c r="J346" s="68"/>
      <c r="K346" s="32" t="s">
        <v>65</v>
      </c>
      <c r="L346" s="75">
        <v>346</v>
      </c>
      <c r="M346" s="75"/>
      <c r="N346" s="70"/>
      <c r="O346" s="77" t="s">
        <v>571</v>
      </c>
      <c r="P346" s="79">
        <v>44057.023877314816</v>
      </c>
      <c r="Q346" s="77" t="s">
        <v>851</v>
      </c>
      <c r="R346" s="77">
        <v>0</v>
      </c>
      <c r="S346" s="77">
        <v>1</v>
      </c>
      <c r="T346" s="77">
        <v>0</v>
      </c>
      <c r="U346" s="77">
        <v>0</v>
      </c>
      <c r="V346" s="77"/>
      <c r="W346" s="77"/>
      <c r="X346" s="77"/>
      <c r="Y346" s="77"/>
      <c r="Z346" s="77" t="s">
        <v>2082</v>
      </c>
      <c r="AA346" s="77"/>
      <c r="AB346" s="77"/>
      <c r="AC346" s="81" t="s">
        <v>2710</v>
      </c>
      <c r="AD346" s="77" t="s">
        <v>2751</v>
      </c>
      <c r="AE346" s="80" t="str">
        <f>HYPERLINK("https://twitter.com/allifrye123/status/1294069825908682752")</f>
        <v>https://twitter.com/allifrye123/status/1294069825908682752</v>
      </c>
      <c r="AF346" s="79">
        <v>44057.023877314816</v>
      </c>
      <c r="AG346" s="85">
        <v>44057</v>
      </c>
      <c r="AH346" s="81" t="s">
        <v>3041</v>
      </c>
      <c r="AI346" s="77"/>
      <c r="AJ346" s="77"/>
      <c r="AK346" s="77"/>
      <c r="AL346" s="77"/>
      <c r="AM346" s="77"/>
      <c r="AN346" s="77"/>
      <c r="AO346" s="77"/>
      <c r="AP346" s="77"/>
      <c r="AQ346" s="77"/>
      <c r="AR346" s="77"/>
      <c r="AS346" s="77"/>
      <c r="AT346" s="77"/>
      <c r="AU346" s="77"/>
      <c r="AV346" s="80" t="str">
        <f>HYPERLINK("https://pbs.twimg.com/profile_images/1652268191719014402/AJLST_8V_normal.jpg")</f>
        <v>https://pbs.twimg.com/profile_images/1652268191719014402/AJLST_8V_normal.jpg</v>
      </c>
      <c r="AW346" s="81" t="s">
        <v>4787</v>
      </c>
      <c r="AX346" s="81" t="s">
        <v>4787</v>
      </c>
      <c r="AY346" s="77"/>
      <c r="AZ346" s="81" t="s">
        <v>5773</v>
      </c>
      <c r="BA346" s="81" t="s">
        <v>5773</v>
      </c>
      <c r="BB346" s="81" t="s">
        <v>5773</v>
      </c>
      <c r="BC346" s="81" t="s">
        <v>4787</v>
      </c>
      <c r="BD346" s="77">
        <v>97307104</v>
      </c>
      <c r="BE346" s="77"/>
      <c r="BF346" s="77"/>
      <c r="BG346" s="77"/>
      <c r="BH346" s="77"/>
      <c r="BI346" s="77"/>
    </row>
    <row r="347" spans="1:61" ht="15">
      <c r="A347" s="62" t="s">
        <v>316</v>
      </c>
      <c r="B347" s="62" t="s">
        <v>519</v>
      </c>
      <c r="C347" s="63"/>
      <c r="D347" s="64"/>
      <c r="E347" s="65"/>
      <c r="F347" s="66"/>
      <c r="G347" s="63"/>
      <c r="H347" s="67"/>
      <c r="I347" s="68"/>
      <c r="J347" s="68"/>
      <c r="K347" s="32" t="s">
        <v>65</v>
      </c>
      <c r="L347" s="75">
        <v>347</v>
      </c>
      <c r="M347" s="75"/>
      <c r="N347" s="70"/>
      <c r="O347" s="77" t="s">
        <v>571</v>
      </c>
      <c r="P347" s="79">
        <v>44057.023877314816</v>
      </c>
      <c r="Q347" s="77" t="s">
        <v>851</v>
      </c>
      <c r="R347" s="77">
        <v>0</v>
      </c>
      <c r="S347" s="77">
        <v>1</v>
      </c>
      <c r="T347" s="77">
        <v>0</v>
      </c>
      <c r="U347" s="77">
        <v>0</v>
      </c>
      <c r="V347" s="77"/>
      <c r="W347" s="77"/>
      <c r="X347" s="77"/>
      <c r="Y347" s="77"/>
      <c r="Z347" s="77" t="s">
        <v>2082</v>
      </c>
      <c r="AA347" s="77"/>
      <c r="AB347" s="77"/>
      <c r="AC347" s="81" t="s">
        <v>2710</v>
      </c>
      <c r="AD347" s="77" t="s">
        <v>2751</v>
      </c>
      <c r="AE347" s="80" t="str">
        <f>HYPERLINK("https://twitter.com/allifrye123/status/1294069825908682752")</f>
        <v>https://twitter.com/allifrye123/status/1294069825908682752</v>
      </c>
      <c r="AF347" s="79">
        <v>44057.023877314816</v>
      </c>
      <c r="AG347" s="85">
        <v>44057</v>
      </c>
      <c r="AH347" s="81" t="s">
        <v>3041</v>
      </c>
      <c r="AI347" s="77"/>
      <c r="AJ347" s="77"/>
      <c r="AK347" s="77"/>
      <c r="AL347" s="77"/>
      <c r="AM347" s="77"/>
      <c r="AN347" s="77"/>
      <c r="AO347" s="77"/>
      <c r="AP347" s="77"/>
      <c r="AQ347" s="77"/>
      <c r="AR347" s="77"/>
      <c r="AS347" s="77"/>
      <c r="AT347" s="77"/>
      <c r="AU347" s="77"/>
      <c r="AV347" s="80" t="str">
        <f>HYPERLINK("https://pbs.twimg.com/profile_images/1652268191719014402/AJLST_8V_normal.jpg")</f>
        <v>https://pbs.twimg.com/profile_images/1652268191719014402/AJLST_8V_normal.jpg</v>
      </c>
      <c r="AW347" s="81" t="s">
        <v>4787</v>
      </c>
      <c r="AX347" s="81" t="s">
        <v>4787</v>
      </c>
      <c r="AY347" s="77"/>
      <c r="AZ347" s="81" t="s">
        <v>5773</v>
      </c>
      <c r="BA347" s="81" t="s">
        <v>5773</v>
      </c>
      <c r="BB347" s="81" t="s">
        <v>5773</v>
      </c>
      <c r="BC347" s="81" t="s">
        <v>4787</v>
      </c>
      <c r="BD347" s="77">
        <v>97307104</v>
      </c>
      <c r="BE347" s="77"/>
      <c r="BF347" s="77"/>
      <c r="BG347" s="77"/>
      <c r="BH347" s="77"/>
      <c r="BI347" s="77"/>
    </row>
    <row r="348" spans="1:61" ht="15">
      <c r="A348" s="62" t="s">
        <v>316</v>
      </c>
      <c r="B348" s="62" t="s">
        <v>350</v>
      </c>
      <c r="C348" s="63"/>
      <c r="D348" s="64"/>
      <c r="E348" s="65"/>
      <c r="F348" s="66"/>
      <c r="G348" s="63"/>
      <c r="H348" s="67"/>
      <c r="I348" s="68"/>
      <c r="J348" s="68"/>
      <c r="K348" s="32" t="s">
        <v>65</v>
      </c>
      <c r="L348" s="75">
        <v>348</v>
      </c>
      <c r="M348" s="75"/>
      <c r="N348" s="70"/>
      <c r="O348" s="77" t="s">
        <v>571</v>
      </c>
      <c r="P348" s="79">
        <v>44057.023877314816</v>
      </c>
      <c r="Q348" s="77" t="s">
        <v>851</v>
      </c>
      <c r="R348" s="77">
        <v>0</v>
      </c>
      <c r="S348" s="77">
        <v>1</v>
      </c>
      <c r="T348" s="77">
        <v>0</v>
      </c>
      <c r="U348" s="77">
        <v>0</v>
      </c>
      <c r="V348" s="77"/>
      <c r="W348" s="77"/>
      <c r="X348" s="77"/>
      <c r="Y348" s="77"/>
      <c r="Z348" s="77" t="s">
        <v>2082</v>
      </c>
      <c r="AA348" s="77"/>
      <c r="AB348" s="77"/>
      <c r="AC348" s="81" t="s">
        <v>2710</v>
      </c>
      <c r="AD348" s="77" t="s">
        <v>2751</v>
      </c>
      <c r="AE348" s="80" t="str">
        <f>HYPERLINK("https://twitter.com/allifrye123/status/1294069825908682752")</f>
        <v>https://twitter.com/allifrye123/status/1294069825908682752</v>
      </c>
      <c r="AF348" s="79">
        <v>44057.023877314816</v>
      </c>
      <c r="AG348" s="85">
        <v>44057</v>
      </c>
      <c r="AH348" s="81" t="s">
        <v>3041</v>
      </c>
      <c r="AI348" s="77"/>
      <c r="AJ348" s="77"/>
      <c r="AK348" s="77"/>
      <c r="AL348" s="77"/>
      <c r="AM348" s="77"/>
      <c r="AN348" s="77"/>
      <c r="AO348" s="77"/>
      <c r="AP348" s="77"/>
      <c r="AQ348" s="77"/>
      <c r="AR348" s="77"/>
      <c r="AS348" s="77"/>
      <c r="AT348" s="77"/>
      <c r="AU348" s="77"/>
      <c r="AV348" s="80" t="str">
        <f>HYPERLINK("https://pbs.twimg.com/profile_images/1652268191719014402/AJLST_8V_normal.jpg")</f>
        <v>https://pbs.twimg.com/profile_images/1652268191719014402/AJLST_8V_normal.jpg</v>
      </c>
      <c r="AW348" s="81" t="s">
        <v>4787</v>
      </c>
      <c r="AX348" s="81" t="s">
        <v>4787</v>
      </c>
      <c r="AY348" s="77"/>
      <c r="AZ348" s="81" t="s">
        <v>5773</v>
      </c>
      <c r="BA348" s="81" t="s">
        <v>5773</v>
      </c>
      <c r="BB348" s="81" t="s">
        <v>5773</v>
      </c>
      <c r="BC348" s="81" t="s">
        <v>4787</v>
      </c>
      <c r="BD348" s="77">
        <v>97307104</v>
      </c>
      <c r="BE348" s="77"/>
      <c r="BF348" s="77"/>
      <c r="BG348" s="77"/>
      <c r="BH348" s="77"/>
      <c r="BI348" s="77"/>
    </row>
    <row r="349" spans="1:61" ht="15">
      <c r="A349" s="62" t="s">
        <v>316</v>
      </c>
      <c r="B349" s="62" t="s">
        <v>261</v>
      </c>
      <c r="C349" s="63"/>
      <c r="D349" s="64"/>
      <c r="E349" s="65"/>
      <c r="F349" s="66"/>
      <c r="G349" s="63"/>
      <c r="H349" s="67"/>
      <c r="I349" s="68"/>
      <c r="J349" s="68"/>
      <c r="K349" s="32" t="s">
        <v>65</v>
      </c>
      <c r="L349" s="75">
        <v>349</v>
      </c>
      <c r="M349" s="75"/>
      <c r="N349" s="70"/>
      <c r="O349" s="77" t="s">
        <v>571</v>
      </c>
      <c r="P349" s="79">
        <v>44057.023877314816</v>
      </c>
      <c r="Q349" s="77" t="s">
        <v>851</v>
      </c>
      <c r="R349" s="77">
        <v>0</v>
      </c>
      <c r="S349" s="77">
        <v>1</v>
      </c>
      <c r="T349" s="77">
        <v>0</v>
      </c>
      <c r="U349" s="77">
        <v>0</v>
      </c>
      <c r="V349" s="77"/>
      <c r="W349" s="77"/>
      <c r="X349" s="77"/>
      <c r="Y349" s="77"/>
      <c r="Z349" s="77" t="s">
        <v>2082</v>
      </c>
      <c r="AA349" s="77"/>
      <c r="AB349" s="77"/>
      <c r="AC349" s="81" t="s">
        <v>2710</v>
      </c>
      <c r="AD349" s="77" t="s">
        <v>2751</v>
      </c>
      <c r="AE349" s="80" t="str">
        <f>HYPERLINK("https://twitter.com/allifrye123/status/1294069825908682752")</f>
        <v>https://twitter.com/allifrye123/status/1294069825908682752</v>
      </c>
      <c r="AF349" s="79">
        <v>44057.023877314816</v>
      </c>
      <c r="AG349" s="85">
        <v>44057</v>
      </c>
      <c r="AH349" s="81" t="s">
        <v>3041</v>
      </c>
      <c r="AI349" s="77"/>
      <c r="AJ349" s="77"/>
      <c r="AK349" s="77"/>
      <c r="AL349" s="77"/>
      <c r="AM349" s="77"/>
      <c r="AN349" s="77"/>
      <c r="AO349" s="77"/>
      <c r="AP349" s="77"/>
      <c r="AQ349" s="77"/>
      <c r="AR349" s="77"/>
      <c r="AS349" s="77"/>
      <c r="AT349" s="77"/>
      <c r="AU349" s="77"/>
      <c r="AV349" s="80" t="str">
        <f>HYPERLINK("https://pbs.twimg.com/profile_images/1652268191719014402/AJLST_8V_normal.jpg")</f>
        <v>https://pbs.twimg.com/profile_images/1652268191719014402/AJLST_8V_normal.jpg</v>
      </c>
      <c r="AW349" s="81" t="s">
        <v>4787</v>
      </c>
      <c r="AX349" s="81" t="s">
        <v>4787</v>
      </c>
      <c r="AY349" s="77"/>
      <c r="AZ349" s="81" t="s">
        <v>5773</v>
      </c>
      <c r="BA349" s="81" t="s">
        <v>5773</v>
      </c>
      <c r="BB349" s="81" t="s">
        <v>5773</v>
      </c>
      <c r="BC349" s="81" t="s">
        <v>4787</v>
      </c>
      <c r="BD349" s="77">
        <v>97307104</v>
      </c>
      <c r="BE349" s="77"/>
      <c r="BF349" s="77"/>
      <c r="BG349" s="77"/>
      <c r="BH349" s="77"/>
      <c r="BI349" s="77"/>
    </row>
    <row r="350" spans="1:61" ht="15">
      <c r="A350" s="62" t="s">
        <v>317</v>
      </c>
      <c r="B350" s="62" t="s">
        <v>299</v>
      </c>
      <c r="C350" s="63"/>
      <c r="D350" s="64"/>
      <c r="E350" s="65"/>
      <c r="F350" s="66"/>
      <c r="G350" s="63"/>
      <c r="H350" s="67"/>
      <c r="I350" s="68"/>
      <c r="J350" s="68"/>
      <c r="K350" s="32" t="s">
        <v>65</v>
      </c>
      <c r="L350" s="75">
        <v>350</v>
      </c>
      <c r="M350" s="75"/>
      <c r="N350" s="70"/>
      <c r="O350" s="77" t="s">
        <v>572</v>
      </c>
      <c r="P350" s="79">
        <v>44357.18619212963</v>
      </c>
      <c r="Q350" s="77" t="s">
        <v>852</v>
      </c>
      <c r="R350" s="77">
        <v>0</v>
      </c>
      <c r="S350" s="77">
        <v>0</v>
      </c>
      <c r="T350" s="77">
        <v>0</v>
      </c>
      <c r="U350" s="77">
        <v>0</v>
      </c>
      <c r="V350" s="77"/>
      <c r="W350" s="81" t="s">
        <v>1789</v>
      </c>
      <c r="X350" s="77"/>
      <c r="Y350" s="77"/>
      <c r="Z350" s="77" t="s">
        <v>299</v>
      </c>
      <c r="AA350" s="77"/>
      <c r="AB350" s="77"/>
      <c r="AC350" s="81" t="s">
        <v>2701</v>
      </c>
      <c r="AD350" s="77" t="s">
        <v>2752</v>
      </c>
      <c r="AE350" s="80" t="str">
        <f>HYPERLINK("https://twitter.com/azahar_shaik/status/1402845005987778563")</f>
        <v>https://twitter.com/azahar_shaik/status/1402845005987778563</v>
      </c>
      <c r="AF350" s="79">
        <v>44357.18619212963</v>
      </c>
      <c r="AG350" s="85">
        <v>44357</v>
      </c>
      <c r="AH350" s="81" t="s">
        <v>3042</v>
      </c>
      <c r="AI350" s="77"/>
      <c r="AJ350" s="77"/>
      <c r="AK350" s="77"/>
      <c r="AL350" s="77"/>
      <c r="AM350" s="77"/>
      <c r="AN350" s="77"/>
      <c r="AO350" s="77"/>
      <c r="AP350" s="77"/>
      <c r="AQ350" s="77"/>
      <c r="AR350" s="77"/>
      <c r="AS350" s="77"/>
      <c r="AT350" s="77"/>
      <c r="AU350" s="77"/>
      <c r="AV350" s="80" t="str">
        <f>HYPERLINK("https://pbs.twimg.com/profile_images/1720078767241175040/9oePXJmw_normal.jpg")</f>
        <v>https://pbs.twimg.com/profile_images/1720078767241175040/9oePXJmw_normal.jpg</v>
      </c>
      <c r="AW350" s="81" t="s">
        <v>4788</v>
      </c>
      <c r="AX350" s="81" t="s">
        <v>5168</v>
      </c>
      <c r="AY350" s="81" t="s">
        <v>5721</v>
      </c>
      <c r="AZ350" s="81" t="s">
        <v>5168</v>
      </c>
      <c r="BA350" s="81" t="s">
        <v>5773</v>
      </c>
      <c r="BB350" s="81" t="s">
        <v>5773</v>
      </c>
      <c r="BC350" s="81" t="s">
        <v>5168</v>
      </c>
      <c r="BD350" s="77">
        <v>2151120626</v>
      </c>
      <c r="BE350" s="77"/>
      <c r="BF350" s="77"/>
      <c r="BG350" s="77"/>
      <c r="BH350" s="77"/>
      <c r="BI350" s="77"/>
    </row>
    <row r="351" spans="1:61" ht="15">
      <c r="A351" s="62" t="s">
        <v>318</v>
      </c>
      <c r="B351" s="62" t="s">
        <v>520</v>
      </c>
      <c r="C351" s="63"/>
      <c r="D351" s="64"/>
      <c r="E351" s="65"/>
      <c r="F351" s="66"/>
      <c r="G351" s="63"/>
      <c r="H351" s="67"/>
      <c r="I351" s="68"/>
      <c r="J351" s="68"/>
      <c r="K351" s="32" t="s">
        <v>65</v>
      </c>
      <c r="L351" s="75">
        <v>351</v>
      </c>
      <c r="M351" s="75"/>
      <c r="N351" s="70"/>
      <c r="O351" s="77" t="s">
        <v>573</v>
      </c>
      <c r="P351" s="79">
        <v>43705.95832175926</v>
      </c>
      <c r="Q351" s="77" t="s">
        <v>853</v>
      </c>
      <c r="R351" s="77">
        <v>0</v>
      </c>
      <c r="S351" s="77">
        <v>0</v>
      </c>
      <c r="T351" s="77">
        <v>0</v>
      </c>
      <c r="U351" s="77">
        <v>0</v>
      </c>
      <c r="V351" s="77"/>
      <c r="W351" s="77"/>
      <c r="X351" s="77"/>
      <c r="Y351" s="77"/>
      <c r="Z351" s="77" t="s">
        <v>2083</v>
      </c>
      <c r="AA351" s="77" t="s">
        <v>2206</v>
      </c>
      <c r="AB351" s="77" t="s">
        <v>2696</v>
      </c>
      <c r="AC351" s="81" t="s">
        <v>2701</v>
      </c>
      <c r="AD351" s="77" t="s">
        <v>2751</v>
      </c>
      <c r="AE351" s="80" t="str">
        <f>HYPERLINK("https://twitter.com/m4moazam/status/1166847929119850496")</f>
        <v>https://twitter.com/m4moazam/status/1166847929119850496</v>
      </c>
      <c r="AF351" s="79">
        <v>43705.95832175926</v>
      </c>
      <c r="AG351" s="85">
        <v>43705</v>
      </c>
      <c r="AH351" s="81" t="s">
        <v>3043</v>
      </c>
      <c r="AI351" s="77" t="b">
        <v>0</v>
      </c>
      <c r="AJ351" s="77"/>
      <c r="AK351" s="77"/>
      <c r="AL351" s="77"/>
      <c r="AM351" s="77"/>
      <c r="AN351" s="77"/>
      <c r="AO351" s="77"/>
      <c r="AP351" s="77"/>
      <c r="AQ351" s="77" t="s">
        <v>4023</v>
      </c>
      <c r="AR351" s="77"/>
      <c r="AS351" s="77"/>
      <c r="AT351" s="77"/>
      <c r="AU351" s="77"/>
      <c r="AV351" s="80" t="str">
        <f>HYPERLINK("https://pbs.twimg.com/media/EDF6AApWwAAqeZc.jpg")</f>
        <v>https://pbs.twimg.com/media/EDF6AApWwAAqeZc.jpg</v>
      </c>
      <c r="AW351" s="81" t="s">
        <v>4789</v>
      </c>
      <c r="AX351" s="81" t="s">
        <v>5707</v>
      </c>
      <c r="AY351" s="81" t="s">
        <v>5758</v>
      </c>
      <c r="AZ351" s="81" t="s">
        <v>5781</v>
      </c>
      <c r="BA351" s="81" t="s">
        <v>5773</v>
      </c>
      <c r="BB351" s="81" t="s">
        <v>5773</v>
      </c>
      <c r="BC351" s="81" t="s">
        <v>5781</v>
      </c>
      <c r="BD351" s="81" t="s">
        <v>5809</v>
      </c>
      <c r="BE351" s="77"/>
      <c r="BF351" s="77"/>
      <c r="BG351" s="77"/>
      <c r="BH351" s="77"/>
      <c r="BI351" s="77"/>
    </row>
    <row r="352" spans="1:61" ht="15">
      <c r="A352" s="62" t="s">
        <v>318</v>
      </c>
      <c r="B352" s="62" t="s">
        <v>521</v>
      </c>
      <c r="C352" s="63"/>
      <c r="D352" s="64"/>
      <c r="E352" s="65"/>
      <c r="F352" s="66"/>
      <c r="G352" s="63"/>
      <c r="H352" s="67"/>
      <c r="I352" s="68"/>
      <c r="J352" s="68"/>
      <c r="K352" s="32" t="s">
        <v>65</v>
      </c>
      <c r="L352" s="75">
        <v>352</v>
      </c>
      <c r="M352" s="75"/>
      <c r="N352" s="70"/>
      <c r="O352" s="77" t="s">
        <v>572</v>
      </c>
      <c r="P352" s="79">
        <v>43705.95832175926</v>
      </c>
      <c r="Q352" s="77" t="s">
        <v>853</v>
      </c>
      <c r="R352" s="77">
        <v>0</v>
      </c>
      <c r="S352" s="77">
        <v>0</v>
      </c>
      <c r="T352" s="77">
        <v>0</v>
      </c>
      <c r="U352" s="77">
        <v>0</v>
      </c>
      <c r="V352" s="77"/>
      <c r="W352" s="77"/>
      <c r="X352" s="77"/>
      <c r="Y352" s="77"/>
      <c r="Z352" s="77" t="s">
        <v>2083</v>
      </c>
      <c r="AA352" s="77" t="s">
        <v>2206</v>
      </c>
      <c r="AB352" s="77" t="s">
        <v>2696</v>
      </c>
      <c r="AC352" s="81" t="s">
        <v>2701</v>
      </c>
      <c r="AD352" s="77" t="s">
        <v>2751</v>
      </c>
      <c r="AE352" s="80" t="str">
        <f>HYPERLINK("https://twitter.com/m4moazam/status/1166847929119850496")</f>
        <v>https://twitter.com/m4moazam/status/1166847929119850496</v>
      </c>
      <c r="AF352" s="79">
        <v>43705.95832175926</v>
      </c>
      <c r="AG352" s="85">
        <v>43705</v>
      </c>
      <c r="AH352" s="81" t="s">
        <v>3043</v>
      </c>
      <c r="AI352" s="77" t="b">
        <v>0</v>
      </c>
      <c r="AJ352" s="77"/>
      <c r="AK352" s="77"/>
      <c r="AL352" s="77"/>
      <c r="AM352" s="77"/>
      <c r="AN352" s="77"/>
      <c r="AO352" s="77"/>
      <c r="AP352" s="77"/>
      <c r="AQ352" s="77" t="s">
        <v>4023</v>
      </c>
      <c r="AR352" s="77"/>
      <c r="AS352" s="77"/>
      <c r="AT352" s="77"/>
      <c r="AU352" s="77"/>
      <c r="AV352" s="80" t="str">
        <f>HYPERLINK("https://pbs.twimg.com/media/EDF6AApWwAAqeZc.jpg")</f>
        <v>https://pbs.twimg.com/media/EDF6AApWwAAqeZc.jpg</v>
      </c>
      <c r="AW352" s="81" t="s">
        <v>4789</v>
      </c>
      <c r="AX352" s="81" t="s">
        <v>5707</v>
      </c>
      <c r="AY352" s="81" t="s">
        <v>5758</v>
      </c>
      <c r="AZ352" s="81" t="s">
        <v>5781</v>
      </c>
      <c r="BA352" s="81" t="s">
        <v>5773</v>
      </c>
      <c r="BB352" s="81" t="s">
        <v>5773</v>
      </c>
      <c r="BC352" s="81" t="s">
        <v>5781</v>
      </c>
      <c r="BD352" s="81" t="s">
        <v>5809</v>
      </c>
      <c r="BE352" s="77"/>
      <c r="BF352" s="77"/>
      <c r="BG352" s="77"/>
      <c r="BH352" s="77"/>
      <c r="BI352" s="77"/>
    </row>
    <row r="353" spans="1:61" ht="15">
      <c r="A353" s="62" t="s">
        <v>319</v>
      </c>
      <c r="B353" s="62" t="s">
        <v>319</v>
      </c>
      <c r="C353" s="63"/>
      <c r="D353" s="64"/>
      <c r="E353" s="65"/>
      <c r="F353" s="66"/>
      <c r="G353" s="63"/>
      <c r="H353" s="67"/>
      <c r="I353" s="68"/>
      <c r="J353" s="68"/>
      <c r="K353" s="32" t="s">
        <v>65</v>
      </c>
      <c r="L353" s="75">
        <v>353</v>
      </c>
      <c r="M353" s="75"/>
      <c r="N353" s="70"/>
      <c r="O353" s="77" t="s">
        <v>179</v>
      </c>
      <c r="P353" s="79">
        <v>43923.83329861111</v>
      </c>
      <c r="Q353" s="77" t="s">
        <v>854</v>
      </c>
      <c r="R353" s="77">
        <v>0</v>
      </c>
      <c r="S353" s="77">
        <v>0</v>
      </c>
      <c r="T353" s="77">
        <v>0</v>
      </c>
      <c r="U353" s="77">
        <v>0</v>
      </c>
      <c r="V353" s="77"/>
      <c r="W353" s="77"/>
      <c r="X353" s="80" t="str">
        <f>HYPERLINK("http://hyderabad.namanas.com/clad_5e86443d69b05.html")</f>
        <v>http://hyderabad.namanas.com/clad_5e86443d69b05.html</v>
      </c>
      <c r="Y353" s="77" t="s">
        <v>2009</v>
      </c>
      <c r="Z353" s="77"/>
      <c r="AA353" s="77"/>
      <c r="AB353" s="77"/>
      <c r="AC353" s="81" t="s">
        <v>2728</v>
      </c>
      <c r="AD353" s="77" t="s">
        <v>2751</v>
      </c>
      <c r="AE353" s="80" t="str">
        <f>HYPERLINK("https://twitter.com/namanas/status/1245803175476473856")</f>
        <v>https://twitter.com/namanas/status/1245803175476473856</v>
      </c>
      <c r="AF353" s="79">
        <v>43923.83329861111</v>
      </c>
      <c r="AG353" s="85">
        <v>43923</v>
      </c>
      <c r="AH353" s="81" t="s">
        <v>3044</v>
      </c>
      <c r="AI353" s="77" t="b">
        <v>0</v>
      </c>
      <c r="AJ353" s="77"/>
      <c r="AK353" s="77"/>
      <c r="AL353" s="77"/>
      <c r="AM353" s="77"/>
      <c r="AN353" s="77"/>
      <c r="AO353" s="77"/>
      <c r="AP353" s="77"/>
      <c r="AQ353" s="77"/>
      <c r="AR353" s="77"/>
      <c r="AS353" s="77"/>
      <c r="AT353" s="77"/>
      <c r="AU353" s="77"/>
      <c r="AV353" s="80" t="str">
        <f>HYPERLINK("https://pbs.twimg.com/profile_images/442425041/Namanas_symbol_normal.gif")</f>
        <v>https://pbs.twimg.com/profile_images/442425041/Namanas_symbol_normal.gif</v>
      </c>
      <c r="AW353" s="81" t="s">
        <v>4790</v>
      </c>
      <c r="AX353" s="81" t="s">
        <v>4790</v>
      </c>
      <c r="AY353" s="77"/>
      <c r="AZ353" s="81" t="s">
        <v>5773</v>
      </c>
      <c r="BA353" s="81" t="s">
        <v>5773</v>
      </c>
      <c r="BB353" s="81" t="s">
        <v>5773</v>
      </c>
      <c r="BC353" s="81" t="s">
        <v>4790</v>
      </c>
      <c r="BD353" s="77">
        <v>78065283</v>
      </c>
      <c r="BE353" s="77"/>
      <c r="BF353" s="77"/>
      <c r="BG353" s="77"/>
      <c r="BH353" s="77"/>
      <c r="BI353" s="77"/>
    </row>
    <row r="354" spans="1:61" ht="15">
      <c r="A354" s="62" t="s">
        <v>319</v>
      </c>
      <c r="B354" s="62" t="s">
        <v>319</v>
      </c>
      <c r="C354" s="63"/>
      <c r="D354" s="64"/>
      <c r="E354" s="65"/>
      <c r="F354" s="66"/>
      <c r="G354" s="63"/>
      <c r="H354" s="67"/>
      <c r="I354" s="68"/>
      <c r="J354" s="68"/>
      <c r="K354" s="32" t="s">
        <v>65</v>
      </c>
      <c r="L354" s="75">
        <v>354</v>
      </c>
      <c r="M354" s="75"/>
      <c r="N354" s="70"/>
      <c r="O354" s="77" t="s">
        <v>179</v>
      </c>
      <c r="P354" s="79">
        <v>43923.833287037036</v>
      </c>
      <c r="Q354" s="77" t="s">
        <v>855</v>
      </c>
      <c r="R354" s="77">
        <v>0</v>
      </c>
      <c r="S354" s="77">
        <v>0</v>
      </c>
      <c r="T354" s="77">
        <v>0</v>
      </c>
      <c r="U354" s="77">
        <v>0</v>
      </c>
      <c r="V354" s="77"/>
      <c r="W354" s="77"/>
      <c r="X354" s="80" t="str">
        <f>HYPERLINK("http://hyderabad.namanas.com/clad_5e86443bd27af.html")</f>
        <v>http://hyderabad.namanas.com/clad_5e86443bd27af.html</v>
      </c>
      <c r="Y354" s="77" t="s">
        <v>2009</v>
      </c>
      <c r="Z354" s="77"/>
      <c r="AA354" s="77"/>
      <c r="AB354" s="77"/>
      <c r="AC354" s="81" t="s">
        <v>2728</v>
      </c>
      <c r="AD354" s="77" t="s">
        <v>2751</v>
      </c>
      <c r="AE354" s="80" t="str">
        <f>HYPERLINK("https://twitter.com/namanas/status/1245803168933404679")</f>
        <v>https://twitter.com/namanas/status/1245803168933404679</v>
      </c>
      <c r="AF354" s="79">
        <v>43923.833287037036</v>
      </c>
      <c r="AG354" s="85">
        <v>43923</v>
      </c>
      <c r="AH354" s="81" t="s">
        <v>3045</v>
      </c>
      <c r="AI354" s="77" t="b">
        <v>0</v>
      </c>
      <c r="AJ354" s="77"/>
      <c r="AK354" s="77"/>
      <c r="AL354" s="77"/>
      <c r="AM354" s="77"/>
      <c r="AN354" s="77"/>
      <c r="AO354" s="77"/>
      <c r="AP354" s="77"/>
      <c r="AQ354" s="77"/>
      <c r="AR354" s="77"/>
      <c r="AS354" s="77"/>
      <c r="AT354" s="77"/>
      <c r="AU354" s="77"/>
      <c r="AV354" s="80" t="str">
        <f>HYPERLINK("https://pbs.twimg.com/profile_images/442425041/Namanas_symbol_normal.gif")</f>
        <v>https://pbs.twimg.com/profile_images/442425041/Namanas_symbol_normal.gif</v>
      </c>
      <c r="AW354" s="81" t="s">
        <v>4791</v>
      </c>
      <c r="AX354" s="81" t="s">
        <v>4791</v>
      </c>
      <c r="AY354" s="77"/>
      <c r="AZ354" s="81" t="s">
        <v>5773</v>
      </c>
      <c r="BA354" s="81" t="s">
        <v>5773</v>
      </c>
      <c r="BB354" s="81" t="s">
        <v>5773</v>
      </c>
      <c r="BC354" s="81" t="s">
        <v>4791</v>
      </c>
      <c r="BD354" s="77">
        <v>78065283</v>
      </c>
      <c r="BE354" s="77"/>
      <c r="BF354" s="77"/>
      <c r="BG354" s="77"/>
      <c r="BH354" s="77"/>
      <c r="BI354" s="77"/>
    </row>
    <row r="355" spans="1:61" ht="15">
      <c r="A355" s="62" t="s">
        <v>319</v>
      </c>
      <c r="B355" s="62" t="s">
        <v>319</v>
      </c>
      <c r="C355" s="63"/>
      <c r="D355" s="64"/>
      <c r="E355" s="65"/>
      <c r="F355" s="66"/>
      <c r="G355" s="63"/>
      <c r="H355" s="67"/>
      <c r="I355" s="68"/>
      <c r="J355" s="68"/>
      <c r="K355" s="32" t="s">
        <v>65</v>
      </c>
      <c r="L355" s="75">
        <v>355</v>
      </c>
      <c r="M355" s="75"/>
      <c r="N355" s="70"/>
      <c r="O355" s="77" t="s">
        <v>179</v>
      </c>
      <c r="P355" s="79">
        <v>43899.02334490741</v>
      </c>
      <c r="Q355" s="77" t="s">
        <v>856</v>
      </c>
      <c r="R355" s="77">
        <v>0</v>
      </c>
      <c r="S355" s="77">
        <v>0</v>
      </c>
      <c r="T355" s="77">
        <v>0</v>
      </c>
      <c r="U355" s="77">
        <v>0</v>
      </c>
      <c r="V355" s="77"/>
      <c r="W355" s="77"/>
      <c r="X355" s="80" t="str">
        <f>HYPERLINK("http://hyderabad.namanas.com/clad_5e658ee1568f4.html")</f>
        <v>http://hyderabad.namanas.com/clad_5e658ee1568f4.html</v>
      </c>
      <c r="Y355" s="77" t="s">
        <v>2009</v>
      </c>
      <c r="Z355" s="77"/>
      <c r="AA355" s="77"/>
      <c r="AB355" s="77"/>
      <c r="AC355" s="81" t="s">
        <v>2728</v>
      </c>
      <c r="AD355" s="77" t="s">
        <v>2763</v>
      </c>
      <c r="AE355" s="80" t="str">
        <f>HYPERLINK("https://twitter.com/namanas/status/1236812348897124353")</f>
        <v>https://twitter.com/namanas/status/1236812348897124353</v>
      </c>
      <c r="AF355" s="79">
        <v>43899.02334490741</v>
      </c>
      <c r="AG355" s="85">
        <v>43899</v>
      </c>
      <c r="AH355" s="81" t="s">
        <v>3046</v>
      </c>
      <c r="AI355" s="77" t="b">
        <v>0</v>
      </c>
      <c r="AJ355" s="77"/>
      <c r="AK355" s="77"/>
      <c r="AL355" s="77"/>
      <c r="AM355" s="77"/>
      <c r="AN355" s="77"/>
      <c r="AO355" s="77"/>
      <c r="AP355" s="77"/>
      <c r="AQ355" s="77"/>
      <c r="AR355" s="77"/>
      <c r="AS355" s="77"/>
      <c r="AT355" s="77"/>
      <c r="AU355" s="77"/>
      <c r="AV355" s="80" t="str">
        <f>HYPERLINK("https://pbs.twimg.com/profile_images/442425041/Namanas_symbol_normal.gif")</f>
        <v>https://pbs.twimg.com/profile_images/442425041/Namanas_symbol_normal.gif</v>
      </c>
      <c r="AW355" s="81" t="s">
        <v>4792</v>
      </c>
      <c r="AX355" s="81" t="s">
        <v>4792</v>
      </c>
      <c r="AY355" s="77"/>
      <c r="AZ355" s="81" t="s">
        <v>5773</v>
      </c>
      <c r="BA355" s="81" t="s">
        <v>5773</v>
      </c>
      <c r="BB355" s="81" t="s">
        <v>5773</v>
      </c>
      <c r="BC355" s="81" t="s">
        <v>4792</v>
      </c>
      <c r="BD355" s="77">
        <v>78065283</v>
      </c>
      <c r="BE355" s="77"/>
      <c r="BF355" s="77"/>
      <c r="BG355" s="77"/>
      <c r="BH355" s="77"/>
      <c r="BI355" s="77"/>
    </row>
    <row r="356" spans="1:61" ht="15">
      <c r="A356" s="62" t="s">
        <v>319</v>
      </c>
      <c r="B356" s="62" t="s">
        <v>319</v>
      </c>
      <c r="C356" s="63"/>
      <c r="D356" s="64"/>
      <c r="E356" s="65"/>
      <c r="F356" s="66"/>
      <c r="G356" s="63"/>
      <c r="H356" s="67"/>
      <c r="I356" s="68"/>
      <c r="J356" s="68"/>
      <c r="K356" s="32" t="s">
        <v>65</v>
      </c>
      <c r="L356" s="75">
        <v>356</v>
      </c>
      <c r="M356" s="75"/>
      <c r="N356" s="70"/>
      <c r="O356" s="77" t="s">
        <v>179</v>
      </c>
      <c r="P356" s="79">
        <v>43888.7947337963</v>
      </c>
      <c r="Q356" s="77" t="s">
        <v>857</v>
      </c>
      <c r="R356" s="77">
        <v>0</v>
      </c>
      <c r="S356" s="77">
        <v>0</v>
      </c>
      <c r="T356" s="77">
        <v>0</v>
      </c>
      <c r="U356" s="77">
        <v>0</v>
      </c>
      <c r="V356" s="77"/>
      <c r="W356" s="77"/>
      <c r="X356" s="80" t="str">
        <f>HYPERLINK("http://hyderabad.namanas.com/clad_5e5812b9b6d71.html")</f>
        <v>http://hyderabad.namanas.com/clad_5e5812b9b6d71.html</v>
      </c>
      <c r="Y356" s="77" t="s">
        <v>2009</v>
      </c>
      <c r="Z356" s="77"/>
      <c r="AA356" s="77"/>
      <c r="AB356" s="77"/>
      <c r="AC356" s="81" t="s">
        <v>2728</v>
      </c>
      <c r="AD356" s="77" t="s">
        <v>2751</v>
      </c>
      <c r="AE356" s="80" t="str">
        <f>HYPERLINK("https://twitter.com/namanas/status/1233105625996910593")</f>
        <v>https://twitter.com/namanas/status/1233105625996910593</v>
      </c>
      <c r="AF356" s="79">
        <v>43888.7947337963</v>
      </c>
      <c r="AG356" s="85">
        <v>43888</v>
      </c>
      <c r="AH356" s="81" t="s">
        <v>3047</v>
      </c>
      <c r="AI356" s="77" t="b">
        <v>0</v>
      </c>
      <c r="AJ356" s="77"/>
      <c r="AK356" s="77"/>
      <c r="AL356" s="77"/>
      <c r="AM356" s="77"/>
      <c r="AN356" s="77"/>
      <c r="AO356" s="77"/>
      <c r="AP356" s="77"/>
      <c r="AQ356" s="77"/>
      <c r="AR356" s="77"/>
      <c r="AS356" s="77"/>
      <c r="AT356" s="77"/>
      <c r="AU356" s="77"/>
      <c r="AV356" s="80" t="str">
        <f>HYPERLINK("https://pbs.twimg.com/profile_images/442425041/Namanas_symbol_normal.gif")</f>
        <v>https://pbs.twimg.com/profile_images/442425041/Namanas_symbol_normal.gif</v>
      </c>
      <c r="AW356" s="81" t="s">
        <v>4793</v>
      </c>
      <c r="AX356" s="81" t="s">
        <v>4793</v>
      </c>
      <c r="AY356" s="77"/>
      <c r="AZ356" s="81" t="s">
        <v>5773</v>
      </c>
      <c r="BA356" s="81" t="s">
        <v>5773</v>
      </c>
      <c r="BB356" s="81" t="s">
        <v>5773</v>
      </c>
      <c r="BC356" s="81" t="s">
        <v>4793</v>
      </c>
      <c r="BD356" s="77">
        <v>78065283</v>
      </c>
      <c r="BE356" s="77"/>
      <c r="BF356" s="77"/>
      <c r="BG356" s="77"/>
      <c r="BH356" s="77"/>
      <c r="BI356" s="77"/>
    </row>
    <row r="357" spans="1:61" ht="15">
      <c r="A357" s="62" t="s">
        <v>319</v>
      </c>
      <c r="B357" s="62" t="s">
        <v>319</v>
      </c>
      <c r="C357" s="63"/>
      <c r="D357" s="64"/>
      <c r="E357" s="65"/>
      <c r="F357" s="66"/>
      <c r="G357" s="63"/>
      <c r="H357" s="67"/>
      <c r="I357" s="68"/>
      <c r="J357" s="68"/>
      <c r="K357" s="32" t="s">
        <v>65</v>
      </c>
      <c r="L357" s="75">
        <v>357</v>
      </c>
      <c r="M357" s="75"/>
      <c r="N357" s="70"/>
      <c r="O357" s="77" t="s">
        <v>179</v>
      </c>
      <c r="P357" s="79">
        <v>43888.794699074075</v>
      </c>
      <c r="Q357" s="77" t="s">
        <v>858</v>
      </c>
      <c r="R357" s="77">
        <v>0</v>
      </c>
      <c r="S357" s="77">
        <v>0</v>
      </c>
      <c r="T357" s="77">
        <v>0</v>
      </c>
      <c r="U357" s="77">
        <v>0</v>
      </c>
      <c r="V357" s="77"/>
      <c r="W357" s="77"/>
      <c r="X357" s="80" t="str">
        <f>HYPERLINK("http://hyderabad.namanas.com/clad_5e5812b5e6c1b.html")</f>
        <v>http://hyderabad.namanas.com/clad_5e5812b5e6c1b.html</v>
      </c>
      <c r="Y357" s="77" t="s">
        <v>2009</v>
      </c>
      <c r="Z357" s="77"/>
      <c r="AA357" s="77"/>
      <c r="AB357" s="77"/>
      <c r="AC357" s="81" t="s">
        <v>2728</v>
      </c>
      <c r="AD357" s="77" t="s">
        <v>2751</v>
      </c>
      <c r="AE357" s="80" t="str">
        <f>HYPERLINK("https://twitter.com/namanas/status/1233105610054356992")</f>
        <v>https://twitter.com/namanas/status/1233105610054356992</v>
      </c>
      <c r="AF357" s="79">
        <v>43888.794699074075</v>
      </c>
      <c r="AG357" s="85">
        <v>43888</v>
      </c>
      <c r="AH357" s="81" t="s">
        <v>3048</v>
      </c>
      <c r="AI357" s="77" t="b">
        <v>0</v>
      </c>
      <c r="AJ357" s="77"/>
      <c r="AK357" s="77"/>
      <c r="AL357" s="77"/>
      <c r="AM357" s="77"/>
      <c r="AN357" s="77"/>
      <c r="AO357" s="77"/>
      <c r="AP357" s="77"/>
      <c r="AQ357" s="77"/>
      <c r="AR357" s="77"/>
      <c r="AS357" s="77"/>
      <c r="AT357" s="77"/>
      <c r="AU357" s="77"/>
      <c r="AV357" s="80" t="str">
        <f>HYPERLINK("https://pbs.twimg.com/profile_images/442425041/Namanas_symbol_normal.gif")</f>
        <v>https://pbs.twimg.com/profile_images/442425041/Namanas_symbol_normal.gif</v>
      </c>
      <c r="AW357" s="81" t="s">
        <v>4794</v>
      </c>
      <c r="AX357" s="81" t="s">
        <v>4794</v>
      </c>
      <c r="AY357" s="77"/>
      <c r="AZ357" s="81" t="s">
        <v>5773</v>
      </c>
      <c r="BA357" s="81" t="s">
        <v>5773</v>
      </c>
      <c r="BB357" s="81" t="s">
        <v>5773</v>
      </c>
      <c r="BC357" s="81" t="s">
        <v>4794</v>
      </c>
      <c r="BD357" s="77">
        <v>78065283</v>
      </c>
      <c r="BE357" s="77"/>
      <c r="BF357" s="77"/>
      <c r="BG357" s="77"/>
      <c r="BH357" s="77"/>
      <c r="BI357" s="77"/>
    </row>
    <row r="358" spans="1:61" ht="15">
      <c r="A358" s="62" t="s">
        <v>319</v>
      </c>
      <c r="B358" s="62" t="s">
        <v>319</v>
      </c>
      <c r="C358" s="63"/>
      <c r="D358" s="64"/>
      <c r="E358" s="65"/>
      <c r="F358" s="66"/>
      <c r="G358" s="63"/>
      <c r="H358" s="67"/>
      <c r="I358" s="68"/>
      <c r="J358" s="68"/>
      <c r="K358" s="32" t="s">
        <v>65</v>
      </c>
      <c r="L358" s="75">
        <v>358</v>
      </c>
      <c r="M358" s="75"/>
      <c r="N358" s="70"/>
      <c r="O358" s="77" t="s">
        <v>179</v>
      </c>
      <c r="P358" s="79">
        <v>43887.88039351852</v>
      </c>
      <c r="Q358" s="77" t="s">
        <v>859</v>
      </c>
      <c r="R358" s="77">
        <v>0</v>
      </c>
      <c r="S358" s="77">
        <v>0</v>
      </c>
      <c r="T358" s="77">
        <v>0</v>
      </c>
      <c r="U358" s="77">
        <v>0</v>
      </c>
      <c r="V358" s="77"/>
      <c r="W358" s="77"/>
      <c r="X358" s="80" t="str">
        <f>HYPERLINK("http://hyderabad.namanas.com/clad_5e56de21df516.html")</f>
        <v>http://hyderabad.namanas.com/clad_5e56de21df516.html</v>
      </c>
      <c r="Y358" s="77" t="s">
        <v>2009</v>
      </c>
      <c r="Z358" s="77"/>
      <c r="AA358" s="77"/>
      <c r="AB358" s="77"/>
      <c r="AC358" s="81" t="s">
        <v>2728</v>
      </c>
      <c r="AD358" s="77" t="s">
        <v>2751</v>
      </c>
      <c r="AE358" s="80" t="str">
        <f>HYPERLINK("https://twitter.com/namanas/status/1232774276710711296")</f>
        <v>https://twitter.com/namanas/status/1232774276710711296</v>
      </c>
      <c r="AF358" s="79">
        <v>43887.88039351852</v>
      </c>
      <c r="AG358" s="85">
        <v>43887</v>
      </c>
      <c r="AH358" s="81" t="s">
        <v>3049</v>
      </c>
      <c r="AI358" s="77" t="b">
        <v>0</v>
      </c>
      <c r="AJ358" s="77"/>
      <c r="AK358" s="77"/>
      <c r="AL358" s="77"/>
      <c r="AM358" s="77"/>
      <c r="AN358" s="77"/>
      <c r="AO358" s="77"/>
      <c r="AP358" s="77"/>
      <c r="AQ358" s="77"/>
      <c r="AR358" s="77"/>
      <c r="AS358" s="77"/>
      <c r="AT358" s="77"/>
      <c r="AU358" s="77"/>
      <c r="AV358" s="80" t="str">
        <f>HYPERLINK("https://pbs.twimg.com/profile_images/442425041/Namanas_symbol_normal.gif")</f>
        <v>https://pbs.twimg.com/profile_images/442425041/Namanas_symbol_normal.gif</v>
      </c>
      <c r="AW358" s="81" t="s">
        <v>4795</v>
      </c>
      <c r="AX358" s="81" t="s">
        <v>4795</v>
      </c>
      <c r="AY358" s="77"/>
      <c r="AZ358" s="81" t="s">
        <v>5773</v>
      </c>
      <c r="BA358" s="81" t="s">
        <v>5773</v>
      </c>
      <c r="BB358" s="81" t="s">
        <v>5773</v>
      </c>
      <c r="BC358" s="81" t="s">
        <v>4795</v>
      </c>
      <c r="BD358" s="77">
        <v>78065283</v>
      </c>
      <c r="BE358" s="77"/>
      <c r="BF358" s="77"/>
      <c r="BG358" s="77"/>
      <c r="BH358" s="77"/>
      <c r="BI358" s="77"/>
    </row>
    <row r="359" spans="1:61" ht="15">
      <c r="A359" s="62" t="s">
        <v>319</v>
      </c>
      <c r="B359" s="62" t="s">
        <v>319</v>
      </c>
      <c r="C359" s="63"/>
      <c r="D359" s="64"/>
      <c r="E359" s="65"/>
      <c r="F359" s="66"/>
      <c r="G359" s="63"/>
      <c r="H359" s="67"/>
      <c r="I359" s="68"/>
      <c r="J359" s="68"/>
      <c r="K359" s="32" t="s">
        <v>65</v>
      </c>
      <c r="L359" s="75">
        <v>359</v>
      </c>
      <c r="M359" s="75"/>
      <c r="N359" s="70"/>
      <c r="O359" s="77" t="s">
        <v>179</v>
      </c>
      <c r="P359" s="79">
        <v>43881.83149305556</v>
      </c>
      <c r="Q359" s="77" t="s">
        <v>860</v>
      </c>
      <c r="R359" s="77">
        <v>0</v>
      </c>
      <c r="S359" s="77">
        <v>0</v>
      </c>
      <c r="T359" s="77">
        <v>0</v>
      </c>
      <c r="U359" s="77">
        <v>0</v>
      </c>
      <c r="V359" s="77"/>
      <c r="W359" s="77"/>
      <c r="X359" s="80" t="str">
        <f>HYPERLINK("http://hyderabad.namanas.com/clad_5e4ee4a0e8f02.html")</f>
        <v>http://hyderabad.namanas.com/clad_5e4ee4a0e8f02.html</v>
      </c>
      <c r="Y359" s="77" t="s">
        <v>2009</v>
      </c>
      <c r="Z359" s="77"/>
      <c r="AA359" s="77"/>
      <c r="AB359" s="77"/>
      <c r="AC359" s="81" t="s">
        <v>2728</v>
      </c>
      <c r="AD359" s="77" t="s">
        <v>2751</v>
      </c>
      <c r="AE359" s="80" t="str">
        <f>HYPERLINK("https://twitter.com/namanas/status/1230582228804964352")</f>
        <v>https://twitter.com/namanas/status/1230582228804964352</v>
      </c>
      <c r="AF359" s="79">
        <v>43881.83149305556</v>
      </c>
      <c r="AG359" s="85">
        <v>43881</v>
      </c>
      <c r="AH359" s="81" t="s">
        <v>3050</v>
      </c>
      <c r="AI359" s="77" t="b">
        <v>0</v>
      </c>
      <c r="AJ359" s="77"/>
      <c r="AK359" s="77"/>
      <c r="AL359" s="77"/>
      <c r="AM359" s="77"/>
      <c r="AN359" s="77"/>
      <c r="AO359" s="77"/>
      <c r="AP359" s="77"/>
      <c r="AQ359" s="77"/>
      <c r="AR359" s="77"/>
      <c r="AS359" s="77"/>
      <c r="AT359" s="77"/>
      <c r="AU359" s="77"/>
      <c r="AV359" s="80" t="str">
        <f>HYPERLINK("https://pbs.twimg.com/profile_images/442425041/Namanas_symbol_normal.gif")</f>
        <v>https://pbs.twimg.com/profile_images/442425041/Namanas_symbol_normal.gif</v>
      </c>
      <c r="AW359" s="81" t="s">
        <v>4796</v>
      </c>
      <c r="AX359" s="81" t="s">
        <v>4796</v>
      </c>
      <c r="AY359" s="77"/>
      <c r="AZ359" s="81" t="s">
        <v>5773</v>
      </c>
      <c r="BA359" s="81" t="s">
        <v>5773</v>
      </c>
      <c r="BB359" s="81" t="s">
        <v>5773</v>
      </c>
      <c r="BC359" s="81" t="s">
        <v>4796</v>
      </c>
      <c r="BD359" s="77">
        <v>78065283</v>
      </c>
      <c r="BE359" s="77"/>
      <c r="BF359" s="77"/>
      <c r="BG359" s="77"/>
      <c r="BH359" s="77"/>
      <c r="BI359" s="77"/>
    </row>
    <row r="360" spans="1:61" ht="15">
      <c r="A360" s="62" t="s">
        <v>319</v>
      </c>
      <c r="B360" s="62" t="s">
        <v>319</v>
      </c>
      <c r="C360" s="63"/>
      <c r="D360" s="64"/>
      <c r="E360" s="65"/>
      <c r="F360" s="66"/>
      <c r="G360" s="63"/>
      <c r="H360" s="67"/>
      <c r="I360" s="68"/>
      <c r="J360" s="68"/>
      <c r="K360" s="32" t="s">
        <v>65</v>
      </c>
      <c r="L360" s="75">
        <v>360</v>
      </c>
      <c r="M360" s="75"/>
      <c r="N360" s="70"/>
      <c r="O360" s="77" t="s">
        <v>179</v>
      </c>
      <c r="P360" s="79">
        <v>43873.8553125</v>
      </c>
      <c r="Q360" s="77" t="s">
        <v>861</v>
      </c>
      <c r="R360" s="77">
        <v>0</v>
      </c>
      <c r="S360" s="77">
        <v>0</v>
      </c>
      <c r="T360" s="77">
        <v>0</v>
      </c>
      <c r="U360" s="77">
        <v>0</v>
      </c>
      <c r="V360" s="77"/>
      <c r="W360" s="77"/>
      <c r="X360" s="80" t="str">
        <f>HYPERLINK("http://hyderabad.namanas.com/clad_5e4460aaee6dd.html")</f>
        <v>http://hyderabad.namanas.com/clad_5e4460aaee6dd.html</v>
      </c>
      <c r="Y360" s="77" t="s">
        <v>2009</v>
      </c>
      <c r="Z360" s="77"/>
      <c r="AA360" s="77"/>
      <c r="AB360" s="77"/>
      <c r="AC360" s="81" t="s">
        <v>2728</v>
      </c>
      <c r="AD360" s="77" t="s">
        <v>2751</v>
      </c>
      <c r="AE360" s="80" t="str">
        <f>HYPERLINK("https://twitter.com/namanas/status/1227691757845876736")</f>
        <v>https://twitter.com/namanas/status/1227691757845876736</v>
      </c>
      <c r="AF360" s="79">
        <v>43873.8553125</v>
      </c>
      <c r="AG360" s="85">
        <v>43873</v>
      </c>
      <c r="AH360" s="81" t="s">
        <v>3051</v>
      </c>
      <c r="AI360" s="77" t="b">
        <v>0</v>
      </c>
      <c r="AJ360" s="77"/>
      <c r="AK360" s="77"/>
      <c r="AL360" s="77"/>
      <c r="AM360" s="77"/>
      <c r="AN360" s="77"/>
      <c r="AO360" s="77"/>
      <c r="AP360" s="77"/>
      <c r="AQ360" s="77"/>
      <c r="AR360" s="77"/>
      <c r="AS360" s="77"/>
      <c r="AT360" s="77"/>
      <c r="AU360" s="77"/>
      <c r="AV360" s="80" t="str">
        <f>HYPERLINK("https://pbs.twimg.com/profile_images/442425041/Namanas_symbol_normal.gif")</f>
        <v>https://pbs.twimg.com/profile_images/442425041/Namanas_symbol_normal.gif</v>
      </c>
      <c r="AW360" s="81" t="s">
        <v>4797</v>
      </c>
      <c r="AX360" s="81" t="s">
        <v>4797</v>
      </c>
      <c r="AY360" s="77"/>
      <c r="AZ360" s="81" t="s">
        <v>5773</v>
      </c>
      <c r="BA360" s="81" t="s">
        <v>5773</v>
      </c>
      <c r="BB360" s="81" t="s">
        <v>5773</v>
      </c>
      <c r="BC360" s="81" t="s">
        <v>4797</v>
      </c>
      <c r="BD360" s="77">
        <v>78065283</v>
      </c>
      <c r="BE360" s="77"/>
      <c r="BF360" s="77"/>
      <c r="BG360" s="77"/>
      <c r="BH360" s="77"/>
      <c r="BI360" s="77"/>
    </row>
    <row r="361" spans="1:61" ht="15">
      <c r="A361" s="62" t="s">
        <v>320</v>
      </c>
      <c r="B361" s="62" t="s">
        <v>421</v>
      </c>
      <c r="C361" s="63"/>
      <c r="D361" s="64"/>
      <c r="E361" s="65"/>
      <c r="F361" s="66"/>
      <c r="G361" s="63"/>
      <c r="H361" s="67"/>
      <c r="I361" s="68"/>
      <c r="J361" s="68"/>
      <c r="K361" s="32" t="s">
        <v>65</v>
      </c>
      <c r="L361" s="75">
        <v>361</v>
      </c>
      <c r="M361" s="75"/>
      <c r="N361" s="70"/>
      <c r="O361" s="77" t="s">
        <v>571</v>
      </c>
      <c r="P361" s="79">
        <v>43009.765393518515</v>
      </c>
      <c r="Q361" s="77" t="s">
        <v>862</v>
      </c>
      <c r="R361" s="77">
        <v>0</v>
      </c>
      <c r="S361" s="77">
        <v>0</v>
      </c>
      <c r="T361" s="77">
        <v>0</v>
      </c>
      <c r="U361" s="77">
        <v>0</v>
      </c>
      <c r="V361" s="77"/>
      <c r="W361" s="77"/>
      <c r="X361" s="77"/>
      <c r="Y361" s="77"/>
      <c r="Z361" s="77" t="s">
        <v>421</v>
      </c>
      <c r="AA361" s="77" t="s">
        <v>2207</v>
      </c>
      <c r="AB361" s="77" t="s">
        <v>2694</v>
      </c>
      <c r="AC361" s="81" t="s">
        <v>2701</v>
      </c>
      <c r="AD361" s="77" t="s">
        <v>2751</v>
      </c>
      <c r="AE361" s="80" t="str">
        <f>HYPERLINK("https://twitter.com/mandavilli/status/914556059519401984")</f>
        <v>https://twitter.com/mandavilli/status/914556059519401984</v>
      </c>
      <c r="AF361" s="79">
        <v>43009.765393518515</v>
      </c>
      <c r="AG361" s="85">
        <v>43009</v>
      </c>
      <c r="AH361" s="81" t="s">
        <v>3052</v>
      </c>
      <c r="AI361" s="77" t="b">
        <v>0</v>
      </c>
      <c r="AJ361" s="77"/>
      <c r="AK361" s="77"/>
      <c r="AL361" s="77"/>
      <c r="AM361" s="77"/>
      <c r="AN361" s="77"/>
      <c r="AO361" s="77"/>
      <c r="AP361" s="77"/>
      <c r="AQ361" s="77" t="s">
        <v>4024</v>
      </c>
      <c r="AR361" s="77"/>
      <c r="AS361" s="77"/>
      <c r="AT361" s="77"/>
      <c r="AU361" s="77"/>
      <c r="AV361" s="80" t="str">
        <f>HYPERLINK("https://pbs.twimg.com/media/DLEnv-bV4AAqAqM.jpg")</f>
        <v>https://pbs.twimg.com/media/DLEnv-bV4AAqAqM.jpg</v>
      </c>
      <c r="AW361" s="81" t="s">
        <v>4798</v>
      </c>
      <c r="AX361" s="81" t="s">
        <v>4798</v>
      </c>
      <c r="AY361" s="81" t="s">
        <v>5719</v>
      </c>
      <c r="AZ361" s="81" t="s">
        <v>5773</v>
      </c>
      <c r="BA361" s="81" t="s">
        <v>5773</v>
      </c>
      <c r="BB361" s="81" t="s">
        <v>5773</v>
      </c>
      <c r="BC361" s="81" t="s">
        <v>4798</v>
      </c>
      <c r="BD361" s="77">
        <v>54612480</v>
      </c>
      <c r="BE361" s="77"/>
      <c r="BF361" s="77"/>
      <c r="BG361" s="77"/>
      <c r="BH361" s="77"/>
      <c r="BI361" s="77"/>
    </row>
    <row r="362" spans="1:61" ht="15">
      <c r="A362" s="62" t="s">
        <v>321</v>
      </c>
      <c r="B362" s="62" t="s">
        <v>299</v>
      </c>
      <c r="C362" s="63"/>
      <c r="D362" s="64"/>
      <c r="E362" s="65"/>
      <c r="F362" s="66"/>
      <c r="G362" s="63"/>
      <c r="H362" s="67"/>
      <c r="I362" s="68"/>
      <c r="J362" s="68"/>
      <c r="K362" s="32" t="s">
        <v>65</v>
      </c>
      <c r="L362" s="75">
        <v>362</v>
      </c>
      <c r="M362" s="75"/>
      <c r="N362" s="70"/>
      <c r="O362" s="77" t="s">
        <v>571</v>
      </c>
      <c r="P362" s="79">
        <v>42877.76613425926</v>
      </c>
      <c r="Q362" s="77" t="s">
        <v>863</v>
      </c>
      <c r="R362" s="77">
        <v>0</v>
      </c>
      <c r="S362" s="77">
        <v>1</v>
      </c>
      <c r="T362" s="77">
        <v>0</v>
      </c>
      <c r="U362" s="77">
        <v>0</v>
      </c>
      <c r="V362" s="77"/>
      <c r="W362" s="77"/>
      <c r="X362" s="77"/>
      <c r="Y362" s="77"/>
      <c r="Z362" s="77" t="s">
        <v>299</v>
      </c>
      <c r="AA362" s="77"/>
      <c r="AB362" s="77"/>
      <c r="AC362" s="81" t="s">
        <v>2705</v>
      </c>
      <c r="AD362" s="77" t="s">
        <v>2751</v>
      </c>
      <c r="AE362" s="80" t="str">
        <f>HYPERLINK("https://twitter.com/farooqdesigns/status/866721128106033152")</f>
        <v>https://twitter.com/farooqdesigns/status/866721128106033152</v>
      </c>
      <c r="AF362" s="79">
        <v>42877.76613425926</v>
      </c>
      <c r="AG362" s="85">
        <v>42877</v>
      </c>
      <c r="AH362" s="81" t="s">
        <v>3053</v>
      </c>
      <c r="AI362" s="77"/>
      <c r="AJ362" s="77"/>
      <c r="AK362" s="77"/>
      <c r="AL362" s="77"/>
      <c r="AM362" s="77"/>
      <c r="AN362" s="77"/>
      <c r="AO362" s="77"/>
      <c r="AP362" s="77"/>
      <c r="AQ362" s="77"/>
      <c r="AR362" s="77"/>
      <c r="AS362" s="77"/>
      <c r="AT362" s="77"/>
      <c r="AU362" s="77"/>
      <c r="AV362" s="80" t="str">
        <f>HYPERLINK("https://pbs.twimg.com/profile_images/771250690949656576/WjH7zGE6_normal.jpg")</f>
        <v>https://pbs.twimg.com/profile_images/771250690949656576/WjH7zGE6_normal.jpg</v>
      </c>
      <c r="AW362" s="81" t="s">
        <v>4799</v>
      </c>
      <c r="AX362" s="81" t="s">
        <v>4799</v>
      </c>
      <c r="AY362" s="81" t="s">
        <v>5721</v>
      </c>
      <c r="AZ362" s="81" t="s">
        <v>5773</v>
      </c>
      <c r="BA362" s="81" t="s">
        <v>5773</v>
      </c>
      <c r="BB362" s="81" t="s">
        <v>5773</v>
      </c>
      <c r="BC362" s="81" t="s">
        <v>4799</v>
      </c>
      <c r="BD362" s="77">
        <v>3595788384</v>
      </c>
      <c r="BE362" s="77"/>
      <c r="BF362" s="77"/>
      <c r="BG362" s="77"/>
      <c r="BH362" s="77"/>
      <c r="BI362" s="77"/>
    </row>
    <row r="363" spans="1:61" ht="15">
      <c r="A363" s="62" t="s">
        <v>322</v>
      </c>
      <c r="B363" s="62" t="s">
        <v>322</v>
      </c>
      <c r="C363" s="63"/>
      <c r="D363" s="64"/>
      <c r="E363" s="65"/>
      <c r="F363" s="66"/>
      <c r="G363" s="63"/>
      <c r="H363" s="67"/>
      <c r="I363" s="68"/>
      <c r="J363" s="68"/>
      <c r="K363" s="32" t="s">
        <v>65</v>
      </c>
      <c r="L363" s="75">
        <v>363</v>
      </c>
      <c r="M363" s="75"/>
      <c r="N363" s="70"/>
      <c r="O363" s="77" t="s">
        <v>179</v>
      </c>
      <c r="P363" s="79">
        <v>43844.51652777778</v>
      </c>
      <c r="Q363" s="77" t="s">
        <v>864</v>
      </c>
      <c r="R363" s="77">
        <v>0</v>
      </c>
      <c r="S363" s="77">
        <v>0</v>
      </c>
      <c r="T363" s="77">
        <v>0</v>
      </c>
      <c r="U363" s="77">
        <v>0</v>
      </c>
      <c r="V363" s="77"/>
      <c r="W363" s="81" t="s">
        <v>1790</v>
      </c>
      <c r="X363" s="80" t="str">
        <f>HYPERLINK("https://www.designernews.co/stories/106829-inovies-digital-marketing-company?utm_source=twitter&amp;utm_medium=social&amp;utm_campaign=designernewsbot")</f>
        <v>https://www.designernews.co/stories/106829-inovies-digital-marketing-company?utm_source=twitter&amp;utm_medium=social&amp;utm_campaign=designernewsbot</v>
      </c>
      <c r="Y363" s="77" t="s">
        <v>2010</v>
      </c>
      <c r="Z363" s="77"/>
      <c r="AA363" s="77"/>
      <c r="AB363" s="77"/>
      <c r="AC363" s="81" t="s">
        <v>2729</v>
      </c>
      <c r="AD363" s="77" t="s">
        <v>2762</v>
      </c>
      <c r="AE363" s="80" t="str">
        <f>HYPERLINK("https://twitter.com/designernewsbot/status/1217059740825587713")</f>
        <v>https://twitter.com/designernewsbot/status/1217059740825587713</v>
      </c>
      <c r="AF363" s="79">
        <v>43844.51652777778</v>
      </c>
      <c r="AG363" s="85">
        <v>43844</v>
      </c>
      <c r="AH363" s="81" t="s">
        <v>3054</v>
      </c>
      <c r="AI363" s="77" t="b">
        <v>0</v>
      </c>
      <c r="AJ363" s="77"/>
      <c r="AK363" s="77"/>
      <c r="AL363" s="77"/>
      <c r="AM363" s="77"/>
      <c r="AN363" s="77"/>
      <c r="AO363" s="77"/>
      <c r="AP363" s="77"/>
      <c r="AQ363" s="77"/>
      <c r="AR363" s="77"/>
      <c r="AS363" s="77"/>
      <c r="AT363" s="77"/>
      <c r="AU363" s="77"/>
      <c r="AV363" s="80" t="str">
        <f>HYPERLINK("https://pbs.twimg.com/profile_images/639524662263721984/4CRC3rLF_normal.png")</f>
        <v>https://pbs.twimg.com/profile_images/639524662263721984/4CRC3rLF_normal.png</v>
      </c>
      <c r="AW363" s="81" t="s">
        <v>4800</v>
      </c>
      <c r="AX363" s="81" t="s">
        <v>4800</v>
      </c>
      <c r="AY363" s="77"/>
      <c r="AZ363" s="81" t="s">
        <v>5773</v>
      </c>
      <c r="BA363" s="81" t="s">
        <v>5773</v>
      </c>
      <c r="BB363" s="81" t="s">
        <v>5773</v>
      </c>
      <c r="BC363" s="81" t="s">
        <v>4800</v>
      </c>
      <c r="BD363" s="77">
        <v>1066793484</v>
      </c>
      <c r="BE363" s="77"/>
      <c r="BF363" s="77"/>
      <c r="BG363" s="77"/>
      <c r="BH363" s="77"/>
      <c r="BI363" s="77"/>
    </row>
    <row r="364" spans="1:61" ht="15">
      <c r="A364" s="62" t="s">
        <v>299</v>
      </c>
      <c r="B364" s="62" t="s">
        <v>323</v>
      </c>
      <c r="C364" s="63"/>
      <c r="D364" s="64"/>
      <c r="E364" s="65"/>
      <c r="F364" s="66"/>
      <c r="G364" s="63"/>
      <c r="H364" s="67"/>
      <c r="I364" s="68"/>
      <c r="J364" s="68"/>
      <c r="K364" s="32" t="s">
        <v>66</v>
      </c>
      <c r="L364" s="75">
        <v>364</v>
      </c>
      <c r="M364" s="75"/>
      <c r="N364" s="70"/>
      <c r="O364" s="77" t="s">
        <v>572</v>
      </c>
      <c r="P364" s="79">
        <v>42968.41991898148</v>
      </c>
      <c r="Q364" s="77" t="s">
        <v>865</v>
      </c>
      <c r="R364" s="77">
        <v>0</v>
      </c>
      <c r="S364" s="77">
        <v>1</v>
      </c>
      <c r="T364" s="77">
        <v>1</v>
      </c>
      <c r="U364" s="77">
        <v>0</v>
      </c>
      <c r="V364" s="77"/>
      <c r="W364" s="77"/>
      <c r="X364" s="77"/>
      <c r="Y364" s="77"/>
      <c r="Z364" s="77"/>
      <c r="AA364" s="77"/>
      <c r="AB364" s="77"/>
      <c r="AC364" s="81" t="s">
        <v>2704</v>
      </c>
      <c r="AD364" s="77" t="s">
        <v>2751</v>
      </c>
      <c r="AE364" s="80" t="str">
        <f>HYPERLINK("https://twitter.com/inovies/status/899572960922525696")</f>
        <v>https://twitter.com/inovies/status/899572960922525696</v>
      </c>
      <c r="AF364" s="79">
        <v>42968.41991898148</v>
      </c>
      <c r="AG364" s="85">
        <v>42968</v>
      </c>
      <c r="AH364" s="81" t="s">
        <v>3055</v>
      </c>
      <c r="AI364" s="77"/>
      <c r="AJ364" s="77"/>
      <c r="AK364" s="77"/>
      <c r="AL364" s="77"/>
      <c r="AM364" s="77"/>
      <c r="AN364" s="77"/>
      <c r="AO364" s="77"/>
      <c r="AP364" s="77"/>
      <c r="AQ364" s="77"/>
      <c r="AR364" s="77"/>
      <c r="AS364" s="77"/>
      <c r="AT364" s="77"/>
      <c r="AU364" s="77"/>
      <c r="AV364" s="80" t="str">
        <f>HYPERLINK("https://pbs.twimg.com/profile_images/833576943677214720/5ZyUgpEJ_normal.jpg")</f>
        <v>https://pbs.twimg.com/profile_images/833576943677214720/5ZyUgpEJ_normal.jpg</v>
      </c>
      <c r="AW364" s="81" t="s">
        <v>4801</v>
      </c>
      <c r="AX364" s="81" t="s">
        <v>5708</v>
      </c>
      <c r="AY364" s="81" t="s">
        <v>5759</v>
      </c>
      <c r="AZ364" s="81" t="s">
        <v>5708</v>
      </c>
      <c r="BA364" s="81" t="s">
        <v>5773</v>
      </c>
      <c r="BB364" s="81" t="s">
        <v>5773</v>
      </c>
      <c r="BC364" s="81" t="s">
        <v>5708</v>
      </c>
      <c r="BD364" s="77">
        <v>297885438</v>
      </c>
      <c r="BE364" s="77"/>
      <c r="BF364" s="77"/>
      <c r="BG364" s="77"/>
      <c r="BH364" s="77"/>
      <c r="BI364" s="77"/>
    </row>
    <row r="365" spans="1:61" ht="15">
      <c r="A365" s="62" t="s">
        <v>323</v>
      </c>
      <c r="B365" s="62" t="s">
        <v>299</v>
      </c>
      <c r="C365" s="63"/>
      <c r="D365" s="64"/>
      <c r="E365" s="65"/>
      <c r="F365" s="66"/>
      <c r="G365" s="63"/>
      <c r="H365" s="67"/>
      <c r="I365" s="68"/>
      <c r="J365" s="68"/>
      <c r="K365" s="32" t="s">
        <v>66</v>
      </c>
      <c r="L365" s="75">
        <v>365</v>
      </c>
      <c r="M365" s="75"/>
      <c r="N365" s="70"/>
      <c r="O365" s="77" t="s">
        <v>572</v>
      </c>
      <c r="P365" s="79">
        <v>42968.429606481484</v>
      </c>
      <c r="Q365" s="77" t="s">
        <v>866</v>
      </c>
      <c r="R365" s="77">
        <v>0</v>
      </c>
      <c r="S365" s="77">
        <v>0</v>
      </c>
      <c r="T365" s="77">
        <v>0</v>
      </c>
      <c r="U365" s="77">
        <v>0</v>
      </c>
      <c r="V365" s="77"/>
      <c r="W365" s="77"/>
      <c r="X365" s="77"/>
      <c r="Y365" s="77"/>
      <c r="Z365" s="77" t="s">
        <v>299</v>
      </c>
      <c r="AA365" s="77"/>
      <c r="AB365" s="77"/>
      <c r="AC365" s="81" t="s">
        <v>2730</v>
      </c>
      <c r="AD365" s="77" t="s">
        <v>2751</v>
      </c>
      <c r="AE365" s="80" t="str">
        <f>HYPERLINK("https://twitter.com/byles_digital/status/899576470980448256")</f>
        <v>https://twitter.com/byles_digital/status/899576470980448256</v>
      </c>
      <c r="AF365" s="79">
        <v>42968.429606481484</v>
      </c>
      <c r="AG365" s="85">
        <v>42968</v>
      </c>
      <c r="AH365" s="81" t="s">
        <v>3056</v>
      </c>
      <c r="AI365" s="77"/>
      <c r="AJ365" s="77"/>
      <c r="AK365" s="77"/>
      <c r="AL365" s="77"/>
      <c r="AM365" s="77"/>
      <c r="AN365" s="77"/>
      <c r="AO365" s="77"/>
      <c r="AP365" s="77"/>
      <c r="AQ365" s="77"/>
      <c r="AR365" s="77"/>
      <c r="AS365" s="77"/>
      <c r="AT365" s="77"/>
      <c r="AU365" s="77"/>
      <c r="AV365" s="80" t="str">
        <f>HYPERLINK("https://pbs.twimg.com/profile_images/1159112128365658112/9Qc4LSaN_normal.jpg")</f>
        <v>https://pbs.twimg.com/profile_images/1159112128365658112/9Qc4LSaN_normal.jpg</v>
      </c>
      <c r="AW365" s="81" t="s">
        <v>4802</v>
      </c>
      <c r="AX365" s="81" t="s">
        <v>5708</v>
      </c>
      <c r="AY365" s="81" t="s">
        <v>5721</v>
      </c>
      <c r="AZ365" s="81" t="s">
        <v>4801</v>
      </c>
      <c r="BA365" s="81" t="s">
        <v>5773</v>
      </c>
      <c r="BB365" s="81" t="s">
        <v>5773</v>
      </c>
      <c r="BC365" s="81" t="s">
        <v>4801</v>
      </c>
      <c r="BD365" s="81" t="s">
        <v>5759</v>
      </c>
      <c r="BE365" s="77"/>
      <c r="BF365" s="77"/>
      <c r="BG365" s="77"/>
      <c r="BH365" s="77"/>
      <c r="BI365" s="77"/>
    </row>
    <row r="366" spans="1:61" ht="15">
      <c r="A366" s="62" t="s">
        <v>324</v>
      </c>
      <c r="B366" s="62" t="s">
        <v>355</v>
      </c>
      <c r="C366" s="63"/>
      <c r="D366" s="64"/>
      <c r="E366" s="65"/>
      <c r="F366" s="66"/>
      <c r="G366" s="63"/>
      <c r="H366" s="67"/>
      <c r="I366" s="68"/>
      <c r="J366" s="68"/>
      <c r="K366" s="32" t="s">
        <v>65</v>
      </c>
      <c r="L366" s="75">
        <v>366</v>
      </c>
      <c r="M366" s="75"/>
      <c r="N366" s="70"/>
      <c r="O366" s="77" t="s">
        <v>575</v>
      </c>
      <c r="P366" s="79">
        <v>44701.11157407407</v>
      </c>
      <c r="Q366" s="77" t="s">
        <v>867</v>
      </c>
      <c r="R366" s="77">
        <v>0</v>
      </c>
      <c r="S366" s="77">
        <v>2</v>
      </c>
      <c r="T366" s="77">
        <v>0</v>
      </c>
      <c r="U366" s="77">
        <v>0</v>
      </c>
      <c r="V366" s="77"/>
      <c r="W366" s="77"/>
      <c r="X366" s="77"/>
      <c r="Y366" s="77"/>
      <c r="Z366" s="77"/>
      <c r="AA366" s="77"/>
      <c r="AB366" s="77"/>
      <c r="AC366" s="81" t="s">
        <v>2701</v>
      </c>
      <c r="AD366" s="77" t="s">
        <v>2751</v>
      </c>
      <c r="AE366" s="80" t="str">
        <f>HYPERLINK("https://twitter.com/notshebjammin/status/1527479388912091138")</f>
        <v>https://twitter.com/notshebjammin/status/1527479388912091138</v>
      </c>
      <c r="AF366" s="79">
        <v>44701.11157407407</v>
      </c>
      <c r="AG366" s="85">
        <v>44701</v>
      </c>
      <c r="AH366" s="81" t="s">
        <v>3057</v>
      </c>
      <c r="AI366" s="77"/>
      <c r="AJ366" s="77"/>
      <c r="AK366" s="77"/>
      <c r="AL366" s="77"/>
      <c r="AM366" s="77"/>
      <c r="AN366" s="77"/>
      <c r="AO366" s="77"/>
      <c r="AP366" s="77"/>
      <c r="AQ366" s="77"/>
      <c r="AR366" s="77"/>
      <c r="AS366" s="77"/>
      <c r="AT366" s="77"/>
      <c r="AU366" s="77"/>
      <c r="AV366" s="80" t="str">
        <f>HYPERLINK("https://pbs.twimg.com/profile_images/1606739481121505280/BmO8Bc37_normal.jpg")</f>
        <v>https://pbs.twimg.com/profile_images/1606739481121505280/BmO8Bc37_normal.jpg</v>
      </c>
      <c r="AW366" s="81" t="s">
        <v>4803</v>
      </c>
      <c r="AX366" s="81" t="s">
        <v>4803</v>
      </c>
      <c r="AY366" s="77"/>
      <c r="AZ366" s="81" t="s">
        <v>5773</v>
      </c>
      <c r="BA366" s="81" t="s">
        <v>4846</v>
      </c>
      <c r="BB366" s="81" t="s">
        <v>5773</v>
      </c>
      <c r="BC366" s="81" t="s">
        <v>4846</v>
      </c>
      <c r="BD366" s="81" t="s">
        <v>5810</v>
      </c>
      <c r="BE366" s="77"/>
      <c r="BF366" s="77"/>
      <c r="BG366" s="77"/>
      <c r="BH366" s="77"/>
      <c r="BI366" s="77"/>
    </row>
    <row r="367" spans="1:61" ht="15">
      <c r="A367" s="62" t="s">
        <v>325</v>
      </c>
      <c r="B367" s="62" t="s">
        <v>522</v>
      </c>
      <c r="C367" s="63"/>
      <c r="D367" s="64"/>
      <c r="E367" s="65"/>
      <c r="F367" s="66"/>
      <c r="G367" s="63"/>
      <c r="H367" s="67"/>
      <c r="I367" s="68"/>
      <c r="J367" s="68"/>
      <c r="K367" s="32" t="s">
        <v>65</v>
      </c>
      <c r="L367" s="75">
        <v>367</v>
      </c>
      <c r="M367" s="75"/>
      <c r="N367" s="70"/>
      <c r="O367" s="77" t="s">
        <v>571</v>
      </c>
      <c r="P367" s="79">
        <v>43479.71686342593</v>
      </c>
      <c r="Q367" s="77" t="s">
        <v>868</v>
      </c>
      <c r="R367" s="77">
        <v>1</v>
      </c>
      <c r="S367" s="77">
        <v>0</v>
      </c>
      <c r="T367" s="77">
        <v>0</v>
      </c>
      <c r="U367" s="77">
        <v>0</v>
      </c>
      <c r="V367" s="77"/>
      <c r="W367" s="81" t="s">
        <v>1791</v>
      </c>
      <c r="X367" s="80" t="str">
        <f>HYPERLINK("https://www.dreamcreationsevents.com/event/tcpl-season-2/")</f>
        <v>https://www.dreamcreationsevents.com/event/tcpl-season-2/</v>
      </c>
      <c r="Y367" s="77" t="s">
        <v>2011</v>
      </c>
      <c r="Z367" s="77" t="s">
        <v>2084</v>
      </c>
      <c r="AA367" s="77" t="s">
        <v>2208</v>
      </c>
      <c r="AB367" s="77" t="s">
        <v>2696</v>
      </c>
      <c r="AC367" s="81" t="s">
        <v>2705</v>
      </c>
      <c r="AD367" s="77" t="s">
        <v>2751</v>
      </c>
      <c r="AE367" s="80" t="str">
        <f>HYPERLINK("https://twitter.com/dc_dreamsevents/status/1084860769051660290")</f>
        <v>https://twitter.com/dc_dreamsevents/status/1084860769051660290</v>
      </c>
      <c r="AF367" s="79">
        <v>43479.71686342593</v>
      </c>
      <c r="AG367" s="85">
        <v>43479</v>
      </c>
      <c r="AH367" s="81" t="s">
        <v>3058</v>
      </c>
      <c r="AI367" s="77" t="b">
        <v>0</v>
      </c>
      <c r="AJ367" s="77"/>
      <c r="AK367" s="77"/>
      <c r="AL367" s="77"/>
      <c r="AM367" s="77"/>
      <c r="AN367" s="77"/>
      <c r="AO367" s="77"/>
      <c r="AP367" s="77"/>
      <c r="AQ367" s="77" t="s">
        <v>4025</v>
      </c>
      <c r="AR367" s="77"/>
      <c r="AS367" s="77"/>
      <c r="AT367" s="77"/>
      <c r="AU367" s="77"/>
      <c r="AV367" s="80" t="str">
        <f>HYPERLINK("https://pbs.twimg.com/media/Dw4ys3_UwAA-Uqv.jpg")</f>
        <v>https://pbs.twimg.com/media/Dw4ys3_UwAA-Uqv.jpg</v>
      </c>
      <c r="AW367" s="81" t="s">
        <v>4804</v>
      </c>
      <c r="AX367" s="81" t="s">
        <v>4804</v>
      </c>
      <c r="AY367" s="77"/>
      <c r="AZ367" s="81" t="s">
        <v>5773</v>
      </c>
      <c r="BA367" s="81" t="s">
        <v>5773</v>
      </c>
      <c r="BB367" s="81" t="s">
        <v>5773</v>
      </c>
      <c r="BC367" s="81" t="s">
        <v>4804</v>
      </c>
      <c r="BD367" s="81" t="s">
        <v>5811</v>
      </c>
      <c r="BE367" s="77"/>
      <c r="BF367" s="77"/>
      <c r="BG367" s="77"/>
      <c r="BH367" s="77"/>
      <c r="BI367" s="77"/>
    </row>
    <row r="368" spans="1:61" ht="15">
      <c r="A368" s="62" t="s">
        <v>325</v>
      </c>
      <c r="B368" s="62" t="s">
        <v>523</v>
      </c>
      <c r="C368" s="63"/>
      <c r="D368" s="64"/>
      <c r="E368" s="65"/>
      <c r="F368" s="66"/>
      <c r="G368" s="63"/>
      <c r="H368" s="67"/>
      <c r="I368" s="68"/>
      <c r="J368" s="68"/>
      <c r="K368" s="32" t="s">
        <v>65</v>
      </c>
      <c r="L368" s="75">
        <v>368</v>
      </c>
      <c r="M368" s="75"/>
      <c r="N368" s="70"/>
      <c r="O368" s="77" t="s">
        <v>571</v>
      </c>
      <c r="P368" s="79">
        <v>43479.71686342593</v>
      </c>
      <c r="Q368" s="77" t="s">
        <v>868</v>
      </c>
      <c r="R368" s="77">
        <v>1</v>
      </c>
      <c r="S368" s="77">
        <v>0</v>
      </c>
      <c r="T368" s="77">
        <v>0</v>
      </c>
      <c r="U368" s="77">
        <v>0</v>
      </c>
      <c r="V368" s="77"/>
      <c r="W368" s="81" t="s">
        <v>1791</v>
      </c>
      <c r="X368" s="80" t="str">
        <f>HYPERLINK("https://www.dreamcreationsevents.com/event/tcpl-season-2/")</f>
        <v>https://www.dreamcreationsevents.com/event/tcpl-season-2/</v>
      </c>
      <c r="Y368" s="77" t="s">
        <v>2011</v>
      </c>
      <c r="Z368" s="77" t="s">
        <v>2084</v>
      </c>
      <c r="AA368" s="77" t="s">
        <v>2208</v>
      </c>
      <c r="AB368" s="77" t="s">
        <v>2696</v>
      </c>
      <c r="AC368" s="81" t="s">
        <v>2705</v>
      </c>
      <c r="AD368" s="77" t="s">
        <v>2751</v>
      </c>
      <c r="AE368" s="80" t="str">
        <f>HYPERLINK("https://twitter.com/dc_dreamsevents/status/1084860769051660290")</f>
        <v>https://twitter.com/dc_dreamsevents/status/1084860769051660290</v>
      </c>
      <c r="AF368" s="79">
        <v>43479.71686342593</v>
      </c>
      <c r="AG368" s="85">
        <v>43479</v>
      </c>
      <c r="AH368" s="81" t="s">
        <v>3058</v>
      </c>
      <c r="AI368" s="77" t="b">
        <v>0</v>
      </c>
      <c r="AJ368" s="77"/>
      <c r="AK368" s="77"/>
      <c r="AL368" s="77"/>
      <c r="AM368" s="77"/>
      <c r="AN368" s="77"/>
      <c r="AO368" s="77"/>
      <c r="AP368" s="77"/>
      <c r="AQ368" s="77" t="s">
        <v>4025</v>
      </c>
      <c r="AR368" s="77"/>
      <c r="AS368" s="77"/>
      <c r="AT368" s="77"/>
      <c r="AU368" s="77"/>
      <c r="AV368" s="80" t="str">
        <f>HYPERLINK("https://pbs.twimg.com/media/Dw4ys3_UwAA-Uqv.jpg")</f>
        <v>https://pbs.twimg.com/media/Dw4ys3_UwAA-Uqv.jpg</v>
      </c>
      <c r="AW368" s="81" t="s">
        <v>4804</v>
      </c>
      <c r="AX368" s="81" t="s">
        <v>4804</v>
      </c>
      <c r="AY368" s="77"/>
      <c r="AZ368" s="81" t="s">
        <v>5773</v>
      </c>
      <c r="BA368" s="81" t="s">
        <v>5773</v>
      </c>
      <c r="BB368" s="81" t="s">
        <v>5773</v>
      </c>
      <c r="BC368" s="81" t="s">
        <v>4804</v>
      </c>
      <c r="BD368" s="81" t="s">
        <v>5811</v>
      </c>
      <c r="BE368" s="77"/>
      <c r="BF368" s="77"/>
      <c r="BG368" s="77"/>
      <c r="BH368" s="77"/>
      <c r="BI368" s="77"/>
    </row>
    <row r="369" spans="1:61" ht="15">
      <c r="A369" s="62" t="s">
        <v>325</v>
      </c>
      <c r="B369" s="62" t="s">
        <v>524</v>
      </c>
      <c r="C369" s="63"/>
      <c r="D369" s="64"/>
      <c r="E369" s="65"/>
      <c r="F369" s="66"/>
      <c r="G369" s="63"/>
      <c r="H369" s="67"/>
      <c r="I369" s="68"/>
      <c r="J369" s="68"/>
      <c r="K369" s="32" t="s">
        <v>65</v>
      </c>
      <c r="L369" s="75">
        <v>369</v>
      </c>
      <c r="M369" s="75"/>
      <c r="N369" s="70"/>
      <c r="O369" s="77" t="s">
        <v>571</v>
      </c>
      <c r="P369" s="79">
        <v>43479.71686342593</v>
      </c>
      <c r="Q369" s="77" t="s">
        <v>868</v>
      </c>
      <c r="R369" s="77">
        <v>1</v>
      </c>
      <c r="S369" s="77">
        <v>0</v>
      </c>
      <c r="T369" s="77">
        <v>0</v>
      </c>
      <c r="U369" s="77">
        <v>0</v>
      </c>
      <c r="V369" s="77"/>
      <c r="W369" s="81" t="s">
        <v>1791</v>
      </c>
      <c r="X369" s="80" t="str">
        <f>HYPERLINK("https://www.dreamcreationsevents.com/event/tcpl-season-2/")</f>
        <v>https://www.dreamcreationsevents.com/event/tcpl-season-2/</v>
      </c>
      <c r="Y369" s="77" t="s">
        <v>2011</v>
      </c>
      <c r="Z369" s="77" t="s">
        <v>2084</v>
      </c>
      <c r="AA369" s="77" t="s">
        <v>2208</v>
      </c>
      <c r="AB369" s="77" t="s">
        <v>2696</v>
      </c>
      <c r="AC369" s="81" t="s">
        <v>2705</v>
      </c>
      <c r="AD369" s="77" t="s">
        <v>2751</v>
      </c>
      <c r="AE369" s="80" t="str">
        <f>HYPERLINK("https://twitter.com/dc_dreamsevents/status/1084860769051660290")</f>
        <v>https://twitter.com/dc_dreamsevents/status/1084860769051660290</v>
      </c>
      <c r="AF369" s="79">
        <v>43479.71686342593</v>
      </c>
      <c r="AG369" s="85">
        <v>43479</v>
      </c>
      <c r="AH369" s="81" t="s">
        <v>3058</v>
      </c>
      <c r="AI369" s="77" t="b">
        <v>0</v>
      </c>
      <c r="AJ369" s="77"/>
      <c r="AK369" s="77"/>
      <c r="AL369" s="77"/>
      <c r="AM369" s="77"/>
      <c r="AN369" s="77"/>
      <c r="AO369" s="77"/>
      <c r="AP369" s="77"/>
      <c r="AQ369" s="77" t="s">
        <v>4025</v>
      </c>
      <c r="AR369" s="77"/>
      <c r="AS369" s="77"/>
      <c r="AT369" s="77"/>
      <c r="AU369" s="77"/>
      <c r="AV369" s="80" t="str">
        <f>HYPERLINK("https://pbs.twimg.com/media/Dw4ys3_UwAA-Uqv.jpg")</f>
        <v>https://pbs.twimg.com/media/Dw4ys3_UwAA-Uqv.jpg</v>
      </c>
      <c r="AW369" s="81" t="s">
        <v>4804</v>
      </c>
      <c r="AX369" s="81" t="s">
        <v>4804</v>
      </c>
      <c r="AY369" s="77"/>
      <c r="AZ369" s="81" t="s">
        <v>5773</v>
      </c>
      <c r="BA369" s="81" t="s">
        <v>5773</v>
      </c>
      <c r="BB369" s="81" t="s">
        <v>5773</v>
      </c>
      <c r="BC369" s="81" t="s">
        <v>4804</v>
      </c>
      <c r="BD369" s="81" t="s">
        <v>5811</v>
      </c>
      <c r="BE369" s="77"/>
      <c r="BF369" s="77"/>
      <c r="BG369" s="77"/>
      <c r="BH369" s="77"/>
      <c r="BI369" s="77"/>
    </row>
    <row r="370" spans="1:61" ht="15">
      <c r="A370" s="62" t="s">
        <v>325</v>
      </c>
      <c r="B370" s="62" t="s">
        <v>525</v>
      </c>
      <c r="C370" s="63"/>
      <c r="D370" s="64"/>
      <c r="E370" s="65"/>
      <c r="F370" s="66"/>
      <c r="G370" s="63"/>
      <c r="H370" s="67"/>
      <c r="I370" s="68"/>
      <c r="J370" s="68"/>
      <c r="K370" s="32" t="s">
        <v>65</v>
      </c>
      <c r="L370" s="75">
        <v>370</v>
      </c>
      <c r="M370" s="75"/>
      <c r="N370" s="70"/>
      <c r="O370" s="77" t="s">
        <v>571</v>
      </c>
      <c r="P370" s="79">
        <v>43479.71686342593</v>
      </c>
      <c r="Q370" s="77" t="s">
        <v>868</v>
      </c>
      <c r="R370" s="77">
        <v>1</v>
      </c>
      <c r="S370" s="77">
        <v>0</v>
      </c>
      <c r="T370" s="77">
        <v>0</v>
      </c>
      <c r="U370" s="77">
        <v>0</v>
      </c>
      <c r="V370" s="77"/>
      <c r="W370" s="81" t="s">
        <v>1791</v>
      </c>
      <c r="X370" s="80" t="str">
        <f>HYPERLINK("https://www.dreamcreationsevents.com/event/tcpl-season-2/")</f>
        <v>https://www.dreamcreationsevents.com/event/tcpl-season-2/</v>
      </c>
      <c r="Y370" s="77" t="s">
        <v>2011</v>
      </c>
      <c r="Z370" s="77" t="s">
        <v>2084</v>
      </c>
      <c r="AA370" s="77" t="s">
        <v>2208</v>
      </c>
      <c r="AB370" s="77" t="s">
        <v>2696</v>
      </c>
      <c r="AC370" s="81" t="s">
        <v>2705</v>
      </c>
      <c r="AD370" s="77" t="s">
        <v>2751</v>
      </c>
      <c r="AE370" s="80" t="str">
        <f>HYPERLINK("https://twitter.com/dc_dreamsevents/status/1084860769051660290")</f>
        <v>https://twitter.com/dc_dreamsevents/status/1084860769051660290</v>
      </c>
      <c r="AF370" s="79">
        <v>43479.71686342593</v>
      </c>
      <c r="AG370" s="85">
        <v>43479</v>
      </c>
      <c r="AH370" s="81" t="s">
        <v>3058</v>
      </c>
      <c r="AI370" s="77" t="b">
        <v>0</v>
      </c>
      <c r="AJ370" s="77"/>
      <c r="AK370" s="77"/>
      <c r="AL370" s="77"/>
      <c r="AM370" s="77"/>
      <c r="AN370" s="77"/>
      <c r="AO370" s="77"/>
      <c r="AP370" s="77"/>
      <c r="AQ370" s="77" t="s">
        <v>4025</v>
      </c>
      <c r="AR370" s="77"/>
      <c r="AS370" s="77"/>
      <c r="AT370" s="77"/>
      <c r="AU370" s="77"/>
      <c r="AV370" s="80" t="str">
        <f>HYPERLINK("https://pbs.twimg.com/media/Dw4ys3_UwAA-Uqv.jpg")</f>
        <v>https://pbs.twimg.com/media/Dw4ys3_UwAA-Uqv.jpg</v>
      </c>
      <c r="AW370" s="81" t="s">
        <v>4804</v>
      </c>
      <c r="AX370" s="81" t="s">
        <v>4804</v>
      </c>
      <c r="AY370" s="77"/>
      <c r="AZ370" s="81" t="s">
        <v>5773</v>
      </c>
      <c r="BA370" s="81" t="s">
        <v>5773</v>
      </c>
      <c r="BB370" s="81" t="s">
        <v>5773</v>
      </c>
      <c r="BC370" s="81" t="s">
        <v>4804</v>
      </c>
      <c r="BD370" s="81" t="s">
        <v>5811</v>
      </c>
      <c r="BE370" s="77"/>
      <c r="BF370" s="77"/>
      <c r="BG370" s="77"/>
      <c r="BH370" s="77"/>
      <c r="BI370" s="77"/>
    </row>
    <row r="371" spans="1:61" ht="15">
      <c r="A371" s="62" t="s">
        <v>325</v>
      </c>
      <c r="B371" s="62" t="s">
        <v>299</v>
      </c>
      <c r="C371" s="63"/>
      <c r="D371" s="64"/>
      <c r="E371" s="65"/>
      <c r="F371" s="66"/>
      <c r="G371" s="63"/>
      <c r="H371" s="67"/>
      <c r="I371" s="68"/>
      <c r="J371" s="68"/>
      <c r="K371" s="32" t="s">
        <v>65</v>
      </c>
      <c r="L371" s="75">
        <v>371</v>
      </c>
      <c r="M371" s="75"/>
      <c r="N371" s="70"/>
      <c r="O371" s="77" t="s">
        <v>571</v>
      </c>
      <c r="P371" s="79">
        <v>43479.71686342593</v>
      </c>
      <c r="Q371" s="77" t="s">
        <v>868</v>
      </c>
      <c r="R371" s="77">
        <v>1</v>
      </c>
      <c r="S371" s="77">
        <v>0</v>
      </c>
      <c r="T371" s="77">
        <v>0</v>
      </c>
      <c r="U371" s="77">
        <v>0</v>
      </c>
      <c r="V371" s="77"/>
      <c r="W371" s="81" t="s">
        <v>1791</v>
      </c>
      <c r="X371" s="80" t="str">
        <f>HYPERLINK("https://www.dreamcreationsevents.com/event/tcpl-season-2/")</f>
        <v>https://www.dreamcreationsevents.com/event/tcpl-season-2/</v>
      </c>
      <c r="Y371" s="77" t="s">
        <v>2011</v>
      </c>
      <c r="Z371" s="77" t="s">
        <v>2084</v>
      </c>
      <c r="AA371" s="77" t="s">
        <v>2208</v>
      </c>
      <c r="AB371" s="77" t="s">
        <v>2696</v>
      </c>
      <c r="AC371" s="81" t="s">
        <v>2705</v>
      </c>
      <c r="AD371" s="77" t="s">
        <v>2751</v>
      </c>
      <c r="AE371" s="80" t="str">
        <f>HYPERLINK("https://twitter.com/dc_dreamsevents/status/1084860769051660290")</f>
        <v>https://twitter.com/dc_dreamsevents/status/1084860769051660290</v>
      </c>
      <c r="AF371" s="79">
        <v>43479.71686342593</v>
      </c>
      <c r="AG371" s="85">
        <v>43479</v>
      </c>
      <c r="AH371" s="81" t="s">
        <v>3058</v>
      </c>
      <c r="AI371" s="77" t="b">
        <v>0</v>
      </c>
      <c r="AJ371" s="77"/>
      <c r="AK371" s="77"/>
      <c r="AL371" s="77"/>
      <c r="AM371" s="77"/>
      <c r="AN371" s="77"/>
      <c r="AO371" s="77"/>
      <c r="AP371" s="77"/>
      <c r="AQ371" s="77" t="s">
        <v>4025</v>
      </c>
      <c r="AR371" s="77"/>
      <c r="AS371" s="77"/>
      <c r="AT371" s="77"/>
      <c r="AU371" s="77"/>
      <c r="AV371" s="80" t="str">
        <f>HYPERLINK("https://pbs.twimg.com/media/Dw4ys3_UwAA-Uqv.jpg")</f>
        <v>https://pbs.twimg.com/media/Dw4ys3_UwAA-Uqv.jpg</v>
      </c>
      <c r="AW371" s="81" t="s">
        <v>4804</v>
      </c>
      <c r="AX371" s="81" t="s">
        <v>4804</v>
      </c>
      <c r="AY371" s="77"/>
      <c r="AZ371" s="81" t="s">
        <v>5773</v>
      </c>
      <c r="BA371" s="81" t="s">
        <v>5773</v>
      </c>
      <c r="BB371" s="81" t="s">
        <v>5773</v>
      </c>
      <c r="BC371" s="81" t="s">
        <v>4804</v>
      </c>
      <c r="BD371" s="81" t="s">
        <v>5811</v>
      </c>
      <c r="BE371" s="77"/>
      <c r="BF371" s="77"/>
      <c r="BG371" s="77"/>
      <c r="BH371" s="77"/>
      <c r="BI371" s="77"/>
    </row>
    <row r="372" spans="1:61" ht="15">
      <c r="A372" s="62" t="s">
        <v>326</v>
      </c>
      <c r="B372" s="62" t="s">
        <v>299</v>
      </c>
      <c r="C372" s="63"/>
      <c r="D372" s="64"/>
      <c r="E372" s="65"/>
      <c r="F372" s="66"/>
      <c r="G372" s="63"/>
      <c r="H372" s="67"/>
      <c r="I372" s="68"/>
      <c r="J372" s="68"/>
      <c r="K372" s="32" t="s">
        <v>65</v>
      </c>
      <c r="L372" s="75">
        <v>372</v>
      </c>
      <c r="M372" s="75"/>
      <c r="N372" s="70"/>
      <c r="O372" s="77" t="s">
        <v>571</v>
      </c>
      <c r="P372" s="79">
        <v>42955.27523148148</v>
      </c>
      <c r="Q372" s="77" t="s">
        <v>869</v>
      </c>
      <c r="R372" s="77">
        <v>0</v>
      </c>
      <c r="S372" s="77">
        <v>0</v>
      </c>
      <c r="T372" s="77">
        <v>0</v>
      </c>
      <c r="U372" s="77">
        <v>0</v>
      </c>
      <c r="V372" s="77"/>
      <c r="W372" s="77"/>
      <c r="X372" s="80" t="str">
        <f>HYPERLINK("http://bit.ly/watch-behind-the-scenes")</f>
        <v>http://bit.ly/watch-behind-the-scenes</v>
      </c>
      <c r="Y372" s="77" t="s">
        <v>1984</v>
      </c>
      <c r="Z372" s="77" t="s">
        <v>299</v>
      </c>
      <c r="AA372" s="77"/>
      <c r="AB372" s="77"/>
      <c r="AC372" s="81" t="s">
        <v>2723</v>
      </c>
      <c r="AD372" s="77" t="s">
        <v>2751</v>
      </c>
      <c r="AE372" s="80" t="str">
        <f>HYPERLINK("https://twitter.com/redbookfilms/status/894809482974384130")</f>
        <v>https://twitter.com/redbookfilms/status/894809482974384130</v>
      </c>
      <c r="AF372" s="79">
        <v>42955.27523148148</v>
      </c>
      <c r="AG372" s="85">
        <v>42955</v>
      </c>
      <c r="AH372" s="81" t="s">
        <v>3059</v>
      </c>
      <c r="AI372" s="77" t="b">
        <v>0</v>
      </c>
      <c r="AJ372" s="77"/>
      <c r="AK372" s="77"/>
      <c r="AL372" s="77"/>
      <c r="AM372" s="77"/>
      <c r="AN372" s="77"/>
      <c r="AO372" s="77"/>
      <c r="AP372" s="77"/>
      <c r="AQ372" s="77"/>
      <c r="AR372" s="77"/>
      <c r="AS372" s="77"/>
      <c r="AT372" s="77"/>
      <c r="AU372" s="77"/>
      <c r="AV372" s="80" t="str">
        <f>HYPERLINK("https://pbs.twimg.com/profile_images/793451736061079552/mzm0DXCC_normal.jpg")</f>
        <v>https://pbs.twimg.com/profile_images/793451736061079552/mzm0DXCC_normal.jpg</v>
      </c>
      <c r="AW372" s="81" t="s">
        <v>4805</v>
      </c>
      <c r="AX372" s="81" t="s">
        <v>4805</v>
      </c>
      <c r="AY372" s="81" t="s">
        <v>5721</v>
      </c>
      <c r="AZ372" s="81" t="s">
        <v>5773</v>
      </c>
      <c r="BA372" s="81" t="s">
        <v>5773</v>
      </c>
      <c r="BB372" s="81" t="s">
        <v>5773</v>
      </c>
      <c r="BC372" s="81" t="s">
        <v>4805</v>
      </c>
      <c r="BD372" s="77">
        <v>264184368</v>
      </c>
      <c r="BE372" s="77"/>
      <c r="BF372" s="77"/>
      <c r="BG372" s="77"/>
      <c r="BH372" s="77"/>
      <c r="BI372" s="77"/>
    </row>
    <row r="373" spans="1:61" ht="15">
      <c r="A373" s="62" t="s">
        <v>327</v>
      </c>
      <c r="B373" s="62" t="s">
        <v>299</v>
      </c>
      <c r="C373" s="63"/>
      <c r="D373" s="64"/>
      <c r="E373" s="65"/>
      <c r="F373" s="66"/>
      <c r="G373" s="63"/>
      <c r="H373" s="67"/>
      <c r="I373" s="68"/>
      <c r="J373" s="68"/>
      <c r="K373" s="32" t="s">
        <v>65</v>
      </c>
      <c r="L373" s="75">
        <v>373</v>
      </c>
      <c r="M373" s="75"/>
      <c r="N373" s="70"/>
      <c r="O373" s="77" t="s">
        <v>571</v>
      </c>
      <c r="P373" s="79">
        <v>42877.804872685185</v>
      </c>
      <c r="Q373" s="77" t="s">
        <v>870</v>
      </c>
      <c r="R373" s="77">
        <v>0</v>
      </c>
      <c r="S373" s="77">
        <v>0</v>
      </c>
      <c r="T373" s="77">
        <v>0</v>
      </c>
      <c r="U373" s="77">
        <v>0</v>
      </c>
      <c r="V373" s="77"/>
      <c r="W373" s="77"/>
      <c r="X373" s="77"/>
      <c r="Y373" s="77"/>
      <c r="Z373" s="77" t="s">
        <v>2085</v>
      </c>
      <c r="AA373" s="77"/>
      <c r="AB373" s="77"/>
      <c r="AC373" s="81" t="s">
        <v>2703</v>
      </c>
      <c r="AD373" s="77" t="s">
        <v>2751</v>
      </c>
      <c r="AE373" s="80" t="str">
        <f>HYPERLINK("https://twitter.com/codeitwright/status/866735166382886912")</f>
        <v>https://twitter.com/codeitwright/status/866735166382886912</v>
      </c>
      <c r="AF373" s="79">
        <v>42877.804872685185</v>
      </c>
      <c r="AG373" s="85">
        <v>42877</v>
      </c>
      <c r="AH373" s="81" t="s">
        <v>3060</v>
      </c>
      <c r="AI373" s="77"/>
      <c r="AJ373" s="77"/>
      <c r="AK373" s="77"/>
      <c r="AL373" s="77"/>
      <c r="AM373" s="77"/>
      <c r="AN373" s="77"/>
      <c r="AO373" s="77"/>
      <c r="AP373" s="77"/>
      <c r="AQ373" s="77"/>
      <c r="AR373" s="77"/>
      <c r="AS373" s="77"/>
      <c r="AT373" s="77"/>
      <c r="AU373" s="77"/>
      <c r="AV373" s="80" t="str">
        <f>HYPERLINK("https://pbs.twimg.com/profile_images/796527478844096513/nfWOLST-_normal.jpg")</f>
        <v>https://pbs.twimg.com/profile_images/796527478844096513/nfWOLST-_normal.jpg</v>
      </c>
      <c r="AW373" s="81" t="s">
        <v>4806</v>
      </c>
      <c r="AX373" s="81" t="s">
        <v>4806</v>
      </c>
      <c r="AY373" s="77"/>
      <c r="AZ373" s="81" t="s">
        <v>5773</v>
      </c>
      <c r="BA373" s="81" t="s">
        <v>5773</v>
      </c>
      <c r="BB373" s="81" t="s">
        <v>5773</v>
      </c>
      <c r="BC373" s="81" t="s">
        <v>4806</v>
      </c>
      <c r="BD373" s="77">
        <v>2917786541</v>
      </c>
      <c r="BE373" s="77"/>
      <c r="BF373" s="77"/>
      <c r="BG373" s="77"/>
      <c r="BH373" s="77"/>
      <c r="BI373" s="77"/>
    </row>
    <row r="374" spans="1:61" ht="15">
      <c r="A374" s="62" t="s">
        <v>327</v>
      </c>
      <c r="B374" s="62" t="s">
        <v>299</v>
      </c>
      <c r="C374" s="63"/>
      <c r="D374" s="64"/>
      <c r="E374" s="65"/>
      <c r="F374" s="66"/>
      <c r="G374" s="63"/>
      <c r="H374" s="67"/>
      <c r="I374" s="68"/>
      <c r="J374" s="68"/>
      <c r="K374" s="32" t="s">
        <v>65</v>
      </c>
      <c r="L374" s="75">
        <v>374</v>
      </c>
      <c r="M374" s="75"/>
      <c r="N374" s="70"/>
      <c r="O374" s="77" t="s">
        <v>571</v>
      </c>
      <c r="P374" s="79">
        <v>42877.79856481482</v>
      </c>
      <c r="Q374" s="77" t="s">
        <v>871</v>
      </c>
      <c r="R374" s="77">
        <v>0</v>
      </c>
      <c r="S374" s="77">
        <v>0</v>
      </c>
      <c r="T374" s="77">
        <v>0</v>
      </c>
      <c r="U374" s="77">
        <v>0</v>
      </c>
      <c r="V374" s="77"/>
      <c r="W374" s="81" t="s">
        <v>1792</v>
      </c>
      <c r="X374" s="77"/>
      <c r="Y374" s="77"/>
      <c r="Z374" s="77" t="s">
        <v>2085</v>
      </c>
      <c r="AA374" s="77"/>
      <c r="AB374" s="77"/>
      <c r="AC374" s="81" t="s">
        <v>2703</v>
      </c>
      <c r="AD374" s="77" t="s">
        <v>2751</v>
      </c>
      <c r="AE374" s="80" t="str">
        <f>HYPERLINK("https://twitter.com/codeitwright/status/866732881938350081")</f>
        <v>https://twitter.com/codeitwright/status/866732881938350081</v>
      </c>
      <c r="AF374" s="79">
        <v>42877.79856481482</v>
      </c>
      <c r="AG374" s="85">
        <v>42877</v>
      </c>
      <c r="AH374" s="81" t="s">
        <v>3061</v>
      </c>
      <c r="AI374" s="77"/>
      <c r="AJ374" s="77"/>
      <c r="AK374" s="77"/>
      <c r="AL374" s="77"/>
      <c r="AM374" s="77"/>
      <c r="AN374" s="77"/>
      <c r="AO374" s="77"/>
      <c r="AP374" s="77"/>
      <c r="AQ374" s="77"/>
      <c r="AR374" s="77"/>
      <c r="AS374" s="77"/>
      <c r="AT374" s="77"/>
      <c r="AU374" s="77"/>
      <c r="AV374" s="80" t="str">
        <f>HYPERLINK("https://pbs.twimg.com/profile_images/796527478844096513/nfWOLST-_normal.jpg")</f>
        <v>https://pbs.twimg.com/profile_images/796527478844096513/nfWOLST-_normal.jpg</v>
      </c>
      <c r="AW374" s="81" t="s">
        <v>4807</v>
      </c>
      <c r="AX374" s="81" t="s">
        <v>4807</v>
      </c>
      <c r="AY374" s="77"/>
      <c r="AZ374" s="81" t="s">
        <v>5773</v>
      </c>
      <c r="BA374" s="81" t="s">
        <v>5773</v>
      </c>
      <c r="BB374" s="81" t="s">
        <v>5773</v>
      </c>
      <c r="BC374" s="81" t="s">
        <v>4807</v>
      </c>
      <c r="BD374" s="77">
        <v>2917786541</v>
      </c>
      <c r="BE374" s="77"/>
      <c r="BF374" s="77"/>
      <c r="BG374" s="77"/>
      <c r="BH374" s="77"/>
      <c r="BI374" s="77"/>
    </row>
    <row r="375" spans="1:61" ht="15">
      <c r="A375" s="62" t="s">
        <v>328</v>
      </c>
      <c r="B375" s="62" t="s">
        <v>299</v>
      </c>
      <c r="C375" s="63"/>
      <c r="D375" s="64"/>
      <c r="E375" s="65"/>
      <c r="F375" s="66"/>
      <c r="G375" s="63"/>
      <c r="H375" s="67"/>
      <c r="I375" s="68"/>
      <c r="J375" s="68"/>
      <c r="K375" s="32" t="s">
        <v>65</v>
      </c>
      <c r="L375" s="75">
        <v>375</v>
      </c>
      <c r="M375" s="75"/>
      <c r="N375" s="70"/>
      <c r="O375" s="77" t="s">
        <v>571</v>
      </c>
      <c r="P375" s="79">
        <v>42955.347708333335</v>
      </c>
      <c r="Q375" s="77" t="s">
        <v>872</v>
      </c>
      <c r="R375" s="77">
        <v>0</v>
      </c>
      <c r="S375" s="77">
        <v>0</v>
      </c>
      <c r="T375" s="77">
        <v>0</v>
      </c>
      <c r="U375" s="77">
        <v>0</v>
      </c>
      <c r="V375" s="77"/>
      <c r="W375" s="77"/>
      <c r="X375" s="80" t="str">
        <f>HYPERLINK("http://www.micromanagerapps.com/")</f>
        <v>http://www.micromanagerapps.com/</v>
      </c>
      <c r="Y375" s="77" t="s">
        <v>2012</v>
      </c>
      <c r="Z375" s="77" t="s">
        <v>299</v>
      </c>
      <c r="AA375" s="77"/>
      <c r="AB375" s="77"/>
      <c r="AC375" s="81" t="s">
        <v>2709</v>
      </c>
      <c r="AD375" s="77" t="s">
        <v>2751</v>
      </c>
      <c r="AE375" s="80" t="str">
        <f>HYPERLINK("https://twitter.com/bullrushapp/status/894835751027961857")</f>
        <v>https://twitter.com/bullrushapp/status/894835751027961857</v>
      </c>
      <c r="AF375" s="79">
        <v>42955.347708333335</v>
      </c>
      <c r="AG375" s="85">
        <v>42955</v>
      </c>
      <c r="AH375" s="81" t="s">
        <v>3062</v>
      </c>
      <c r="AI375" s="77" t="b">
        <v>0</v>
      </c>
      <c r="AJ375" s="77"/>
      <c r="AK375" s="77"/>
      <c r="AL375" s="77"/>
      <c r="AM375" s="77"/>
      <c r="AN375" s="77"/>
      <c r="AO375" s="77"/>
      <c r="AP375" s="77"/>
      <c r="AQ375" s="77"/>
      <c r="AR375" s="77"/>
      <c r="AS375" s="77"/>
      <c r="AT375" s="77"/>
      <c r="AU375" s="77"/>
      <c r="AV375" s="80" t="str">
        <f>HYPERLINK("https://pbs.twimg.com/profile_images/847289329361616896/5iVjgPZL_normal.jpg")</f>
        <v>https://pbs.twimg.com/profile_images/847289329361616896/5iVjgPZL_normal.jpg</v>
      </c>
      <c r="AW375" s="81" t="s">
        <v>4808</v>
      </c>
      <c r="AX375" s="81" t="s">
        <v>4808</v>
      </c>
      <c r="AY375" s="81" t="s">
        <v>5721</v>
      </c>
      <c r="AZ375" s="81" t="s">
        <v>5773</v>
      </c>
      <c r="BA375" s="81" t="s">
        <v>5773</v>
      </c>
      <c r="BB375" s="81" t="s">
        <v>5773</v>
      </c>
      <c r="BC375" s="81" t="s">
        <v>4808</v>
      </c>
      <c r="BD375" s="77">
        <v>946954957</v>
      </c>
      <c r="BE375" s="77"/>
      <c r="BF375" s="77"/>
      <c r="BG375" s="77"/>
      <c r="BH375" s="77"/>
      <c r="BI375" s="77"/>
    </row>
    <row r="376" spans="1:61" ht="15">
      <c r="A376" s="62" t="s">
        <v>329</v>
      </c>
      <c r="B376" s="62" t="s">
        <v>299</v>
      </c>
      <c r="C376" s="63"/>
      <c r="D376" s="64"/>
      <c r="E376" s="65"/>
      <c r="F376" s="66"/>
      <c r="G376" s="63"/>
      <c r="H376" s="67"/>
      <c r="I376" s="68"/>
      <c r="J376" s="68"/>
      <c r="K376" s="32" t="s">
        <v>65</v>
      </c>
      <c r="L376" s="75">
        <v>376</v>
      </c>
      <c r="M376" s="75"/>
      <c r="N376" s="70"/>
      <c r="O376" s="77" t="s">
        <v>571</v>
      </c>
      <c r="P376" s="79">
        <v>43856.708333333336</v>
      </c>
      <c r="Q376" s="77" t="s">
        <v>873</v>
      </c>
      <c r="R376" s="77">
        <v>0</v>
      </c>
      <c r="S376" s="77">
        <v>0</v>
      </c>
      <c r="T376" s="77">
        <v>1</v>
      </c>
      <c r="U376" s="77">
        <v>0</v>
      </c>
      <c r="V376" s="77"/>
      <c r="W376" s="77"/>
      <c r="X376" s="80" t="str">
        <f>HYPERLINK("https://lnkd.in/eTP-h_M")</f>
        <v>https://lnkd.in/eTP-h_M</v>
      </c>
      <c r="Y376" s="77" t="s">
        <v>2013</v>
      </c>
      <c r="Z376" s="77" t="s">
        <v>299</v>
      </c>
      <c r="AA376" s="77"/>
      <c r="AB376" s="77"/>
      <c r="AC376" s="81" t="s">
        <v>2731</v>
      </c>
      <c r="AD376" s="77" t="s">
        <v>2751</v>
      </c>
      <c r="AE376" s="80" t="str">
        <f>HYPERLINK("https://twitter.com/martintenvoorde/status/1221477901813649411")</f>
        <v>https://twitter.com/martintenvoorde/status/1221477901813649411</v>
      </c>
      <c r="AF376" s="79">
        <v>43856.708333333336</v>
      </c>
      <c r="AG376" s="85">
        <v>43856</v>
      </c>
      <c r="AH376" s="81" t="s">
        <v>3063</v>
      </c>
      <c r="AI376" s="77" t="b">
        <v>0</v>
      </c>
      <c r="AJ376" s="77"/>
      <c r="AK376" s="77"/>
      <c r="AL376" s="77"/>
      <c r="AM376" s="77"/>
      <c r="AN376" s="77"/>
      <c r="AO376" s="77"/>
      <c r="AP376" s="77"/>
      <c r="AQ376" s="77"/>
      <c r="AR376" s="77"/>
      <c r="AS376" s="77"/>
      <c r="AT376" s="77"/>
      <c r="AU376" s="77"/>
      <c r="AV376" s="80" t="str">
        <f>HYPERLINK("https://pbs.twimg.com/profile_images/1882396335/MTV_normal.PNG")</f>
        <v>https://pbs.twimg.com/profile_images/1882396335/MTV_normal.PNG</v>
      </c>
      <c r="AW376" s="81" t="s">
        <v>4809</v>
      </c>
      <c r="AX376" s="81" t="s">
        <v>4809</v>
      </c>
      <c r="AY376" s="77"/>
      <c r="AZ376" s="81" t="s">
        <v>5773</v>
      </c>
      <c r="BA376" s="81" t="s">
        <v>5773</v>
      </c>
      <c r="BB376" s="81" t="s">
        <v>5773</v>
      </c>
      <c r="BC376" s="81" t="s">
        <v>4809</v>
      </c>
      <c r="BD376" s="77">
        <v>32630040</v>
      </c>
      <c r="BE376" s="77"/>
      <c r="BF376" s="77"/>
      <c r="BG376" s="77"/>
      <c r="BH376" s="77"/>
      <c r="BI376" s="77"/>
    </row>
    <row r="377" spans="1:61" ht="15">
      <c r="A377" s="62" t="s">
        <v>330</v>
      </c>
      <c r="B377" s="62" t="s">
        <v>330</v>
      </c>
      <c r="C377" s="63"/>
      <c r="D377" s="64"/>
      <c r="E377" s="65"/>
      <c r="F377" s="66"/>
      <c r="G377" s="63"/>
      <c r="H377" s="67"/>
      <c r="I377" s="68"/>
      <c r="J377" s="68"/>
      <c r="K377" s="32" t="s">
        <v>65</v>
      </c>
      <c r="L377" s="75">
        <v>377</v>
      </c>
      <c r="M377" s="75"/>
      <c r="N377" s="70"/>
      <c r="O377" s="77" t="s">
        <v>179</v>
      </c>
      <c r="P377" s="79">
        <v>41743.28827546296</v>
      </c>
      <c r="Q377" s="77" t="s">
        <v>874</v>
      </c>
      <c r="R377" s="77">
        <v>0</v>
      </c>
      <c r="S377" s="77">
        <v>0</v>
      </c>
      <c r="T377" s="77">
        <v>0</v>
      </c>
      <c r="U377" s="77">
        <v>0</v>
      </c>
      <c r="V377" s="77"/>
      <c r="W377" s="77"/>
      <c r="X377" s="80" t="str">
        <f>HYPERLINK("http://fb.me/1jJCXbOy4")</f>
        <v>http://fb.me/1jJCXbOy4</v>
      </c>
      <c r="Y377" s="77" t="s">
        <v>1988</v>
      </c>
      <c r="Z377" s="77"/>
      <c r="AA377" s="77"/>
      <c r="AB377" s="77"/>
      <c r="AC377" s="81" t="s">
        <v>2716</v>
      </c>
      <c r="AD377" s="77" t="s">
        <v>2751</v>
      </c>
      <c r="AE377" s="80" t="str">
        <f>HYPERLINK("https://twitter.com/rkbhaai/status/455600119342059520")</f>
        <v>https://twitter.com/rkbhaai/status/455600119342059520</v>
      </c>
      <c r="AF377" s="79">
        <v>41743.28827546296</v>
      </c>
      <c r="AG377" s="85">
        <v>41743</v>
      </c>
      <c r="AH377" s="81" t="s">
        <v>3064</v>
      </c>
      <c r="AI377" s="77" t="b">
        <v>0</v>
      </c>
      <c r="AJ377" s="77"/>
      <c r="AK377" s="77"/>
      <c r="AL377" s="77"/>
      <c r="AM377" s="77"/>
      <c r="AN377" s="77"/>
      <c r="AO377" s="77"/>
      <c r="AP377" s="77"/>
      <c r="AQ377" s="77"/>
      <c r="AR377" s="77"/>
      <c r="AS377" s="77"/>
      <c r="AT377" s="77"/>
      <c r="AU377" s="77"/>
      <c r="AV377" s="80" t="str">
        <f>HYPERLINK("https://pbs.twimg.com/profile_images/2109566961/rk-logo2_normal.png")</f>
        <v>https://pbs.twimg.com/profile_images/2109566961/rk-logo2_normal.png</v>
      </c>
      <c r="AW377" s="81" t="s">
        <v>4810</v>
      </c>
      <c r="AX377" s="81" t="s">
        <v>4810</v>
      </c>
      <c r="AY377" s="77"/>
      <c r="AZ377" s="81" t="s">
        <v>5773</v>
      </c>
      <c r="BA377" s="81" t="s">
        <v>5773</v>
      </c>
      <c r="BB377" s="81" t="s">
        <v>5773</v>
      </c>
      <c r="BC377" s="81" t="s">
        <v>4810</v>
      </c>
      <c r="BD377" s="77">
        <v>550733804</v>
      </c>
      <c r="BE377" s="77"/>
      <c r="BF377" s="77"/>
      <c r="BG377" s="77"/>
      <c r="BH377" s="77"/>
      <c r="BI377" s="77"/>
    </row>
    <row r="378" spans="1:61" ht="15">
      <c r="A378" s="62" t="s">
        <v>331</v>
      </c>
      <c r="B378" s="62" t="s">
        <v>331</v>
      </c>
      <c r="C378" s="63"/>
      <c r="D378" s="64"/>
      <c r="E378" s="65"/>
      <c r="F378" s="66"/>
      <c r="G378" s="63"/>
      <c r="H378" s="67"/>
      <c r="I378" s="68"/>
      <c r="J378" s="68"/>
      <c r="K378" s="32" t="s">
        <v>65</v>
      </c>
      <c r="L378" s="75">
        <v>378</v>
      </c>
      <c r="M378" s="75"/>
      <c r="N378" s="70"/>
      <c r="O378" s="77" t="s">
        <v>179</v>
      </c>
      <c r="P378" s="79">
        <v>42956.330196759256</v>
      </c>
      <c r="Q378" s="77" t="s">
        <v>875</v>
      </c>
      <c r="R378" s="77">
        <v>0</v>
      </c>
      <c r="S378" s="77">
        <v>0</v>
      </c>
      <c r="T378" s="77">
        <v>0</v>
      </c>
      <c r="U378" s="77">
        <v>0</v>
      </c>
      <c r="V378" s="77"/>
      <c r="W378" s="77"/>
      <c r="X378" s="80" t="str">
        <f>HYPERLINK("https://twitter.com/Inovies")</f>
        <v>https://twitter.com/Inovies</v>
      </c>
      <c r="Y378" s="77" t="s">
        <v>2000</v>
      </c>
      <c r="Z378" s="77"/>
      <c r="AA378" s="77"/>
      <c r="AB378" s="77"/>
      <c r="AC378" s="81" t="s">
        <v>2710</v>
      </c>
      <c r="AD378" s="77" t="s">
        <v>2751</v>
      </c>
      <c r="AE378" s="80" t="str">
        <f>HYPERLINK("https://twitter.com/bfriedle/status/895191791217016832")</f>
        <v>https://twitter.com/bfriedle/status/895191791217016832</v>
      </c>
      <c r="AF378" s="79">
        <v>42956.330196759256</v>
      </c>
      <c r="AG378" s="85">
        <v>42956</v>
      </c>
      <c r="AH378" s="81" t="s">
        <v>3065</v>
      </c>
      <c r="AI378" s="77" t="b">
        <v>0</v>
      </c>
      <c r="AJ378" s="77"/>
      <c r="AK378" s="77"/>
      <c r="AL378" s="77"/>
      <c r="AM378" s="77"/>
      <c r="AN378" s="77"/>
      <c r="AO378" s="77"/>
      <c r="AP378" s="77"/>
      <c r="AQ378" s="77"/>
      <c r="AR378" s="77"/>
      <c r="AS378" s="77"/>
      <c r="AT378" s="77"/>
      <c r="AU378" s="77"/>
      <c r="AV378" s="80" t="str">
        <f>HYPERLINK("https://pbs.twimg.com/profile_images/1690220484103675904/uAZHWHyZ_normal.jpg")</f>
        <v>https://pbs.twimg.com/profile_images/1690220484103675904/uAZHWHyZ_normal.jpg</v>
      </c>
      <c r="AW378" s="81" t="s">
        <v>4811</v>
      </c>
      <c r="AX378" s="81" t="s">
        <v>4811</v>
      </c>
      <c r="AY378" s="77"/>
      <c r="AZ378" s="81" t="s">
        <v>5773</v>
      </c>
      <c r="BA378" s="81" t="s">
        <v>5773</v>
      </c>
      <c r="BB378" s="81" t="s">
        <v>5773</v>
      </c>
      <c r="BC378" s="81" t="s">
        <v>4811</v>
      </c>
      <c r="BD378" s="77">
        <v>2568495517</v>
      </c>
      <c r="BE378" s="77"/>
      <c r="BF378" s="77"/>
      <c r="BG378" s="77"/>
      <c r="BH378" s="77"/>
      <c r="BI378" s="77"/>
    </row>
    <row r="379" spans="1:61" ht="15">
      <c r="A379" s="62" t="s">
        <v>332</v>
      </c>
      <c r="B379" s="62" t="s">
        <v>526</v>
      </c>
      <c r="C379" s="63"/>
      <c r="D379" s="64"/>
      <c r="E379" s="65"/>
      <c r="F379" s="66"/>
      <c r="G379" s="63"/>
      <c r="H379" s="67"/>
      <c r="I379" s="68"/>
      <c r="J379" s="68"/>
      <c r="K379" s="32" t="s">
        <v>65</v>
      </c>
      <c r="L379" s="75">
        <v>379</v>
      </c>
      <c r="M379" s="75"/>
      <c r="N379" s="70"/>
      <c r="O379" s="77" t="s">
        <v>573</v>
      </c>
      <c r="P379" s="79">
        <v>42667.633993055555</v>
      </c>
      <c r="Q379" s="77" t="s">
        <v>876</v>
      </c>
      <c r="R379" s="77">
        <v>0</v>
      </c>
      <c r="S379" s="77">
        <v>0</v>
      </c>
      <c r="T379" s="77">
        <v>0</v>
      </c>
      <c r="U379" s="77">
        <v>0</v>
      </c>
      <c r="V379" s="77"/>
      <c r="W379" s="77"/>
      <c r="X379" s="77"/>
      <c r="Y379" s="77"/>
      <c r="Z379" s="77" t="s">
        <v>2086</v>
      </c>
      <c r="AA379" s="77"/>
      <c r="AB379" s="77"/>
      <c r="AC379" s="81" t="s">
        <v>2701</v>
      </c>
      <c r="AD379" s="77" t="s">
        <v>2751</v>
      </c>
      <c r="AE379" s="80" t="str">
        <f>HYPERLINK("https://twitter.com/sandy_gile/status/790571790309462016")</f>
        <v>https://twitter.com/sandy_gile/status/790571790309462016</v>
      </c>
      <c r="AF379" s="79">
        <v>42667.633993055555</v>
      </c>
      <c r="AG379" s="85">
        <v>42667</v>
      </c>
      <c r="AH379" s="81" t="s">
        <v>3066</v>
      </c>
      <c r="AI379" s="77"/>
      <c r="AJ379" s="77"/>
      <c r="AK379" s="77"/>
      <c r="AL379" s="77"/>
      <c r="AM379" s="77"/>
      <c r="AN379" s="77"/>
      <c r="AO379" s="77"/>
      <c r="AP379" s="77"/>
      <c r="AQ379" s="77"/>
      <c r="AR379" s="77"/>
      <c r="AS379" s="77"/>
      <c r="AT379" s="77"/>
      <c r="AU379" s="77"/>
      <c r="AV379" s="80" t="str">
        <f>HYPERLINK("https://abs.twimg.com/sticky/default_profile_images/default_profile_normal.png")</f>
        <v>https://abs.twimg.com/sticky/default_profile_images/default_profile_normal.png</v>
      </c>
      <c r="AW379" s="81" t="s">
        <v>4812</v>
      </c>
      <c r="AX379" s="81" t="s">
        <v>5709</v>
      </c>
      <c r="AY379" s="81" t="s">
        <v>5760</v>
      </c>
      <c r="AZ379" s="81" t="s">
        <v>5709</v>
      </c>
      <c r="BA379" s="81" t="s">
        <v>5773</v>
      </c>
      <c r="BB379" s="81" t="s">
        <v>5773</v>
      </c>
      <c r="BC379" s="81" t="s">
        <v>5709</v>
      </c>
      <c r="BD379" s="81" t="s">
        <v>5812</v>
      </c>
      <c r="BE379" s="77"/>
      <c r="BF379" s="77"/>
      <c r="BG379" s="77"/>
      <c r="BH379" s="77"/>
      <c r="BI379" s="77"/>
    </row>
    <row r="380" spans="1:61" ht="15">
      <c r="A380" s="62" t="s">
        <v>332</v>
      </c>
      <c r="B380" s="62" t="s">
        <v>527</v>
      </c>
      <c r="C380" s="63"/>
      <c r="D380" s="64"/>
      <c r="E380" s="65"/>
      <c r="F380" s="66"/>
      <c r="G380" s="63"/>
      <c r="H380" s="67"/>
      <c r="I380" s="68"/>
      <c r="J380" s="68"/>
      <c r="K380" s="32" t="s">
        <v>65</v>
      </c>
      <c r="L380" s="75">
        <v>380</v>
      </c>
      <c r="M380" s="75"/>
      <c r="N380" s="70"/>
      <c r="O380" s="77" t="s">
        <v>572</v>
      </c>
      <c r="P380" s="79">
        <v>42667.633993055555</v>
      </c>
      <c r="Q380" s="77" t="s">
        <v>876</v>
      </c>
      <c r="R380" s="77">
        <v>0</v>
      </c>
      <c r="S380" s="77">
        <v>0</v>
      </c>
      <c r="T380" s="77">
        <v>0</v>
      </c>
      <c r="U380" s="77">
        <v>0</v>
      </c>
      <c r="V380" s="77"/>
      <c r="W380" s="77"/>
      <c r="X380" s="77"/>
      <c r="Y380" s="77"/>
      <c r="Z380" s="77" t="s">
        <v>2086</v>
      </c>
      <c r="AA380" s="77"/>
      <c r="AB380" s="77"/>
      <c r="AC380" s="81" t="s">
        <v>2701</v>
      </c>
      <c r="AD380" s="77" t="s">
        <v>2751</v>
      </c>
      <c r="AE380" s="80" t="str">
        <f>HYPERLINK("https://twitter.com/sandy_gile/status/790571790309462016")</f>
        <v>https://twitter.com/sandy_gile/status/790571790309462016</v>
      </c>
      <c r="AF380" s="79">
        <v>42667.633993055555</v>
      </c>
      <c r="AG380" s="85">
        <v>42667</v>
      </c>
      <c r="AH380" s="81" t="s">
        <v>3066</v>
      </c>
      <c r="AI380" s="77"/>
      <c r="AJ380" s="77"/>
      <c r="AK380" s="77"/>
      <c r="AL380" s="77"/>
      <c r="AM380" s="77"/>
      <c r="AN380" s="77"/>
      <c r="AO380" s="77"/>
      <c r="AP380" s="77"/>
      <c r="AQ380" s="77"/>
      <c r="AR380" s="77"/>
      <c r="AS380" s="77"/>
      <c r="AT380" s="77"/>
      <c r="AU380" s="77"/>
      <c r="AV380" s="80" t="str">
        <f>HYPERLINK("https://abs.twimg.com/sticky/default_profile_images/default_profile_normal.png")</f>
        <v>https://abs.twimg.com/sticky/default_profile_images/default_profile_normal.png</v>
      </c>
      <c r="AW380" s="81" t="s">
        <v>4812</v>
      </c>
      <c r="AX380" s="81" t="s">
        <v>5709</v>
      </c>
      <c r="AY380" s="81" t="s">
        <v>5760</v>
      </c>
      <c r="AZ380" s="81" t="s">
        <v>5709</v>
      </c>
      <c r="BA380" s="81" t="s">
        <v>5773</v>
      </c>
      <c r="BB380" s="81" t="s">
        <v>5773</v>
      </c>
      <c r="BC380" s="81" t="s">
        <v>5709</v>
      </c>
      <c r="BD380" s="81" t="s">
        <v>5812</v>
      </c>
      <c r="BE380" s="77"/>
      <c r="BF380" s="77"/>
      <c r="BG380" s="77"/>
      <c r="BH380" s="77"/>
      <c r="BI380" s="77"/>
    </row>
    <row r="381" spans="1:61" ht="15">
      <c r="A381" s="62" t="s">
        <v>333</v>
      </c>
      <c r="B381" s="62" t="s">
        <v>528</v>
      </c>
      <c r="C381" s="63"/>
      <c r="D381" s="64"/>
      <c r="E381" s="65"/>
      <c r="F381" s="66"/>
      <c r="G381" s="63"/>
      <c r="H381" s="67"/>
      <c r="I381" s="68"/>
      <c r="J381" s="68"/>
      <c r="K381" s="32" t="s">
        <v>65</v>
      </c>
      <c r="L381" s="75">
        <v>381</v>
      </c>
      <c r="M381" s="75"/>
      <c r="N381" s="70"/>
      <c r="O381" s="77" t="s">
        <v>571</v>
      </c>
      <c r="P381" s="79">
        <v>43186.71194444445</v>
      </c>
      <c r="Q381" s="77" t="s">
        <v>877</v>
      </c>
      <c r="R381" s="77">
        <v>0</v>
      </c>
      <c r="S381" s="77">
        <v>0</v>
      </c>
      <c r="T381" s="77">
        <v>0</v>
      </c>
      <c r="U381" s="77">
        <v>0</v>
      </c>
      <c r="V381" s="77"/>
      <c r="W381" s="81" t="s">
        <v>1793</v>
      </c>
      <c r="X381" s="80" t="str">
        <f>HYPERLINK("http://amzn.to/2Bxgqba")</f>
        <v>http://amzn.to/2Bxgqba</v>
      </c>
      <c r="Y381" s="77" t="s">
        <v>2014</v>
      </c>
      <c r="Z381" s="77" t="s">
        <v>2087</v>
      </c>
      <c r="AA381" s="77"/>
      <c r="AB381" s="77"/>
      <c r="AC381" s="81" t="s">
        <v>2714</v>
      </c>
      <c r="AD381" s="77" t="s">
        <v>2751</v>
      </c>
      <c r="AE381" s="80" t="str">
        <f>HYPERLINK("https://twitter.com/suiciderecovery/status/978679341193355264")</f>
        <v>https://twitter.com/suiciderecovery/status/978679341193355264</v>
      </c>
      <c r="AF381" s="79">
        <v>43186.71194444445</v>
      </c>
      <c r="AG381" s="85">
        <v>43186</v>
      </c>
      <c r="AH381" s="81" t="s">
        <v>3067</v>
      </c>
      <c r="AI381" s="77" t="b">
        <v>0</v>
      </c>
      <c r="AJ381" s="77"/>
      <c r="AK381" s="77"/>
      <c r="AL381" s="77"/>
      <c r="AM381" s="77"/>
      <c r="AN381" s="77"/>
      <c r="AO381" s="77"/>
      <c r="AP381" s="77"/>
      <c r="AQ381" s="77"/>
      <c r="AR381" s="77"/>
      <c r="AS381" s="77"/>
      <c r="AT381" s="77"/>
      <c r="AU381" s="77"/>
      <c r="AV381" s="80" t="str">
        <f>HYPERLINK("https://pbs.twimg.com/profile_images/758744455109148675/VCIhvOS9_normal.jpg")</f>
        <v>https://pbs.twimg.com/profile_images/758744455109148675/VCIhvOS9_normal.jpg</v>
      </c>
      <c r="AW381" s="81" t="s">
        <v>4813</v>
      </c>
      <c r="AX381" s="81" t="s">
        <v>4813</v>
      </c>
      <c r="AY381" s="81" t="s">
        <v>5761</v>
      </c>
      <c r="AZ381" s="81" t="s">
        <v>5773</v>
      </c>
      <c r="BA381" s="81" t="s">
        <v>5773</v>
      </c>
      <c r="BB381" s="81" t="s">
        <v>5773</v>
      </c>
      <c r="BC381" s="81" t="s">
        <v>4813</v>
      </c>
      <c r="BD381" s="77">
        <v>1945813453</v>
      </c>
      <c r="BE381" s="77"/>
      <c r="BF381" s="77"/>
      <c r="BG381" s="77"/>
      <c r="BH381" s="77"/>
      <c r="BI381" s="77"/>
    </row>
    <row r="382" spans="1:61" ht="15">
      <c r="A382" s="62" t="s">
        <v>333</v>
      </c>
      <c r="B382" s="62" t="s">
        <v>528</v>
      </c>
      <c r="C382" s="63"/>
      <c r="D382" s="64"/>
      <c r="E382" s="65"/>
      <c r="F382" s="66"/>
      <c r="G382" s="63"/>
      <c r="H382" s="67"/>
      <c r="I382" s="68"/>
      <c r="J382" s="68"/>
      <c r="K382" s="32" t="s">
        <v>65</v>
      </c>
      <c r="L382" s="75">
        <v>382</v>
      </c>
      <c r="M382" s="75"/>
      <c r="N382" s="70"/>
      <c r="O382" s="77" t="s">
        <v>571</v>
      </c>
      <c r="P382" s="79">
        <v>43182.87716435185</v>
      </c>
      <c r="Q382" s="77" t="s">
        <v>878</v>
      </c>
      <c r="R382" s="77">
        <v>0</v>
      </c>
      <c r="S382" s="77">
        <v>1</v>
      </c>
      <c r="T382" s="77">
        <v>0</v>
      </c>
      <c r="U382" s="77">
        <v>0</v>
      </c>
      <c r="V382" s="77"/>
      <c r="W382" s="81" t="s">
        <v>1794</v>
      </c>
      <c r="X382" s="77"/>
      <c r="Y382" s="77"/>
      <c r="Z382" s="77" t="s">
        <v>2087</v>
      </c>
      <c r="AA382" s="77"/>
      <c r="AB382" s="77"/>
      <c r="AC382" s="81" t="s">
        <v>2714</v>
      </c>
      <c r="AD382" s="77" t="s">
        <v>2751</v>
      </c>
      <c r="AE382" s="80" t="str">
        <f>HYPERLINK("https://twitter.com/suiciderecovery/status/977289662078377984")</f>
        <v>https://twitter.com/suiciderecovery/status/977289662078377984</v>
      </c>
      <c r="AF382" s="79">
        <v>43182.87716435185</v>
      </c>
      <c r="AG382" s="85">
        <v>43182</v>
      </c>
      <c r="AH382" s="81" t="s">
        <v>3068</v>
      </c>
      <c r="AI382" s="77"/>
      <c r="AJ382" s="77"/>
      <c r="AK382" s="77"/>
      <c r="AL382" s="77"/>
      <c r="AM382" s="77"/>
      <c r="AN382" s="77"/>
      <c r="AO382" s="77"/>
      <c r="AP382" s="77"/>
      <c r="AQ382" s="77"/>
      <c r="AR382" s="77"/>
      <c r="AS382" s="77"/>
      <c r="AT382" s="77"/>
      <c r="AU382" s="77"/>
      <c r="AV382" s="80" t="str">
        <f>HYPERLINK("https://pbs.twimg.com/profile_images/758744455109148675/VCIhvOS9_normal.jpg")</f>
        <v>https://pbs.twimg.com/profile_images/758744455109148675/VCIhvOS9_normal.jpg</v>
      </c>
      <c r="AW382" s="81" t="s">
        <v>4814</v>
      </c>
      <c r="AX382" s="81" t="s">
        <v>4814</v>
      </c>
      <c r="AY382" s="77"/>
      <c r="AZ382" s="81" t="s">
        <v>5773</v>
      </c>
      <c r="BA382" s="81" t="s">
        <v>5773</v>
      </c>
      <c r="BB382" s="81" t="s">
        <v>5773</v>
      </c>
      <c r="BC382" s="81" t="s">
        <v>4814</v>
      </c>
      <c r="BD382" s="77">
        <v>1945813453</v>
      </c>
      <c r="BE382" s="77"/>
      <c r="BF382" s="77"/>
      <c r="BG382" s="77"/>
      <c r="BH382" s="77"/>
      <c r="BI382" s="77"/>
    </row>
    <row r="383" spans="1:61" ht="15">
      <c r="A383" s="62" t="s">
        <v>333</v>
      </c>
      <c r="B383" s="62" t="s">
        <v>529</v>
      </c>
      <c r="C383" s="63"/>
      <c r="D383" s="64"/>
      <c r="E383" s="65"/>
      <c r="F383" s="66"/>
      <c r="G383" s="63"/>
      <c r="H383" s="67"/>
      <c r="I383" s="68"/>
      <c r="J383" s="68"/>
      <c r="K383" s="32" t="s">
        <v>65</v>
      </c>
      <c r="L383" s="75">
        <v>383</v>
      </c>
      <c r="M383" s="75"/>
      <c r="N383" s="70"/>
      <c r="O383" s="77" t="s">
        <v>571</v>
      </c>
      <c r="P383" s="79">
        <v>43186.71194444445</v>
      </c>
      <c r="Q383" s="77" t="s">
        <v>877</v>
      </c>
      <c r="R383" s="77">
        <v>0</v>
      </c>
      <c r="S383" s="77">
        <v>0</v>
      </c>
      <c r="T383" s="77">
        <v>0</v>
      </c>
      <c r="U383" s="77">
        <v>0</v>
      </c>
      <c r="V383" s="77"/>
      <c r="W383" s="81" t="s">
        <v>1793</v>
      </c>
      <c r="X383" s="80" t="str">
        <f>HYPERLINK("http://amzn.to/2Bxgqba")</f>
        <v>http://amzn.to/2Bxgqba</v>
      </c>
      <c r="Y383" s="77" t="s">
        <v>2014</v>
      </c>
      <c r="Z383" s="77" t="s">
        <v>2087</v>
      </c>
      <c r="AA383" s="77"/>
      <c r="AB383" s="77"/>
      <c r="AC383" s="81" t="s">
        <v>2714</v>
      </c>
      <c r="AD383" s="77" t="s">
        <v>2751</v>
      </c>
      <c r="AE383" s="80" t="str">
        <f>HYPERLINK("https://twitter.com/suiciderecovery/status/978679341193355264")</f>
        <v>https://twitter.com/suiciderecovery/status/978679341193355264</v>
      </c>
      <c r="AF383" s="79">
        <v>43186.71194444445</v>
      </c>
      <c r="AG383" s="85">
        <v>43186</v>
      </c>
      <c r="AH383" s="81" t="s">
        <v>3067</v>
      </c>
      <c r="AI383" s="77" t="b">
        <v>0</v>
      </c>
      <c r="AJ383" s="77"/>
      <c r="AK383" s="77"/>
      <c r="AL383" s="77"/>
      <c r="AM383" s="77"/>
      <c r="AN383" s="77"/>
      <c r="AO383" s="77"/>
      <c r="AP383" s="77"/>
      <c r="AQ383" s="77"/>
      <c r="AR383" s="77"/>
      <c r="AS383" s="77"/>
      <c r="AT383" s="77"/>
      <c r="AU383" s="77"/>
      <c r="AV383" s="80" t="str">
        <f>HYPERLINK("https://pbs.twimg.com/profile_images/758744455109148675/VCIhvOS9_normal.jpg")</f>
        <v>https://pbs.twimg.com/profile_images/758744455109148675/VCIhvOS9_normal.jpg</v>
      </c>
      <c r="AW383" s="81" t="s">
        <v>4813</v>
      </c>
      <c r="AX383" s="81" t="s">
        <v>4813</v>
      </c>
      <c r="AY383" s="81" t="s">
        <v>5761</v>
      </c>
      <c r="AZ383" s="81" t="s">
        <v>5773</v>
      </c>
      <c r="BA383" s="81" t="s">
        <v>5773</v>
      </c>
      <c r="BB383" s="81" t="s">
        <v>5773</v>
      </c>
      <c r="BC383" s="81" t="s">
        <v>4813</v>
      </c>
      <c r="BD383" s="77">
        <v>1945813453</v>
      </c>
      <c r="BE383" s="77"/>
      <c r="BF383" s="77"/>
      <c r="BG383" s="77"/>
      <c r="BH383" s="77"/>
      <c r="BI383" s="77"/>
    </row>
    <row r="384" spans="1:61" ht="15">
      <c r="A384" s="62" t="s">
        <v>333</v>
      </c>
      <c r="B384" s="62" t="s">
        <v>529</v>
      </c>
      <c r="C384" s="63"/>
      <c r="D384" s="64"/>
      <c r="E384" s="65"/>
      <c r="F384" s="66"/>
      <c r="G384" s="63"/>
      <c r="H384" s="67"/>
      <c r="I384" s="68"/>
      <c r="J384" s="68"/>
      <c r="K384" s="32" t="s">
        <v>65</v>
      </c>
      <c r="L384" s="75">
        <v>384</v>
      </c>
      <c r="M384" s="75"/>
      <c r="N384" s="70"/>
      <c r="O384" s="77" t="s">
        <v>571</v>
      </c>
      <c r="P384" s="79">
        <v>43182.87716435185</v>
      </c>
      <c r="Q384" s="77" t="s">
        <v>878</v>
      </c>
      <c r="R384" s="77">
        <v>0</v>
      </c>
      <c r="S384" s="77">
        <v>1</v>
      </c>
      <c r="T384" s="77">
        <v>0</v>
      </c>
      <c r="U384" s="77">
        <v>0</v>
      </c>
      <c r="V384" s="77"/>
      <c r="W384" s="81" t="s">
        <v>1794</v>
      </c>
      <c r="X384" s="77"/>
      <c r="Y384" s="77"/>
      <c r="Z384" s="77" t="s">
        <v>2087</v>
      </c>
      <c r="AA384" s="77"/>
      <c r="AB384" s="77"/>
      <c r="AC384" s="81" t="s">
        <v>2714</v>
      </c>
      <c r="AD384" s="77" t="s">
        <v>2751</v>
      </c>
      <c r="AE384" s="80" t="str">
        <f>HYPERLINK("https://twitter.com/suiciderecovery/status/977289662078377984")</f>
        <v>https://twitter.com/suiciderecovery/status/977289662078377984</v>
      </c>
      <c r="AF384" s="79">
        <v>43182.87716435185</v>
      </c>
      <c r="AG384" s="85">
        <v>43182</v>
      </c>
      <c r="AH384" s="81" t="s">
        <v>3068</v>
      </c>
      <c r="AI384" s="77"/>
      <c r="AJ384" s="77"/>
      <c r="AK384" s="77"/>
      <c r="AL384" s="77"/>
      <c r="AM384" s="77"/>
      <c r="AN384" s="77"/>
      <c r="AO384" s="77"/>
      <c r="AP384" s="77"/>
      <c r="AQ384" s="77"/>
      <c r="AR384" s="77"/>
      <c r="AS384" s="77"/>
      <c r="AT384" s="77"/>
      <c r="AU384" s="77"/>
      <c r="AV384" s="80" t="str">
        <f>HYPERLINK("https://pbs.twimg.com/profile_images/758744455109148675/VCIhvOS9_normal.jpg")</f>
        <v>https://pbs.twimg.com/profile_images/758744455109148675/VCIhvOS9_normal.jpg</v>
      </c>
      <c r="AW384" s="81" t="s">
        <v>4814</v>
      </c>
      <c r="AX384" s="81" t="s">
        <v>4814</v>
      </c>
      <c r="AY384" s="77"/>
      <c r="AZ384" s="81" t="s">
        <v>5773</v>
      </c>
      <c r="BA384" s="81" t="s">
        <v>5773</v>
      </c>
      <c r="BB384" s="81" t="s">
        <v>5773</v>
      </c>
      <c r="BC384" s="81" t="s">
        <v>4814</v>
      </c>
      <c r="BD384" s="77">
        <v>1945813453</v>
      </c>
      <c r="BE384" s="77"/>
      <c r="BF384" s="77"/>
      <c r="BG384" s="77"/>
      <c r="BH384" s="77"/>
      <c r="BI384" s="77"/>
    </row>
    <row r="385" spans="1:61" ht="15">
      <c r="A385" s="62" t="s">
        <v>333</v>
      </c>
      <c r="B385" s="62" t="s">
        <v>443</v>
      </c>
      <c r="C385" s="63"/>
      <c r="D385" s="64"/>
      <c r="E385" s="65"/>
      <c r="F385" s="66"/>
      <c r="G385" s="63"/>
      <c r="H385" s="67"/>
      <c r="I385" s="68"/>
      <c r="J385" s="68"/>
      <c r="K385" s="32" t="s">
        <v>65</v>
      </c>
      <c r="L385" s="75">
        <v>385</v>
      </c>
      <c r="M385" s="75"/>
      <c r="N385" s="70"/>
      <c r="O385" s="77" t="s">
        <v>571</v>
      </c>
      <c r="P385" s="79">
        <v>43186.71194444445</v>
      </c>
      <c r="Q385" s="77" t="s">
        <v>877</v>
      </c>
      <c r="R385" s="77">
        <v>0</v>
      </c>
      <c r="S385" s="77">
        <v>0</v>
      </c>
      <c r="T385" s="77">
        <v>0</v>
      </c>
      <c r="U385" s="77">
        <v>0</v>
      </c>
      <c r="V385" s="77"/>
      <c r="W385" s="81" t="s">
        <v>1793</v>
      </c>
      <c r="X385" s="80" t="str">
        <f>HYPERLINK("http://amzn.to/2Bxgqba")</f>
        <v>http://amzn.to/2Bxgqba</v>
      </c>
      <c r="Y385" s="77" t="s">
        <v>2014</v>
      </c>
      <c r="Z385" s="77" t="s">
        <v>2087</v>
      </c>
      <c r="AA385" s="77"/>
      <c r="AB385" s="77"/>
      <c r="AC385" s="81" t="s">
        <v>2714</v>
      </c>
      <c r="AD385" s="77" t="s">
        <v>2751</v>
      </c>
      <c r="AE385" s="80" t="str">
        <f>HYPERLINK("https://twitter.com/suiciderecovery/status/978679341193355264")</f>
        <v>https://twitter.com/suiciderecovery/status/978679341193355264</v>
      </c>
      <c r="AF385" s="79">
        <v>43186.71194444445</v>
      </c>
      <c r="AG385" s="85">
        <v>43186</v>
      </c>
      <c r="AH385" s="81" t="s">
        <v>3067</v>
      </c>
      <c r="AI385" s="77" t="b">
        <v>0</v>
      </c>
      <c r="AJ385" s="77"/>
      <c r="AK385" s="77"/>
      <c r="AL385" s="77"/>
      <c r="AM385" s="77"/>
      <c r="AN385" s="77"/>
      <c r="AO385" s="77"/>
      <c r="AP385" s="77"/>
      <c r="AQ385" s="77"/>
      <c r="AR385" s="77"/>
      <c r="AS385" s="77"/>
      <c r="AT385" s="77"/>
      <c r="AU385" s="77"/>
      <c r="AV385" s="80" t="str">
        <f>HYPERLINK("https://pbs.twimg.com/profile_images/758744455109148675/VCIhvOS9_normal.jpg")</f>
        <v>https://pbs.twimg.com/profile_images/758744455109148675/VCIhvOS9_normal.jpg</v>
      </c>
      <c r="AW385" s="81" t="s">
        <v>4813</v>
      </c>
      <c r="AX385" s="81" t="s">
        <v>4813</v>
      </c>
      <c r="AY385" s="81" t="s">
        <v>5761</v>
      </c>
      <c r="AZ385" s="81" t="s">
        <v>5773</v>
      </c>
      <c r="BA385" s="81" t="s">
        <v>5773</v>
      </c>
      <c r="BB385" s="81" t="s">
        <v>5773</v>
      </c>
      <c r="BC385" s="81" t="s">
        <v>4813</v>
      </c>
      <c r="BD385" s="77">
        <v>1945813453</v>
      </c>
      <c r="BE385" s="77"/>
      <c r="BF385" s="77"/>
      <c r="BG385" s="77"/>
      <c r="BH385" s="77"/>
      <c r="BI385" s="77"/>
    </row>
    <row r="386" spans="1:61" ht="15">
      <c r="A386" s="62" t="s">
        <v>333</v>
      </c>
      <c r="B386" s="62" t="s">
        <v>443</v>
      </c>
      <c r="C386" s="63"/>
      <c r="D386" s="64"/>
      <c r="E386" s="65"/>
      <c r="F386" s="66"/>
      <c r="G386" s="63"/>
      <c r="H386" s="67"/>
      <c r="I386" s="68"/>
      <c r="J386" s="68"/>
      <c r="K386" s="32" t="s">
        <v>65</v>
      </c>
      <c r="L386" s="75">
        <v>386</v>
      </c>
      <c r="M386" s="75"/>
      <c r="N386" s="70"/>
      <c r="O386" s="77" t="s">
        <v>571</v>
      </c>
      <c r="P386" s="79">
        <v>43182.87716435185</v>
      </c>
      <c r="Q386" s="77" t="s">
        <v>878</v>
      </c>
      <c r="R386" s="77">
        <v>0</v>
      </c>
      <c r="S386" s="77">
        <v>1</v>
      </c>
      <c r="T386" s="77">
        <v>0</v>
      </c>
      <c r="U386" s="77">
        <v>0</v>
      </c>
      <c r="V386" s="77"/>
      <c r="W386" s="81" t="s">
        <v>1794</v>
      </c>
      <c r="X386" s="77"/>
      <c r="Y386" s="77"/>
      <c r="Z386" s="77" t="s">
        <v>2087</v>
      </c>
      <c r="AA386" s="77"/>
      <c r="AB386" s="77"/>
      <c r="AC386" s="81" t="s">
        <v>2714</v>
      </c>
      <c r="AD386" s="77" t="s">
        <v>2751</v>
      </c>
      <c r="AE386" s="80" t="str">
        <f>HYPERLINK("https://twitter.com/suiciderecovery/status/977289662078377984")</f>
        <v>https://twitter.com/suiciderecovery/status/977289662078377984</v>
      </c>
      <c r="AF386" s="79">
        <v>43182.87716435185</v>
      </c>
      <c r="AG386" s="85">
        <v>43182</v>
      </c>
      <c r="AH386" s="81" t="s">
        <v>3068</v>
      </c>
      <c r="AI386" s="77"/>
      <c r="AJ386" s="77"/>
      <c r="AK386" s="77"/>
      <c r="AL386" s="77"/>
      <c r="AM386" s="77"/>
      <c r="AN386" s="77"/>
      <c r="AO386" s="77"/>
      <c r="AP386" s="77"/>
      <c r="AQ386" s="77"/>
      <c r="AR386" s="77"/>
      <c r="AS386" s="77"/>
      <c r="AT386" s="77"/>
      <c r="AU386" s="77"/>
      <c r="AV386" s="80" t="str">
        <f>HYPERLINK("https://pbs.twimg.com/profile_images/758744455109148675/VCIhvOS9_normal.jpg")</f>
        <v>https://pbs.twimg.com/profile_images/758744455109148675/VCIhvOS9_normal.jpg</v>
      </c>
      <c r="AW386" s="81" t="s">
        <v>4814</v>
      </c>
      <c r="AX386" s="81" t="s">
        <v>4814</v>
      </c>
      <c r="AY386" s="77"/>
      <c r="AZ386" s="81" t="s">
        <v>5773</v>
      </c>
      <c r="BA386" s="81" t="s">
        <v>5773</v>
      </c>
      <c r="BB386" s="81" t="s">
        <v>5773</v>
      </c>
      <c r="BC386" s="81" t="s">
        <v>4814</v>
      </c>
      <c r="BD386" s="77">
        <v>1945813453</v>
      </c>
      <c r="BE386" s="77"/>
      <c r="BF386" s="77"/>
      <c r="BG386" s="77"/>
      <c r="BH386" s="77"/>
      <c r="BI386" s="77"/>
    </row>
    <row r="387" spans="1:61" ht="15">
      <c r="A387" s="62" t="s">
        <v>334</v>
      </c>
      <c r="B387" s="62" t="s">
        <v>334</v>
      </c>
      <c r="C387" s="63"/>
      <c r="D387" s="64"/>
      <c r="E387" s="65"/>
      <c r="F387" s="66"/>
      <c r="G387" s="63"/>
      <c r="H387" s="67"/>
      <c r="I387" s="68"/>
      <c r="J387" s="68"/>
      <c r="K387" s="32" t="s">
        <v>65</v>
      </c>
      <c r="L387" s="75">
        <v>387</v>
      </c>
      <c r="M387" s="75"/>
      <c r="N387" s="70"/>
      <c r="O387" s="77" t="s">
        <v>179</v>
      </c>
      <c r="P387" s="79">
        <v>42956.402974537035</v>
      </c>
      <c r="Q387" s="77" t="s">
        <v>879</v>
      </c>
      <c r="R387" s="77">
        <v>0</v>
      </c>
      <c r="S387" s="77">
        <v>0</v>
      </c>
      <c r="T387" s="77">
        <v>0</v>
      </c>
      <c r="U387" s="77">
        <v>0</v>
      </c>
      <c r="V387" s="77"/>
      <c r="W387" s="77"/>
      <c r="X387" s="80" t="str">
        <f>HYPERLINK("https://twitter.com/Inovies")</f>
        <v>https://twitter.com/Inovies</v>
      </c>
      <c r="Y387" s="77" t="s">
        <v>2000</v>
      </c>
      <c r="Z387" s="77"/>
      <c r="AA387" s="77"/>
      <c r="AB387" s="77"/>
      <c r="AC387" s="81" t="s">
        <v>2710</v>
      </c>
      <c r="AD387" s="77" t="s">
        <v>2751</v>
      </c>
      <c r="AE387" s="80" t="str">
        <f>HYPERLINK("https://twitter.com/modern_webz/status/895218166686765056")</f>
        <v>https://twitter.com/modern_webz/status/895218166686765056</v>
      </c>
      <c r="AF387" s="79">
        <v>42956.402974537035</v>
      </c>
      <c r="AG387" s="85">
        <v>42956</v>
      </c>
      <c r="AH387" s="81" t="s">
        <v>3069</v>
      </c>
      <c r="AI387" s="77" t="b">
        <v>0</v>
      </c>
      <c r="AJ387" s="77"/>
      <c r="AK387" s="77"/>
      <c r="AL387" s="77"/>
      <c r="AM387" s="77"/>
      <c r="AN387" s="77"/>
      <c r="AO387" s="77"/>
      <c r="AP387" s="77"/>
      <c r="AQ387" s="77"/>
      <c r="AR387" s="77"/>
      <c r="AS387" s="77"/>
      <c r="AT387" s="77"/>
      <c r="AU387" s="77"/>
      <c r="AV387" s="80" t="str">
        <f>HYPERLINK("https://pbs.twimg.com/profile_images/1126385359426711552/JHMh8p21_normal.png")</f>
        <v>https://pbs.twimg.com/profile_images/1126385359426711552/JHMh8p21_normal.png</v>
      </c>
      <c r="AW387" s="81" t="s">
        <v>4815</v>
      </c>
      <c r="AX387" s="81" t="s">
        <v>4815</v>
      </c>
      <c r="AY387" s="77"/>
      <c r="AZ387" s="81" t="s">
        <v>5773</v>
      </c>
      <c r="BA387" s="81" t="s">
        <v>5773</v>
      </c>
      <c r="BB387" s="81" t="s">
        <v>5773</v>
      </c>
      <c r="BC387" s="81" t="s">
        <v>4815</v>
      </c>
      <c r="BD387" s="81" t="s">
        <v>5813</v>
      </c>
      <c r="BE387" s="77"/>
      <c r="BF387" s="77"/>
      <c r="BG387" s="77"/>
      <c r="BH387" s="77"/>
      <c r="BI387" s="77"/>
    </row>
    <row r="388" spans="1:61" ht="15">
      <c r="A388" s="62" t="s">
        <v>334</v>
      </c>
      <c r="B388" s="62" t="s">
        <v>334</v>
      </c>
      <c r="C388" s="63"/>
      <c r="D388" s="64"/>
      <c r="E388" s="65"/>
      <c r="F388" s="66"/>
      <c r="G388" s="63"/>
      <c r="H388" s="67"/>
      <c r="I388" s="68"/>
      <c r="J388" s="68"/>
      <c r="K388" s="32" t="s">
        <v>65</v>
      </c>
      <c r="L388" s="75">
        <v>388</v>
      </c>
      <c r="M388" s="75"/>
      <c r="N388" s="70"/>
      <c r="O388" s="77" t="s">
        <v>179</v>
      </c>
      <c r="P388" s="79">
        <v>42956.331608796296</v>
      </c>
      <c r="Q388" s="77" t="s">
        <v>880</v>
      </c>
      <c r="R388" s="77">
        <v>0</v>
      </c>
      <c r="S388" s="77">
        <v>0</v>
      </c>
      <c r="T388" s="77">
        <v>0</v>
      </c>
      <c r="U388" s="77">
        <v>0</v>
      </c>
      <c r="V388" s="77"/>
      <c r="W388" s="77"/>
      <c r="X388" s="80" t="str">
        <f>HYPERLINK("http://smarturl.it/mh9e52")</f>
        <v>http://smarturl.it/mh9e52</v>
      </c>
      <c r="Y388" s="77" t="s">
        <v>2015</v>
      </c>
      <c r="Z388" s="77"/>
      <c r="AA388" s="77"/>
      <c r="AB388" s="77"/>
      <c r="AC388" s="81" t="s">
        <v>2710</v>
      </c>
      <c r="AD388" s="77" t="s">
        <v>2751</v>
      </c>
      <c r="AE388" s="80" t="str">
        <f>HYPERLINK("https://twitter.com/modern_webz/status/895192302779596801")</f>
        <v>https://twitter.com/modern_webz/status/895192302779596801</v>
      </c>
      <c r="AF388" s="79">
        <v>42956.331608796296</v>
      </c>
      <c r="AG388" s="85">
        <v>42956</v>
      </c>
      <c r="AH388" s="81" t="s">
        <v>3070</v>
      </c>
      <c r="AI388" s="77" t="b">
        <v>0</v>
      </c>
      <c r="AJ388" s="77"/>
      <c r="AK388" s="77"/>
      <c r="AL388" s="77"/>
      <c r="AM388" s="77"/>
      <c r="AN388" s="77"/>
      <c r="AO388" s="77"/>
      <c r="AP388" s="77"/>
      <c r="AQ388" s="77"/>
      <c r="AR388" s="77"/>
      <c r="AS388" s="77"/>
      <c r="AT388" s="77"/>
      <c r="AU388" s="77"/>
      <c r="AV388" s="80" t="str">
        <f>HYPERLINK("https://pbs.twimg.com/profile_images/1126385359426711552/JHMh8p21_normal.png")</f>
        <v>https://pbs.twimg.com/profile_images/1126385359426711552/JHMh8p21_normal.png</v>
      </c>
      <c r="AW388" s="81" t="s">
        <v>4816</v>
      </c>
      <c r="AX388" s="81" t="s">
        <v>4816</v>
      </c>
      <c r="AY388" s="77"/>
      <c r="AZ388" s="81" t="s">
        <v>5773</v>
      </c>
      <c r="BA388" s="81" t="s">
        <v>5773</v>
      </c>
      <c r="BB388" s="81" t="s">
        <v>5773</v>
      </c>
      <c r="BC388" s="81" t="s">
        <v>4816</v>
      </c>
      <c r="BD388" s="81" t="s">
        <v>5813</v>
      </c>
      <c r="BE388" s="77"/>
      <c r="BF388" s="77"/>
      <c r="BG388" s="77"/>
      <c r="BH388" s="77"/>
      <c r="BI388" s="77"/>
    </row>
    <row r="389" spans="1:61" ht="15">
      <c r="A389" s="62" t="s">
        <v>335</v>
      </c>
      <c r="B389" s="62" t="s">
        <v>299</v>
      </c>
      <c r="C389" s="63"/>
      <c r="D389" s="64"/>
      <c r="E389" s="65"/>
      <c r="F389" s="66"/>
      <c r="G389" s="63"/>
      <c r="H389" s="67"/>
      <c r="I389" s="68"/>
      <c r="J389" s="68"/>
      <c r="K389" s="32" t="s">
        <v>65</v>
      </c>
      <c r="L389" s="75">
        <v>389</v>
      </c>
      <c r="M389" s="75"/>
      <c r="N389" s="70"/>
      <c r="O389" s="77" t="s">
        <v>571</v>
      </c>
      <c r="P389" s="79">
        <v>42956.24116898148</v>
      </c>
      <c r="Q389" s="77" t="s">
        <v>881</v>
      </c>
      <c r="R389" s="77">
        <v>0</v>
      </c>
      <c r="S389" s="77">
        <v>0</v>
      </c>
      <c r="T389" s="77">
        <v>0</v>
      </c>
      <c r="U389" s="77">
        <v>0</v>
      </c>
      <c r="V389" s="77"/>
      <c r="W389" s="77"/>
      <c r="X389" s="77" t="s">
        <v>1961</v>
      </c>
      <c r="Y389" s="77" t="s">
        <v>2016</v>
      </c>
      <c r="Z389" s="77" t="s">
        <v>299</v>
      </c>
      <c r="AA389" s="77"/>
      <c r="AB389" s="77"/>
      <c r="AC389" s="81" t="s">
        <v>2711</v>
      </c>
      <c r="AD389" s="77" t="s">
        <v>2751</v>
      </c>
      <c r="AE389" s="80" t="str">
        <f>HYPERLINK("https://twitter.com/procharitynews/status/895159527095533568")</f>
        <v>https://twitter.com/procharitynews/status/895159527095533568</v>
      </c>
      <c r="AF389" s="79">
        <v>42956.24116898148</v>
      </c>
      <c r="AG389" s="85">
        <v>42956</v>
      </c>
      <c r="AH389" s="81" t="s">
        <v>3071</v>
      </c>
      <c r="AI389" s="77" t="b">
        <v>0</v>
      </c>
      <c r="AJ389" s="77"/>
      <c r="AK389" s="77"/>
      <c r="AL389" s="77"/>
      <c r="AM389" s="77"/>
      <c r="AN389" s="77"/>
      <c r="AO389" s="77"/>
      <c r="AP389" s="77"/>
      <c r="AQ389" s="77"/>
      <c r="AR389" s="77"/>
      <c r="AS389" s="77"/>
      <c r="AT389" s="77"/>
      <c r="AU389" s="77"/>
      <c r="AV389" s="80" t="str">
        <f>HYPERLINK("https://pbs.twimg.com/profile_images/1631805669832638465/3rIgk94z_normal.png")</f>
        <v>https://pbs.twimg.com/profile_images/1631805669832638465/3rIgk94z_normal.png</v>
      </c>
      <c r="AW389" s="81" t="s">
        <v>4817</v>
      </c>
      <c r="AX389" s="81" t="s">
        <v>4817</v>
      </c>
      <c r="AY389" s="77"/>
      <c r="AZ389" s="81" t="s">
        <v>5773</v>
      </c>
      <c r="BA389" s="81" t="s">
        <v>5773</v>
      </c>
      <c r="BB389" s="81" t="s">
        <v>5773</v>
      </c>
      <c r="BC389" s="81" t="s">
        <v>4817</v>
      </c>
      <c r="BD389" s="77">
        <v>4662675315</v>
      </c>
      <c r="BE389" s="77"/>
      <c r="BF389" s="77"/>
      <c r="BG389" s="77"/>
      <c r="BH389" s="77"/>
      <c r="BI389" s="77"/>
    </row>
    <row r="390" spans="1:61" ht="15">
      <c r="A390" s="62" t="s">
        <v>336</v>
      </c>
      <c r="B390" s="62" t="s">
        <v>336</v>
      </c>
      <c r="C390" s="63"/>
      <c r="D390" s="64"/>
      <c r="E390" s="65"/>
      <c r="F390" s="66"/>
      <c r="G390" s="63"/>
      <c r="H390" s="67"/>
      <c r="I390" s="68"/>
      <c r="J390" s="68"/>
      <c r="K390" s="32" t="s">
        <v>65</v>
      </c>
      <c r="L390" s="75">
        <v>390</v>
      </c>
      <c r="M390" s="75"/>
      <c r="N390" s="70"/>
      <c r="O390" s="77" t="s">
        <v>179</v>
      </c>
      <c r="P390" s="79">
        <v>41987.87746527778</v>
      </c>
      <c r="Q390" s="77" t="s">
        <v>882</v>
      </c>
      <c r="R390" s="77">
        <v>0</v>
      </c>
      <c r="S390" s="77">
        <v>0</v>
      </c>
      <c r="T390" s="77">
        <v>1</v>
      </c>
      <c r="U390" s="77">
        <v>0</v>
      </c>
      <c r="V390" s="77"/>
      <c r="W390" s="77"/>
      <c r="X390" s="77"/>
      <c r="Y390" s="77"/>
      <c r="Z390" s="77"/>
      <c r="AA390" s="77"/>
      <c r="AB390" s="77"/>
      <c r="AC390" s="81" t="s">
        <v>2704</v>
      </c>
      <c r="AD390" s="77" t="s">
        <v>2751</v>
      </c>
      <c r="AE390" s="80" t="str">
        <f>HYPERLINK("https://twitter.com/breathinuari/status/544236272202838018")</f>
        <v>https://twitter.com/breathinuari/status/544236272202838018</v>
      </c>
      <c r="AF390" s="79">
        <v>41987.87746527778</v>
      </c>
      <c r="AG390" s="85">
        <v>41987</v>
      </c>
      <c r="AH390" s="81" t="s">
        <v>3072</v>
      </c>
      <c r="AI390" s="77"/>
      <c r="AJ390" s="77"/>
      <c r="AK390" s="77"/>
      <c r="AL390" s="77"/>
      <c r="AM390" s="77"/>
      <c r="AN390" s="77"/>
      <c r="AO390" s="77"/>
      <c r="AP390" s="77"/>
      <c r="AQ390" s="77"/>
      <c r="AR390" s="77"/>
      <c r="AS390" s="77"/>
      <c r="AT390" s="77"/>
      <c r="AU390" s="77"/>
      <c r="AV390" s="80" t="str">
        <f>HYPERLINK("https://pbs.twimg.com/profile_images/1245312280939683847/Rixe1nev_normal.jpg")</f>
        <v>https://pbs.twimg.com/profile_images/1245312280939683847/Rixe1nev_normal.jpg</v>
      </c>
      <c r="AW390" s="81" t="s">
        <v>4818</v>
      </c>
      <c r="AX390" s="81" t="s">
        <v>4818</v>
      </c>
      <c r="AY390" s="77"/>
      <c r="AZ390" s="81" t="s">
        <v>5773</v>
      </c>
      <c r="BA390" s="81" t="s">
        <v>5773</v>
      </c>
      <c r="BB390" s="81" t="s">
        <v>5773</v>
      </c>
      <c r="BC390" s="81" t="s">
        <v>4818</v>
      </c>
      <c r="BD390" s="77">
        <v>2247508505</v>
      </c>
      <c r="BE390" s="77"/>
      <c r="BF390" s="77"/>
      <c r="BG390" s="77"/>
      <c r="BH390" s="77"/>
      <c r="BI390" s="77"/>
    </row>
    <row r="391" spans="1:61" ht="15">
      <c r="A391" s="62" t="s">
        <v>337</v>
      </c>
      <c r="B391" s="62" t="s">
        <v>337</v>
      </c>
      <c r="C391" s="63"/>
      <c r="D391" s="64"/>
      <c r="E391" s="65"/>
      <c r="F391" s="66"/>
      <c r="G391" s="63"/>
      <c r="H391" s="67"/>
      <c r="I391" s="68"/>
      <c r="J391" s="68"/>
      <c r="K391" s="32" t="s">
        <v>65</v>
      </c>
      <c r="L391" s="75">
        <v>391</v>
      </c>
      <c r="M391" s="75"/>
      <c r="N391" s="70"/>
      <c r="O391" s="77" t="s">
        <v>179</v>
      </c>
      <c r="P391" s="79">
        <v>42850.52489583333</v>
      </c>
      <c r="Q391" s="77" t="s">
        <v>883</v>
      </c>
      <c r="R391" s="77">
        <v>0</v>
      </c>
      <c r="S391" s="77">
        <v>2</v>
      </c>
      <c r="T391" s="77">
        <v>1</v>
      </c>
      <c r="U391" s="77">
        <v>0</v>
      </c>
      <c r="V391" s="77"/>
      <c r="W391" s="81" t="s">
        <v>1795</v>
      </c>
      <c r="X391" s="77"/>
      <c r="Y391" s="77"/>
      <c r="Z391" s="77"/>
      <c r="AA391" s="77" t="s">
        <v>2209</v>
      </c>
      <c r="AB391" s="77" t="s">
        <v>2696</v>
      </c>
      <c r="AC391" s="81" t="s">
        <v>2705</v>
      </c>
      <c r="AD391" s="77" t="s">
        <v>2751</v>
      </c>
      <c r="AE391" s="80" t="str">
        <f>HYPERLINK("https://twitter.com/fairsoftguntur/status/856849232443166720")</f>
        <v>https://twitter.com/fairsoftguntur/status/856849232443166720</v>
      </c>
      <c r="AF391" s="79">
        <v>42850.52489583333</v>
      </c>
      <c r="AG391" s="85">
        <v>42850</v>
      </c>
      <c r="AH391" s="81" t="s">
        <v>3073</v>
      </c>
      <c r="AI391" s="77" t="b">
        <v>0</v>
      </c>
      <c r="AJ391" s="77" t="s">
        <v>3881</v>
      </c>
      <c r="AK391" s="77" t="s">
        <v>3889</v>
      </c>
      <c r="AL391" s="77" t="s">
        <v>3892</v>
      </c>
      <c r="AM391" s="77" t="s">
        <v>3895</v>
      </c>
      <c r="AN391" s="77" t="s">
        <v>3902</v>
      </c>
      <c r="AO391" s="77" t="s">
        <v>3910</v>
      </c>
      <c r="AP391" s="77" t="s">
        <v>3917</v>
      </c>
      <c r="AQ391" s="77" t="s">
        <v>4026</v>
      </c>
      <c r="AR391" s="77"/>
      <c r="AS391" s="77"/>
      <c r="AT391" s="77"/>
      <c r="AU391" s="77"/>
      <c r="AV391" s="80" t="str">
        <f>HYPERLINK("https://pbs.twimg.com/media/C-QjweGXYAEU1xl.jpg")</f>
        <v>https://pbs.twimg.com/media/C-QjweGXYAEU1xl.jpg</v>
      </c>
      <c r="AW391" s="81" t="s">
        <v>4819</v>
      </c>
      <c r="AX391" s="81" t="s">
        <v>4819</v>
      </c>
      <c r="AY391" s="77"/>
      <c r="AZ391" s="81" t="s">
        <v>5773</v>
      </c>
      <c r="BA391" s="81" t="s">
        <v>5773</v>
      </c>
      <c r="BB391" s="81" t="s">
        <v>5773</v>
      </c>
      <c r="BC391" s="81" t="s">
        <v>4819</v>
      </c>
      <c r="BD391" s="81" t="s">
        <v>5814</v>
      </c>
      <c r="BE391" s="77"/>
      <c r="BF391" s="77"/>
      <c r="BG391" s="77"/>
      <c r="BH391" s="77"/>
      <c r="BI391" s="77"/>
    </row>
    <row r="392" spans="1:61" ht="15">
      <c r="A392" s="62" t="s">
        <v>337</v>
      </c>
      <c r="B392" s="62" t="s">
        <v>337</v>
      </c>
      <c r="C392" s="63"/>
      <c r="D392" s="64"/>
      <c r="E392" s="65"/>
      <c r="F392" s="66"/>
      <c r="G392" s="63"/>
      <c r="H392" s="67"/>
      <c r="I392" s="68"/>
      <c r="J392" s="68"/>
      <c r="K392" s="32" t="s">
        <v>65</v>
      </c>
      <c r="L392" s="75">
        <v>392</v>
      </c>
      <c r="M392" s="75"/>
      <c r="N392" s="70"/>
      <c r="O392" s="77" t="s">
        <v>179</v>
      </c>
      <c r="P392" s="79">
        <v>42850.5190162037</v>
      </c>
      <c r="Q392" s="77" t="s">
        <v>884</v>
      </c>
      <c r="R392" s="77">
        <v>0</v>
      </c>
      <c r="S392" s="77">
        <v>2</v>
      </c>
      <c r="T392" s="77">
        <v>0</v>
      </c>
      <c r="U392" s="77">
        <v>0</v>
      </c>
      <c r="V392" s="77"/>
      <c r="W392" s="81" t="s">
        <v>1795</v>
      </c>
      <c r="X392" s="77"/>
      <c r="Y392" s="77"/>
      <c r="Z392" s="77"/>
      <c r="AA392" s="77" t="s">
        <v>2210</v>
      </c>
      <c r="AB392" s="77" t="s">
        <v>2696</v>
      </c>
      <c r="AC392" s="81" t="s">
        <v>2705</v>
      </c>
      <c r="AD392" s="77" t="s">
        <v>2751</v>
      </c>
      <c r="AE392" s="80" t="str">
        <f>HYPERLINK("https://twitter.com/fairsoftguntur/status/856847102198067201")</f>
        <v>https://twitter.com/fairsoftguntur/status/856847102198067201</v>
      </c>
      <c r="AF392" s="79">
        <v>42850.5190162037</v>
      </c>
      <c r="AG392" s="85">
        <v>42850</v>
      </c>
      <c r="AH392" s="81" t="s">
        <v>3074</v>
      </c>
      <c r="AI392" s="77" t="b">
        <v>0</v>
      </c>
      <c r="AJ392" s="77" t="s">
        <v>3881</v>
      </c>
      <c r="AK392" s="77" t="s">
        <v>3889</v>
      </c>
      <c r="AL392" s="77" t="s">
        <v>3892</v>
      </c>
      <c r="AM392" s="77" t="s">
        <v>3895</v>
      </c>
      <c r="AN392" s="77" t="s">
        <v>3902</v>
      </c>
      <c r="AO392" s="77" t="s">
        <v>3910</v>
      </c>
      <c r="AP392" s="77" t="s">
        <v>3917</v>
      </c>
      <c r="AQ392" s="77" t="s">
        <v>4027</v>
      </c>
      <c r="AR392" s="77"/>
      <c r="AS392" s="77"/>
      <c r="AT392" s="77"/>
      <c r="AU392" s="77"/>
      <c r="AV392" s="80" t="str">
        <f>HYPERLINK("https://pbs.twimg.com/media/C-QhsGsXYAAnY2i.jpg")</f>
        <v>https://pbs.twimg.com/media/C-QhsGsXYAAnY2i.jpg</v>
      </c>
      <c r="AW392" s="81" t="s">
        <v>4820</v>
      </c>
      <c r="AX392" s="81" t="s">
        <v>4820</v>
      </c>
      <c r="AY392" s="77"/>
      <c r="AZ392" s="81" t="s">
        <v>5773</v>
      </c>
      <c r="BA392" s="81" t="s">
        <v>5773</v>
      </c>
      <c r="BB392" s="81" t="s">
        <v>5773</v>
      </c>
      <c r="BC392" s="81" t="s">
        <v>4820</v>
      </c>
      <c r="BD392" s="81" t="s">
        <v>5814</v>
      </c>
      <c r="BE392" s="77"/>
      <c r="BF392" s="77"/>
      <c r="BG392" s="77"/>
      <c r="BH392" s="77"/>
      <c r="BI392" s="77"/>
    </row>
    <row r="393" spans="1:61" ht="15">
      <c r="A393" s="62" t="s">
        <v>338</v>
      </c>
      <c r="B393" s="62" t="s">
        <v>338</v>
      </c>
      <c r="C393" s="63"/>
      <c r="D393" s="64"/>
      <c r="E393" s="65"/>
      <c r="F393" s="66"/>
      <c r="G393" s="63"/>
      <c r="H393" s="67"/>
      <c r="I393" s="68"/>
      <c r="J393" s="68"/>
      <c r="K393" s="32" t="s">
        <v>65</v>
      </c>
      <c r="L393" s="75">
        <v>393</v>
      </c>
      <c r="M393" s="75"/>
      <c r="N393" s="70"/>
      <c r="O393" s="77" t="s">
        <v>179</v>
      </c>
      <c r="P393" s="79">
        <v>41080.90611111111</v>
      </c>
      <c r="Q393" s="77" t="s">
        <v>885</v>
      </c>
      <c r="R393" s="77">
        <v>0</v>
      </c>
      <c r="S393" s="77">
        <v>0</v>
      </c>
      <c r="T393" s="77">
        <v>0</v>
      </c>
      <c r="U393" s="77">
        <v>0</v>
      </c>
      <c r="V393" s="77"/>
      <c r="W393" s="77"/>
      <c r="X393" s="77"/>
      <c r="Y393" s="77"/>
      <c r="Z393" s="77"/>
      <c r="AA393" s="77"/>
      <c r="AB393" s="77"/>
      <c r="AC393" s="81" t="s">
        <v>2701</v>
      </c>
      <c r="AD393" s="77" t="s">
        <v>2751</v>
      </c>
      <c r="AE393" s="80" t="str">
        <f>HYPERLINK("https://twitter.com/tanner_mosier/status/215560858544250880")</f>
        <v>https://twitter.com/tanner_mosier/status/215560858544250880</v>
      </c>
      <c r="AF393" s="79">
        <v>41080.90611111111</v>
      </c>
      <c r="AG393" s="85">
        <v>41080</v>
      </c>
      <c r="AH393" s="81" t="s">
        <v>3075</v>
      </c>
      <c r="AI393" s="77"/>
      <c r="AJ393" s="77"/>
      <c r="AK393" s="77"/>
      <c r="AL393" s="77"/>
      <c r="AM393" s="77"/>
      <c r="AN393" s="77"/>
      <c r="AO393" s="77"/>
      <c r="AP393" s="77"/>
      <c r="AQ393" s="77"/>
      <c r="AR393" s="77"/>
      <c r="AS393" s="77"/>
      <c r="AT393" s="77"/>
      <c r="AU393" s="77"/>
      <c r="AV393" s="80" t="str">
        <f>HYPERLINK("https://pbs.twimg.com/profile_images/1615185356646715393/oA_77GyC_normal.jpg")</f>
        <v>https://pbs.twimg.com/profile_images/1615185356646715393/oA_77GyC_normal.jpg</v>
      </c>
      <c r="AW393" s="81" t="s">
        <v>4821</v>
      </c>
      <c r="AX393" s="81" t="s">
        <v>4821</v>
      </c>
      <c r="AY393" s="77"/>
      <c r="AZ393" s="81" t="s">
        <v>5773</v>
      </c>
      <c r="BA393" s="81" t="s">
        <v>5773</v>
      </c>
      <c r="BB393" s="81" t="s">
        <v>5773</v>
      </c>
      <c r="BC393" s="81" t="s">
        <v>4821</v>
      </c>
      <c r="BD393" s="77">
        <v>585752033</v>
      </c>
      <c r="BE393" s="77"/>
      <c r="BF393" s="77"/>
      <c r="BG393" s="77"/>
      <c r="BH393" s="77"/>
      <c r="BI393" s="77"/>
    </row>
    <row r="394" spans="1:61" ht="15">
      <c r="A394" s="62" t="s">
        <v>339</v>
      </c>
      <c r="B394" s="62" t="s">
        <v>339</v>
      </c>
      <c r="C394" s="63"/>
      <c r="D394" s="64"/>
      <c r="E394" s="65"/>
      <c r="F394" s="66"/>
      <c r="G394" s="63"/>
      <c r="H394" s="67"/>
      <c r="I394" s="68"/>
      <c r="J394" s="68"/>
      <c r="K394" s="32" t="s">
        <v>65</v>
      </c>
      <c r="L394" s="75">
        <v>394</v>
      </c>
      <c r="M394" s="75"/>
      <c r="N394" s="70"/>
      <c r="O394" s="77" t="s">
        <v>179</v>
      </c>
      <c r="P394" s="79">
        <v>44499.52340277778</v>
      </c>
      <c r="Q394" s="77" t="s">
        <v>886</v>
      </c>
      <c r="R394" s="77">
        <v>0</v>
      </c>
      <c r="S394" s="77">
        <v>0</v>
      </c>
      <c r="T394" s="77">
        <v>0</v>
      </c>
      <c r="U394" s="77">
        <v>0</v>
      </c>
      <c r="V394" s="77"/>
      <c r="W394" s="77"/>
      <c r="X394" s="77"/>
      <c r="Y394" s="77"/>
      <c r="Z394" s="77"/>
      <c r="AA394" s="77"/>
      <c r="AB394" s="77"/>
      <c r="AC394" s="81" t="s">
        <v>2701</v>
      </c>
      <c r="AD394" s="77" t="s">
        <v>2751</v>
      </c>
      <c r="AE394" s="80" t="str">
        <f>HYPERLINK("https://twitter.com/kkaverill/status/1454426282746318857")</f>
        <v>https://twitter.com/kkaverill/status/1454426282746318857</v>
      </c>
      <c r="AF394" s="79">
        <v>44499.52340277778</v>
      </c>
      <c r="AG394" s="85">
        <v>44499</v>
      </c>
      <c r="AH394" s="81" t="s">
        <v>3076</v>
      </c>
      <c r="AI394" s="77"/>
      <c r="AJ394" s="77"/>
      <c r="AK394" s="77"/>
      <c r="AL394" s="77"/>
      <c r="AM394" s="77"/>
      <c r="AN394" s="77"/>
      <c r="AO394" s="77"/>
      <c r="AP394" s="77"/>
      <c r="AQ394" s="77"/>
      <c r="AR394" s="77"/>
      <c r="AS394" s="77"/>
      <c r="AT394" s="77"/>
      <c r="AU394" s="77"/>
      <c r="AV394" s="80" t="str">
        <f>HYPERLINK("https://pbs.twimg.com/profile_images/999613544919252992/nKI-aX4q_normal.jpg")</f>
        <v>https://pbs.twimg.com/profile_images/999613544919252992/nKI-aX4q_normal.jpg</v>
      </c>
      <c r="AW394" s="81" t="s">
        <v>4822</v>
      </c>
      <c r="AX394" s="81" t="s">
        <v>4822</v>
      </c>
      <c r="AY394" s="77"/>
      <c r="AZ394" s="81" t="s">
        <v>5773</v>
      </c>
      <c r="BA394" s="81" t="s">
        <v>5773</v>
      </c>
      <c r="BB394" s="81" t="s">
        <v>5773</v>
      </c>
      <c r="BC394" s="81" t="s">
        <v>4822</v>
      </c>
      <c r="BD394" s="77">
        <v>1020932804</v>
      </c>
      <c r="BE394" s="77"/>
      <c r="BF394" s="77"/>
      <c r="BG394" s="77"/>
      <c r="BH394" s="77"/>
      <c r="BI394" s="77"/>
    </row>
    <row r="395" spans="1:61" ht="15">
      <c r="A395" s="62" t="s">
        <v>340</v>
      </c>
      <c r="B395" s="62" t="s">
        <v>530</v>
      </c>
      <c r="C395" s="63"/>
      <c r="D395" s="64"/>
      <c r="E395" s="65"/>
      <c r="F395" s="66"/>
      <c r="G395" s="63"/>
      <c r="H395" s="67"/>
      <c r="I395" s="68"/>
      <c r="J395" s="68"/>
      <c r="K395" s="32" t="s">
        <v>65</v>
      </c>
      <c r="L395" s="75">
        <v>395</v>
      </c>
      <c r="M395" s="75"/>
      <c r="N395" s="70"/>
      <c r="O395" s="77" t="s">
        <v>571</v>
      </c>
      <c r="P395" s="79">
        <v>41743.28876157408</v>
      </c>
      <c r="Q395" s="77" t="s">
        <v>887</v>
      </c>
      <c r="R395" s="77">
        <v>0</v>
      </c>
      <c r="S395" s="77">
        <v>0</v>
      </c>
      <c r="T395" s="77">
        <v>0</v>
      </c>
      <c r="U395" s="77">
        <v>0</v>
      </c>
      <c r="V395" s="77"/>
      <c r="W395" s="77"/>
      <c r="X395" s="80" t="str">
        <f>HYPERLINK("http://shar.es/Trdm8")</f>
        <v>http://shar.es/Trdm8</v>
      </c>
      <c r="Y395" s="77" t="s">
        <v>2017</v>
      </c>
      <c r="Z395" s="77" t="s">
        <v>530</v>
      </c>
      <c r="AA395" s="77"/>
      <c r="AB395" s="77"/>
      <c r="AC395" s="81" t="s">
        <v>2712</v>
      </c>
      <c r="AD395" s="77" t="s">
        <v>2751</v>
      </c>
      <c r="AE395" s="80" t="str">
        <f>HYPERLINK("https://twitter.com/crkonline/status/455600293648953344")</f>
        <v>https://twitter.com/crkonline/status/455600293648953344</v>
      </c>
      <c r="AF395" s="79">
        <v>41743.28876157408</v>
      </c>
      <c r="AG395" s="85">
        <v>41743</v>
      </c>
      <c r="AH395" s="81" t="s">
        <v>3077</v>
      </c>
      <c r="AI395" s="77" t="b">
        <v>0</v>
      </c>
      <c r="AJ395" s="77"/>
      <c r="AK395" s="77"/>
      <c r="AL395" s="77"/>
      <c r="AM395" s="77"/>
      <c r="AN395" s="77"/>
      <c r="AO395" s="77"/>
      <c r="AP395" s="77"/>
      <c r="AQ395" s="77"/>
      <c r="AR395" s="77"/>
      <c r="AS395" s="77"/>
      <c r="AT395" s="77"/>
      <c r="AU395" s="77"/>
      <c r="AV395" s="80" t="str">
        <f>HYPERLINK("https://pbs.twimg.com/profile_images/602153095900975104/mH9hcZ5y_normal.jpg")</f>
        <v>https://pbs.twimg.com/profile_images/602153095900975104/mH9hcZ5y_normal.jpg</v>
      </c>
      <c r="AW395" s="81" t="s">
        <v>4823</v>
      </c>
      <c r="AX395" s="81" t="s">
        <v>4823</v>
      </c>
      <c r="AY395" s="77"/>
      <c r="AZ395" s="81" t="s">
        <v>5773</v>
      </c>
      <c r="BA395" s="81" t="s">
        <v>5773</v>
      </c>
      <c r="BB395" s="81" t="s">
        <v>5773</v>
      </c>
      <c r="BC395" s="81" t="s">
        <v>4823</v>
      </c>
      <c r="BD395" s="77">
        <v>135030410</v>
      </c>
      <c r="BE395" s="77"/>
      <c r="BF395" s="77"/>
      <c r="BG395" s="77"/>
      <c r="BH395" s="77"/>
      <c r="BI395" s="77"/>
    </row>
    <row r="396" spans="1:61" ht="15">
      <c r="A396" s="62" t="s">
        <v>341</v>
      </c>
      <c r="B396" s="62" t="s">
        <v>341</v>
      </c>
      <c r="C396" s="63"/>
      <c r="D396" s="64"/>
      <c r="E396" s="65"/>
      <c r="F396" s="66"/>
      <c r="G396" s="63"/>
      <c r="H396" s="67"/>
      <c r="I396" s="68"/>
      <c r="J396" s="68"/>
      <c r="K396" s="32" t="s">
        <v>65</v>
      </c>
      <c r="L396" s="75">
        <v>396</v>
      </c>
      <c r="M396" s="75"/>
      <c r="N396" s="70"/>
      <c r="O396" s="77" t="s">
        <v>179</v>
      </c>
      <c r="P396" s="79">
        <v>42155.40048611111</v>
      </c>
      <c r="Q396" s="77" t="s">
        <v>888</v>
      </c>
      <c r="R396" s="77">
        <v>0</v>
      </c>
      <c r="S396" s="77">
        <v>0</v>
      </c>
      <c r="T396" s="77">
        <v>0</v>
      </c>
      <c r="U396" s="77">
        <v>0</v>
      </c>
      <c r="V396" s="77"/>
      <c r="W396" s="77"/>
      <c r="X396" s="80" t="str">
        <f>HYPERLINK("http://placementfloor.com/inovies-looking-for-trainee-technical-writer-female-only-graduates-2013-passout-or-earlier/")</f>
        <v>http://placementfloor.com/inovies-looking-for-trainee-technical-writer-female-only-graduates-2013-passout-or-earlier/</v>
      </c>
      <c r="Y396" s="77" t="s">
        <v>2018</v>
      </c>
      <c r="Z396" s="77"/>
      <c r="AA396" s="77"/>
      <c r="AB396" s="77"/>
      <c r="AC396" s="81" t="s">
        <v>2732</v>
      </c>
      <c r="AD396" s="77" t="s">
        <v>2751</v>
      </c>
      <c r="AE396" s="80" t="str">
        <f>HYPERLINK("https://twitter.com/placementfloor/status/604944581059211264")</f>
        <v>https://twitter.com/placementfloor/status/604944581059211264</v>
      </c>
      <c r="AF396" s="79">
        <v>42155.40048611111</v>
      </c>
      <c r="AG396" s="85">
        <v>42155</v>
      </c>
      <c r="AH396" s="81" t="s">
        <v>3078</v>
      </c>
      <c r="AI396" s="77" t="b">
        <v>0</v>
      </c>
      <c r="AJ396" s="77"/>
      <c r="AK396" s="77"/>
      <c r="AL396" s="77"/>
      <c r="AM396" s="77"/>
      <c r="AN396" s="77"/>
      <c r="AO396" s="77"/>
      <c r="AP396" s="77"/>
      <c r="AQ396" s="77"/>
      <c r="AR396" s="77"/>
      <c r="AS396" s="77"/>
      <c r="AT396" s="77"/>
      <c r="AU396" s="77"/>
      <c r="AV396" s="80" t="str">
        <f>HYPERLINK("https://pbs.twimg.com/profile_images/604218556532707329/2Wpau9nX_normal.png")</f>
        <v>https://pbs.twimg.com/profile_images/604218556532707329/2Wpau9nX_normal.png</v>
      </c>
      <c r="AW396" s="81" t="s">
        <v>4824</v>
      </c>
      <c r="AX396" s="81" t="s">
        <v>4824</v>
      </c>
      <c r="AY396" s="77"/>
      <c r="AZ396" s="81" t="s">
        <v>5773</v>
      </c>
      <c r="BA396" s="81" t="s">
        <v>5773</v>
      </c>
      <c r="BB396" s="81" t="s">
        <v>5773</v>
      </c>
      <c r="BC396" s="81" t="s">
        <v>4824</v>
      </c>
      <c r="BD396" s="77">
        <v>3229576766</v>
      </c>
      <c r="BE396" s="77"/>
      <c r="BF396" s="77"/>
      <c r="BG396" s="77"/>
      <c r="BH396" s="77"/>
      <c r="BI396" s="77"/>
    </row>
    <row r="397" spans="1:61" ht="15">
      <c r="A397" s="62" t="s">
        <v>342</v>
      </c>
      <c r="B397" s="62" t="s">
        <v>342</v>
      </c>
      <c r="C397" s="63"/>
      <c r="D397" s="64"/>
      <c r="E397" s="65"/>
      <c r="F397" s="66"/>
      <c r="G397" s="63"/>
      <c r="H397" s="67"/>
      <c r="I397" s="68"/>
      <c r="J397" s="68"/>
      <c r="K397" s="32" t="s">
        <v>65</v>
      </c>
      <c r="L397" s="75">
        <v>397</v>
      </c>
      <c r="M397" s="75"/>
      <c r="N397" s="70"/>
      <c r="O397" s="77" t="s">
        <v>179</v>
      </c>
      <c r="P397" s="79">
        <v>44812.58583333333</v>
      </c>
      <c r="Q397" s="77" t="s">
        <v>889</v>
      </c>
      <c r="R397" s="77">
        <v>0</v>
      </c>
      <c r="S397" s="77">
        <v>0</v>
      </c>
      <c r="T397" s="77">
        <v>0</v>
      </c>
      <c r="U397" s="77">
        <v>0</v>
      </c>
      <c r="V397" s="77"/>
      <c r="W397" s="81" t="s">
        <v>1796</v>
      </c>
      <c r="X397" s="80" t="str">
        <f>HYPERLINK("https://seeklogo.com/vector-logo/449219/inovies")</f>
        <v>https://seeklogo.com/vector-logo/449219/inovies</v>
      </c>
      <c r="Y397" s="77" t="s">
        <v>2019</v>
      </c>
      <c r="Z397" s="77"/>
      <c r="AA397" s="77"/>
      <c r="AB397" s="77"/>
      <c r="AC397" s="81" t="s">
        <v>342</v>
      </c>
      <c r="AD397" s="77" t="s">
        <v>2762</v>
      </c>
      <c r="AE397" s="80" t="str">
        <f>HYPERLINK("https://twitter.com/seeklogo/status/1567876310382387203")</f>
        <v>https://twitter.com/seeklogo/status/1567876310382387203</v>
      </c>
      <c r="AF397" s="79">
        <v>44812.58583333333</v>
      </c>
      <c r="AG397" s="85">
        <v>44812</v>
      </c>
      <c r="AH397" s="81" t="s">
        <v>3079</v>
      </c>
      <c r="AI397" s="77" t="b">
        <v>0</v>
      </c>
      <c r="AJ397" s="77"/>
      <c r="AK397" s="77"/>
      <c r="AL397" s="77"/>
      <c r="AM397" s="77"/>
      <c r="AN397" s="77"/>
      <c r="AO397" s="77"/>
      <c r="AP397" s="77"/>
      <c r="AQ397" s="77"/>
      <c r="AR397" s="77"/>
      <c r="AS397" s="77"/>
      <c r="AT397" s="77"/>
      <c r="AU397" s="77"/>
      <c r="AV397" s="80" t="str">
        <f>HYPERLINK("https://pbs.twimg.com/profile_images/590445746257842176/CW1LZYSf_normal.png")</f>
        <v>https://pbs.twimg.com/profile_images/590445746257842176/CW1LZYSf_normal.png</v>
      </c>
      <c r="AW397" s="81" t="s">
        <v>4825</v>
      </c>
      <c r="AX397" s="81" t="s">
        <v>4825</v>
      </c>
      <c r="AY397" s="77"/>
      <c r="AZ397" s="81" t="s">
        <v>5773</v>
      </c>
      <c r="BA397" s="81" t="s">
        <v>5773</v>
      </c>
      <c r="BB397" s="81" t="s">
        <v>5773</v>
      </c>
      <c r="BC397" s="81" t="s">
        <v>4825</v>
      </c>
      <c r="BD397" s="77">
        <v>243056487</v>
      </c>
      <c r="BE397" s="77"/>
      <c r="BF397" s="77"/>
      <c r="BG397" s="77"/>
      <c r="BH397" s="77"/>
      <c r="BI397" s="77"/>
    </row>
    <row r="398" spans="1:61" ht="15">
      <c r="A398" s="62" t="s">
        <v>343</v>
      </c>
      <c r="B398" s="62" t="s">
        <v>531</v>
      </c>
      <c r="C398" s="63"/>
      <c r="D398" s="64"/>
      <c r="E398" s="65"/>
      <c r="F398" s="66"/>
      <c r="G398" s="63"/>
      <c r="H398" s="67"/>
      <c r="I398" s="68"/>
      <c r="J398" s="68"/>
      <c r="K398" s="32" t="s">
        <v>65</v>
      </c>
      <c r="L398" s="75">
        <v>398</v>
      </c>
      <c r="M398" s="75"/>
      <c r="N398" s="70"/>
      <c r="O398" s="77" t="s">
        <v>572</v>
      </c>
      <c r="P398" s="79">
        <v>41920.27337962963</v>
      </c>
      <c r="Q398" s="77" t="s">
        <v>890</v>
      </c>
      <c r="R398" s="77">
        <v>0</v>
      </c>
      <c r="S398" s="77">
        <v>0</v>
      </c>
      <c r="T398" s="77">
        <v>1</v>
      </c>
      <c r="U398" s="77">
        <v>0</v>
      </c>
      <c r="V398" s="77"/>
      <c r="W398" s="77"/>
      <c r="X398" s="77"/>
      <c r="Y398" s="77"/>
      <c r="Z398" s="77" t="s">
        <v>531</v>
      </c>
      <c r="AA398" s="77"/>
      <c r="AB398" s="77"/>
      <c r="AC398" s="81" t="s">
        <v>2701</v>
      </c>
      <c r="AD398" s="77" t="s">
        <v>2751</v>
      </c>
      <c r="AE398" s="80" t="str">
        <f>HYPERLINK("https://twitter.com/jcbisaak/status/519737371508490240")</f>
        <v>https://twitter.com/jcbisaak/status/519737371508490240</v>
      </c>
      <c r="AF398" s="79">
        <v>41920.27337962963</v>
      </c>
      <c r="AG398" s="85">
        <v>41920</v>
      </c>
      <c r="AH398" s="81" t="s">
        <v>3080</v>
      </c>
      <c r="AI398" s="77"/>
      <c r="AJ398" s="77"/>
      <c r="AK398" s="77"/>
      <c r="AL398" s="77"/>
      <c r="AM398" s="77"/>
      <c r="AN398" s="77"/>
      <c r="AO398" s="77"/>
      <c r="AP398" s="77"/>
      <c r="AQ398" s="77"/>
      <c r="AR398" s="77"/>
      <c r="AS398" s="77"/>
      <c r="AT398" s="77"/>
      <c r="AU398" s="77"/>
      <c r="AV398" s="80" t="str">
        <f>HYPERLINK("https://pbs.twimg.com/profile_images/1561508418644430848/HgL79EuP_normal.jpg")</f>
        <v>https://pbs.twimg.com/profile_images/1561508418644430848/HgL79EuP_normal.jpg</v>
      </c>
      <c r="AW398" s="81" t="s">
        <v>4826</v>
      </c>
      <c r="AX398" s="81" t="s">
        <v>5710</v>
      </c>
      <c r="AY398" s="81" t="s">
        <v>5762</v>
      </c>
      <c r="AZ398" s="81" t="s">
        <v>5782</v>
      </c>
      <c r="BA398" s="81" t="s">
        <v>5773</v>
      </c>
      <c r="BB398" s="81" t="s">
        <v>5773</v>
      </c>
      <c r="BC398" s="81" t="s">
        <v>5782</v>
      </c>
      <c r="BD398" s="77">
        <v>895937264</v>
      </c>
      <c r="BE398" s="77"/>
      <c r="BF398" s="77"/>
      <c r="BG398" s="77"/>
      <c r="BH398" s="77"/>
      <c r="BI398" s="77"/>
    </row>
    <row r="399" spans="1:61" ht="15">
      <c r="A399" s="62" t="s">
        <v>344</v>
      </c>
      <c r="B399" s="62" t="s">
        <v>344</v>
      </c>
      <c r="C399" s="63"/>
      <c r="D399" s="64"/>
      <c r="E399" s="65"/>
      <c r="F399" s="66"/>
      <c r="G399" s="63"/>
      <c r="H399" s="67"/>
      <c r="I399" s="68"/>
      <c r="J399" s="68"/>
      <c r="K399" s="32" t="s">
        <v>65</v>
      </c>
      <c r="L399" s="75">
        <v>399</v>
      </c>
      <c r="M399" s="75"/>
      <c r="N399" s="70"/>
      <c r="O399" s="77" t="s">
        <v>179</v>
      </c>
      <c r="P399" s="79">
        <v>43721.306863425925</v>
      </c>
      <c r="Q399" s="77" t="s">
        <v>891</v>
      </c>
      <c r="R399" s="77">
        <v>0</v>
      </c>
      <c r="S399" s="77">
        <v>0</v>
      </c>
      <c r="T399" s="77">
        <v>0</v>
      </c>
      <c r="U399" s="77">
        <v>0</v>
      </c>
      <c r="V399" s="77"/>
      <c r="W399" s="77"/>
      <c r="X399" s="77" t="s">
        <v>1962</v>
      </c>
      <c r="Y399" s="77" t="s">
        <v>2020</v>
      </c>
      <c r="Z399" s="77"/>
      <c r="AA399" s="77" t="s">
        <v>2211</v>
      </c>
      <c r="AB399" s="77" t="s">
        <v>2696</v>
      </c>
      <c r="AC399" s="81" t="s">
        <v>2733</v>
      </c>
      <c r="AD399" s="77" t="s">
        <v>2751</v>
      </c>
      <c r="AE399" s="80" t="str">
        <f>HYPERLINK("https://twitter.com/bizoforceinc/status/1172410050641461249")</f>
        <v>https://twitter.com/bizoforceinc/status/1172410050641461249</v>
      </c>
      <c r="AF399" s="79">
        <v>43721.306863425925</v>
      </c>
      <c r="AG399" s="85">
        <v>43721</v>
      </c>
      <c r="AH399" s="81" t="s">
        <v>3081</v>
      </c>
      <c r="AI399" s="77" t="b">
        <v>0</v>
      </c>
      <c r="AJ399" s="77"/>
      <c r="AK399" s="77"/>
      <c r="AL399" s="77"/>
      <c r="AM399" s="77"/>
      <c r="AN399" s="77"/>
      <c r="AO399" s="77"/>
      <c r="AP399" s="77"/>
      <c r="AQ399" s="77" t="s">
        <v>4028</v>
      </c>
      <c r="AR399" s="77"/>
      <c r="AS399" s="77"/>
      <c r="AT399" s="77"/>
      <c r="AU399" s="77"/>
      <c r="AV399" s="80" t="str">
        <f>HYPERLINK("https://pbs.twimg.com/media/EEU8ul5UUAEfsiR.png")</f>
        <v>https://pbs.twimg.com/media/EEU8ul5UUAEfsiR.png</v>
      </c>
      <c r="AW399" s="81" t="s">
        <v>4827</v>
      </c>
      <c r="AX399" s="81" t="s">
        <v>4827</v>
      </c>
      <c r="AY399" s="77"/>
      <c r="AZ399" s="81" t="s">
        <v>5773</v>
      </c>
      <c r="BA399" s="81" t="s">
        <v>5773</v>
      </c>
      <c r="BB399" s="81" t="s">
        <v>5773</v>
      </c>
      <c r="BC399" s="81" t="s">
        <v>4827</v>
      </c>
      <c r="BD399" s="77">
        <v>3180433092</v>
      </c>
      <c r="BE399" s="77"/>
      <c r="BF399" s="77"/>
      <c r="BG399" s="77"/>
      <c r="BH399" s="77"/>
      <c r="BI399" s="77"/>
    </row>
    <row r="400" spans="1:61" ht="15">
      <c r="A400" s="62" t="s">
        <v>345</v>
      </c>
      <c r="B400" s="62" t="s">
        <v>345</v>
      </c>
      <c r="C400" s="63"/>
      <c r="D400" s="64"/>
      <c r="E400" s="65"/>
      <c r="F400" s="66"/>
      <c r="G400" s="63"/>
      <c r="H400" s="67"/>
      <c r="I400" s="68"/>
      <c r="J400" s="68"/>
      <c r="K400" s="32" t="s">
        <v>65</v>
      </c>
      <c r="L400" s="75">
        <v>400</v>
      </c>
      <c r="M400" s="75"/>
      <c r="N400" s="70"/>
      <c r="O400" s="77" t="s">
        <v>179</v>
      </c>
      <c r="P400" s="79">
        <v>43833.397372685184</v>
      </c>
      <c r="Q400" s="77" t="s">
        <v>892</v>
      </c>
      <c r="R400" s="77">
        <v>0</v>
      </c>
      <c r="S400" s="77">
        <v>0</v>
      </c>
      <c r="T400" s="77">
        <v>0</v>
      </c>
      <c r="U400" s="77">
        <v>0</v>
      </c>
      <c r="V400" s="77"/>
      <c r="W400" s="77"/>
      <c r="X400" s="80" t="str">
        <f>HYPERLINK("https://careerjobs.co.in/inovies-consulting-walk-in-for-php-codeigniter/")</f>
        <v>https://careerjobs.co.in/inovies-consulting-walk-in-for-php-codeigniter/</v>
      </c>
      <c r="Y400" s="77" t="s">
        <v>2021</v>
      </c>
      <c r="Z400" s="77"/>
      <c r="AA400" s="77" t="s">
        <v>2212</v>
      </c>
      <c r="AB400" s="77" t="s">
        <v>2696</v>
      </c>
      <c r="AC400" s="81" t="s">
        <v>2720</v>
      </c>
      <c r="AD400" s="77" t="s">
        <v>2751</v>
      </c>
      <c r="AE400" s="80" t="str">
        <f>HYPERLINK("https://twitter.com/rafi1227/status/1213030292048547841")</f>
        <v>https://twitter.com/rafi1227/status/1213030292048547841</v>
      </c>
      <c r="AF400" s="79">
        <v>43833.397372685184</v>
      </c>
      <c r="AG400" s="85">
        <v>43833</v>
      </c>
      <c r="AH400" s="81" t="s">
        <v>3082</v>
      </c>
      <c r="AI400" s="77" t="b">
        <v>0</v>
      </c>
      <c r="AJ400" s="77"/>
      <c r="AK400" s="77"/>
      <c r="AL400" s="77"/>
      <c r="AM400" s="77"/>
      <c r="AN400" s="77"/>
      <c r="AO400" s="77"/>
      <c r="AP400" s="77"/>
      <c r="AQ400" s="77" t="s">
        <v>4029</v>
      </c>
      <c r="AR400" s="77"/>
      <c r="AS400" s="77"/>
      <c r="AT400" s="77"/>
      <c r="AU400" s="77"/>
      <c r="AV400" s="80" t="str">
        <f>HYPERLINK("https://pbs.twimg.com/media/ENWMn0jXkAESZs6.png")</f>
        <v>https://pbs.twimg.com/media/ENWMn0jXkAESZs6.png</v>
      </c>
      <c r="AW400" s="81" t="s">
        <v>4828</v>
      </c>
      <c r="AX400" s="81" t="s">
        <v>4828</v>
      </c>
      <c r="AY400" s="77"/>
      <c r="AZ400" s="81" t="s">
        <v>5773</v>
      </c>
      <c r="BA400" s="81" t="s">
        <v>5773</v>
      </c>
      <c r="BB400" s="81" t="s">
        <v>5773</v>
      </c>
      <c r="BC400" s="81" t="s">
        <v>4828</v>
      </c>
      <c r="BD400" s="77">
        <v>314646020</v>
      </c>
      <c r="BE400" s="77"/>
      <c r="BF400" s="77"/>
      <c r="BG400" s="77"/>
      <c r="BH400" s="77"/>
      <c r="BI400" s="77"/>
    </row>
    <row r="401" spans="1:61" ht="15">
      <c r="A401" s="62" t="s">
        <v>346</v>
      </c>
      <c r="B401" s="62" t="s">
        <v>299</v>
      </c>
      <c r="C401" s="63"/>
      <c r="D401" s="64"/>
      <c r="E401" s="65"/>
      <c r="F401" s="66"/>
      <c r="G401" s="63"/>
      <c r="H401" s="67"/>
      <c r="I401" s="68"/>
      <c r="J401" s="68"/>
      <c r="K401" s="32" t="s">
        <v>65</v>
      </c>
      <c r="L401" s="75">
        <v>401</v>
      </c>
      <c r="M401" s="75"/>
      <c r="N401" s="70"/>
      <c r="O401" s="77" t="s">
        <v>571</v>
      </c>
      <c r="P401" s="79">
        <v>42956.32761574074</v>
      </c>
      <c r="Q401" s="77" t="s">
        <v>893</v>
      </c>
      <c r="R401" s="77">
        <v>0</v>
      </c>
      <c r="S401" s="77">
        <v>0</v>
      </c>
      <c r="T401" s="77">
        <v>0</v>
      </c>
      <c r="U401" s="77">
        <v>0</v>
      </c>
      <c r="V401" s="77"/>
      <c r="W401" s="77"/>
      <c r="X401" s="80" t="str">
        <f>HYPERLINK("http://smarturl.it/mh9e52")</f>
        <v>http://smarturl.it/mh9e52</v>
      </c>
      <c r="Y401" s="77" t="s">
        <v>2015</v>
      </c>
      <c r="Z401" s="77" t="s">
        <v>299</v>
      </c>
      <c r="AA401" s="77"/>
      <c r="AB401" s="77"/>
      <c r="AC401" s="81" t="s">
        <v>2711</v>
      </c>
      <c r="AD401" s="77" t="s">
        <v>2751</v>
      </c>
      <c r="AE401" s="80" t="str">
        <f>HYPERLINK("https://twitter.com/tsm_b2b/status/895190857711857664")</f>
        <v>https://twitter.com/tsm_b2b/status/895190857711857664</v>
      </c>
      <c r="AF401" s="79">
        <v>42956.32761574074</v>
      </c>
      <c r="AG401" s="85">
        <v>42956</v>
      </c>
      <c r="AH401" s="81" t="s">
        <v>3083</v>
      </c>
      <c r="AI401" s="77" t="b">
        <v>0</v>
      </c>
      <c r="AJ401" s="77"/>
      <c r="AK401" s="77"/>
      <c r="AL401" s="77"/>
      <c r="AM401" s="77"/>
      <c r="AN401" s="77"/>
      <c r="AO401" s="77"/>
      <c r="AP401" s="77"/>
      <c r="AQ401" s="77"/>
      <c r="AR401" s="77"/>
      <c r="AS401" s="77"/>
      <c r="AT401" s="77"/>
      <c r="AU401" s="77"/>
      <c r="AV401" s="80" t="str">
        <f>HYPERLINK("https://pbs.twimg.com/profile_images/668861680198160385/2RDdhaG2_normal.png")</f>
        <v>https://pbs.twimg.com/profile_images/668861680198160385/2RDdhaG2_normal.png</v>
      </c>
      <c r="AW401" s="81" t="s">
        <v>4829</v>
      </c>
      <c r="AX401" s="81" t="s">
        <v>4829</v>
      </c>
      <c r="AY401" s="81" t="s">
        <v>5721</v>
      </c>
      <c r="AZ401" s="81" t="s">
        <v>5773</v>
      </c>
      <c r="BA401" s="81" t="s">
        <v>5773</v>
      </c>
      <c r="BB401" s="81" t="s">
        <v>5773</v>
      </c>
      <c r="BC401" s="81" t="s">
        <v>4829</v>
      </c>
      <c r="BD401" s="77">
        <v>441970965</v>
      </c>
      <c r="BE401" s="77"/>
      <c r="BF401" s="77"/>
      <c r="BG401" s="77"/>
      <c r="BH401" s="77"/>
      <c r="BI401" s="77"/>
    </row>
    <row r="402" spans="1:61" ht="15">
      <c r="A402" s="62" t="s">
        <v>347</v>
      </c>
      <c r="B402" s="62" t="s">
        <v>347</v>
      </c>
      <c r="C402" s="63"/>
      <c r="D402" s="64"/>
      <c r="E402" s="65"/>
      <c r="F402" s="66"/>
      <c r="G402" s="63"/>
      <c r="H402" s="67"/>
      <c r="I402" s="68"/>
      <c r="J402" s="68"/>
      <c r="K402" s="32" t="s">
        <v>65</v>
      </c>
      <c r="L402" s="75">
        <v>402</v>
      </c>
      <c r="M402" s="75"/>
      <c r="N402" s="70"/>
      <c r="O402" s="77" t="s">
        <v>179</v>
      </c>
      <c r="P402" s="79">
        <v>40686.56317129629</v>
      </c>
      <c r="Q402" s="77" t="s">
        <v>894</v>
      </c>
      <c r="R402" s="77">
        <v>0</v>
      </c>
      <c r="S402" s="77">
        <v>0</v>
      </c>
      <c r="T402" s="77">
        <v>0</v>
      </c>
      <c r="U402" s="77">
        <v>0</v>
      </c>
      <c r="V402" s="77"/>
      <c r="W402" s="81" t="s">
        <v>1797</v>
      </c>
      <c r="X402" s="77"/>
      <c r="Y402" s="77"/>
      <c r="Z402" s="77"/>
      <c r="AA402" s="77"/>
      <c r="AB402" s="77"/>
      <c r="AC402" s="81" t="s">
        <v>2722</v>
      </c>
      <c r="AD402" s="77" t="s">
        <v>2751</v>
      </c>
      <c r="AE402" s="80" t="str">
        <f>HYPERLINK("https://twitter.com/india_jobsearch/status/72655763717369856")</f>
        <v>https://twitter.com/india_jobsearch/status/72655763717369856</v>
      </c>
      <c r="AF402" s="79">
        <v>40686.56317129629</v>
      </c>
      <c r="AG402" s="85">
        <v>40686</v>
      </c>
      <c r="AH402" s="81" t="s">
        <v>3084</v>
      </c>
      <c r="AI402" s="77"/>
      <c r="AJ402" s="77"/>
      <c r="AK402" s="77"/>
      <c r="AL402" s="77"/>
      <c r="AM402" s="77"/>
      <c r="AN402" s="77"/>
      <c r="AO402" s="77"/>
      <c r="AP402" s="77"/>
      <c r="AQ402" s="77"/>
      <c r="AR402" s="77"/>
      <c r="AS402" s="77"/>
      <c r="AT402" s="77"/>
      <c r="AU402" s="77"/>
      <c r="AV402" s="80" t="str">
        <f>HYPERLINK("https://pbs.twimg.com/profile_images/1078411003/in-lgflag_normal.gif")</f>
        <v>https://pbs.twimg.com/profile_images/1078411003/in-lgflag_normal.gif</v>
      </c>
      <c r="AW402" s="81" t="s">
        <v>4830</v>
      </c>
      <c r="AX402" s="81" t="s">
        <v>4830</v>
      </c>
      <c r="AY402" s="77"/>
      <c r="AZ402" s="81" t="s">
        <v>5773</v>
      </c>
      <c r="BA402" s="81" t="s">
        <v>5773</v>
      </c>
      <c r="BB402" s="81" t="s">
        <v>5773</v>
      </c>
      <c r="BC402" s="81" t="s">
        <v>4830</v>
      </c>
      <c r="BD402" s="77">
        <v>166704598</v>
      </c>
      <c r="BE402" s="77"/>
      <c r="BF402" s="77"/>
      <c r="BG402" s="77"/>
      <c r="BH402" s="77"/>
      <c r="BI402" s="77"/>
    </row>
    <row r="403" spans="1:61" ht="15">
      <c r="A403" s="62" t="s">
        <v>347</v>
      </c>
      <c r="B403" s="62" t="s">
        <v>347</v>
      </c>
      <c r="C403" s="63"/>
      <c r="D403" s="64"/>
      <c r="E403" s="65"/>
      <c r="F403" s="66"/>
      <c r="G403" s="63"/>
      <c r="H403" s="67"/>
      <c r="I403" s="68"/>
      <c r="J403" s="68"/>
      <c r="K403" s="32" t="s">
        <v>65</v>
      </c>
      <c r="L403" s="75">
        <v>403</v>
      </c>
      <c r="M403" s="75"/>
      <c r="N403" s="70"/>
      <c r="O403" s="77" t="s">
        <v>179</v>
      </c>
      <c r="P403" s="79">
        <v>40720.70040509259</v>
      </c>
      <c r="Q403" s="77" t="s">
        <v>895</v>
      </c>
      <c r="R403" s="77">
        <v>0</v>
      </c>
      <c r="S403" s="77">
        <v>0</v>
      </c>
      <c r="T403" s="77">
        <v>0</v>
      </c>
      <c r="U403" s="77">
        <v>0</v>
      </c>
      <c r="V403" s="77"/>
      <c r="W403" s="81" t="s">
        <v>1797</v>
      </c>
      <c r="X403" s="77"/>
      <c r="Y403" s="77"/>
      <c r="Z403" s="77"/>
      <c r="AA403" s="77"/>
      <c r="AB403" s="77"/>
      <c r="AC403" s="81" t="s">
        <v>2722</v>
      </c>
      <c r="AD403" s="77" t="s">
        <v>2751</v>
      </c>
      <c r="AE403" s="80" t="str">
        <f>HYPERLINK("https://twitter.com/india_jobsearch/status/85026680774733824")</f>
        <v>https://twitter.com/india_jobsearch/status/85026680774733824</v>
      </c>
      <c r="AF403" s="79">
        <v>40720.70040509259</v>
      </c>
      <c r="AG403" s="85">
        <v>40720</v>
      </c>
      <c r="AH403" s="81" t="s">
        <v>3085</v>
      </c>
      <c r="AI403" s="77"/>
      <c r="AJ403" s="77"/>
      <c r="AK403" s="77"/>
      <c r="AL403" s="77"/>
      <c r="AM403" s="77"/>
      <c r="AN403" s="77"/>
      <c r="AO403" s="77"/>
      <c r="AP403" s="77"/>
      <c r="AQ403" s="77"/>
      <c r="AR403" s="77"/>
      <c r="AS403" s="77"/>
      <c r="AT403" s="77"/>
      <c r="AU403" s="77"/>
      <c r="AV403" s="80" t="str">
        <f>HYPERLINK("https://pbs.twimg.com/profile_images/1078411003/in-lgflag_normal.gif")</f>
        <v>https://pbs.twimg.com/profile_images/1078411003/in-lgflag_normal.gif</v>
      </c>
      <c r="AW403" s="81" t="s">
        <v>4831</v>
      </c>
      <c r="AX403" s="81" t="s">
        <v>4831</v>
      </c>
      <c r="AY403" s="77"/>
      <c r="AZ403" s="81" t="s">
        <v>5773</v>
      </c>
      <c r="BA403" s="81" t="s">
        <v>5773</v>
      </c>
      <c r="BB403" s="81" t="s">
        <v>5773</v>
      </c>
      <c r="BC403" s="81" t="s">
        <v>4831</v>
      </c>
      <c r="BD403" s="77">
        <v>166704598</v>
      </c>
      <c r="BE403" s="77"/>
      <c r="BF403" s="77"/>
      <c r="BG403" s="77"/>
      <c r="BH403" s="77"/>
      <c r="BI403" s="77"/>
    </row>
    <row r="404" spans="1:61" ht="15">
      <c r="A404" s="62" t="s">
        <v>347</v>
      </c>
      <c r="B404" s="62" t="s">
        <v>347</v>
      </c>
      <c r="C404" s="63"/>
      <c r="D404" s="64"/>
      <c r="E404" s="65"/>
      <c r="F404" s="66"/>
      <c r="G404" s="63"/>
      <c r="H404" s="67"/>
      <c r="I404" s="68"/>
      <c r="J404" s="68"/>
      <c r="K404" s="32" t="s">
        <v>65</v>
      </c>
      <c r="L404" s="75">
        <v>404</v>
      </c>
      <c r="M404" s="75"/>
      <c r="N404" s="70"/>
      <c r="O404" s="77" t="s">
        <v>179</v>
      </c>
      <c r="P404" s="79">
        <v>40715.90520833333</v>
      </c>
      <c r="Q404" s="77" t="s">
        <v>896</v>
      </c>
      <c r="R404" s="77">
        <v>0</v>
      </c>
      <c r="S404" s="77">
        <v>0</v>
      </c>
      <c r="T404" s="77">
        <v>0</v>
      </c>
      <c r="U404" s="77">
        <v>0</v>
      </c>
      <c r="V404" s="77"/>
      <c r="W404" s="81" t="s">
        <v>1797</v>
      </c>
      <c r="X404" s="77"/>
      <c r="Y404" s="77"/>
      <c r="Z404" s="77"/>
      <c r="AA404" s="77"/>
      <c r="AB404" s="77"/>
      <c r="AC404" s="81" t="s">
        <v>2722</v>
      </c>
      <c r="AD404" s="77" t="s">
        <v>2751</v>
      </c>
      <c r="AE404" s="80" t="str">
        <f>HYPERLINK("https://twitter.com/india_jobsearch/status/83288962965315584")</f>
        <v>https://twitter.com/india_jobsearch/status/83288962965315584</v>
      </c>
      <c r="AF404" s="79">
        <v>40715.90520833333</v>
      </c>
      <c r="AG404" s="85">
        <v>40715</v>
      </c>
      <c r="AH404" s="81" t="s">
        <v>3086</v>
      </c>
      <c r="AI404" s="77"/>
      <c r="AJ404" s="77"/>
      <c r="AK404" s="77"/>
      <c r="AL404" s="77"/>
      <c r="AM404" s="77"/>
      <c r="AN404" s="77"/>
      <c r="AO404" s="77"/>
      <c r="AP404" s="77"/>
      <c r="AQ404" s="77"/>
      <c r="AR404" s="77"/>
      <c r="AS404" s="77"/>
      <c r="AT404" s="77"/>
      <c r="AU404" s="77"/>
      <c r="AV404" s="80" t="str">
        <f>HYPERLINK("https://pbs.twimg.com/profile_images/1078411003/in-lgflag_normal.gif")</f>
        <v>https://pbs.twimg.com/profile_images/1078411003/in-lgflag_normal.gif</v>
      </c>
      <c r="AW404" s="81" t="s">
        <v>4832</v>
      </c>
      <c r="AX404" s="81" t="s">
        <v>4832</v>
      </c>
      <c r="AY404" s="77"/>
      <c r="AZ404" s="81" t="s">
        <v>5773</v>
      </c>
      <c r="BA404" s="81" t="s">
        <v>5773</v>
      </c>
      <c r="BB404" s="81" t="s">
        <v>5773</v>
      </c>
      <c r="BC404" s="81" t="s">
        <v>4832</v>
      </c>
      <c r="BD404" s="77">
        <v>166704598</v>
      </c>
      <c r="BE404" s="77"/>
      <c r="BF404" s="77"/>
      <c r="BG404" s="77"/>
      <c r="BH404" s="77"/>
      <c r="BI404" s="77"/>
    </row>
    <row r="405" spans="1:61" ht="15">
      <c r="A405" s="62" t="s">
        <v>347</v>
      </c>
      <c r="B405" s="62" t="s">
        <v>347</v>
      </c>
      <c r="C405" s="63"/>
      <c r="D405" s="64"/>
      <c r="E405" s="65"/>
      <c r="F405" s="66"/>
      <c r="G405" s="63"/>
      <c r="H405" s="67"/>
      <c r="I405" s="68"/>
      <c r="J405" s="68"/>
      <c r="K405" s="32" t="s">
        <v>65</v>
      </c>
      <c r="L405" s="75">
        <v>405</v>
      </c>
      <c r="M405" s="75"/>
      <c r="N405" s="70"/>
      <c r="O405" s="77" t="s">
        <v>179</v>
      </c>
      <c r="P405" s="79">
        <v>40712.86518518518</v>
      </c>
      <c r="Q405" s="77" t="s">
        <v>897</v>
      </c>
      <c r="R405" s="77">
        <v>0</v>
      </c>
      <c r="S405" s="77">
        <v>0</v>
      </c>
      <c r="T405" s="77">
        <v>0</v>
      </c>
      <c r="U405" s="77">
        <v>0</v>
      </c>
      <c r="V405" s="77"/>
      <c r="W405" s="81" t="s">
        <v>1798</v>
      </c>
      <c r="X405" s="77"/>
      <c r="Y405" s="77"/>
      <c r="Z405" s="77"/>
      <c r="AA405" s="77"/>
      <c r="AB405" s="77"/>
      <c r="AC405" s="81" t="s">
        <v>2722</v>
      </c>
      <c r="AD405" s="77" t="s">
        <v>2751</v>
      </c>
      <c r="AE405" s="80" t="str">
        <f>HYPERLINK("https://twitter.com/india_jobsearch/status/82187294517370880")</f>
        <v>https://twitter.com/india_jobsearch/status/82187294517370880</v>
      </c>
      <c r="AF405" s="79">
        <v>40712.86518518518</v>
      </c>
      <c r="AG405" s="85">
        <v>40712</v>
      </c>
      <c r="AH405" s="81" t="s">
        <v>3087</v>
      </c>
      <c r="AI405" s="77"/>
      <c r="AJ405" s="77"/>
      <c r="AK405" s="77"/>
      <c r="AL405" s="77"/>
      <c r="AM405" s="77"/>
      <c r="AN405" s="77"/>
      <c r="AO405" s="77"/>
      <c r="AP405" s="77"/>
      <c r="AQ405" s="77"/>
      <c r="AR405" s="77"/>
      <c r="AS405" s="77"/>
      <c r="AT405" s="77"/>
      <c r="AU405" s="77"/>
      <c r="AV405" s="80" t="str">
        <f>HYPERLINK("https://pbs.twimg.com/profile_images/1078411003/in-lgflag_normal.gif")</f>
        <v>https://pbs.twimg.com/profile_images/1078411003/in-lgflag_normal.gif</v>
      </c>
      <c r="AW405" s="81" t="s">
        <v>4833</v>
      </c>
      <c r="AX405" s="81" t="s">
        <v>4833</v>
      </c>
      <c r="AY405" s="77"/>
      <c r="AZ405" s="81" t="s">
        <v>5773</v>
      </c>
      <c r="BA405" s="81" t="s">
        <v>5773</v>
      </c>
      <c r="BB405" s="81" t="s">
        <v>5773</v>
      </c>
      <c r="BC405" s="81" t="s">
        <v>4833</v>
      </c>
      <c r="BD405" s="77">
        <v>166704598</v>
      </c>
      <c r="BE405" s="77"/>
      <c r="BF405" s="77"/>
      <c r="BG405" s="77"/>
      <c r="BH405" s="77"/>
      <c r="BI405" s="77"/>
    </row>
    <row r="406" spans="1:61" ht="15">
      <c r="A406" s="62" t="s">
        <v>347</v>
      </c>
      <c r="B406" s="62" t="s">
        <v>347</v>
      </c>
      <c r="C406" s="63"/>
      <c r="D406" s="64"/>
      <c r="E406" s="65"/>
      <c r="F406" s="66"/>
      <c r="G406" s="63"/>
      <c r="H406" s="67"/>
      <c r="I406" s="68"/>
      <c r="J406" s="68"/>
      <c r="K406" s="32" t="s">
        <v>65</v>
      </c>
      <c r="L406" s="75">
        <v>406</v>
      </c>
      <c r="M406" s="75"/>
      <c r="N406" s="70"/>
      <c r="O406" s="77" t="s">
        <v>179</v>
      </c>
      <c r="P406" s="79">
        <v>40666.40511574074</v>
      </c>
      <c r="Q406" s="77" t="s">
        <v>898</v>
      </c>
      <c r="R406" s="77">
        <v>0</v>
      </c>
      <c r="S406" s="77">
        <v>0</v>
      </c>
      <c r="T406" s="77">
        <v>0</v>
      </c>
      <c r="U406" s="77">
        <v>0</v>
      </c>
      <c r="V406" s="77"/>
      <c r="W406" s="81" t="s">
        <v>1797</v>
      </c>
      <c r="X406" s="77"/>
      <c r="Y406" s="77"/>
      <c r="Z406" s="77"/>
      <c r="AA406" s="77"/>
      <c r="AB406" s="77"/>
      <c r="AC406" s="81" t="s">
        <v>2722</v>
      </c>
      <c r="AD406" s="77" t="s">
        <v>2751</v>
      </c>
      <c r="AE406" s="80" t="str">
        <f>HYPERLINK("https://twitter.com/india_jobsearch/status/65350729249996800")</f>
        <v>https://twitter.com/india_jobsearch/status/65350729249996800</v>
      </c>
      <c r="AF406" s="79">
        <v>40666.40511574074</v>
      </c>
      <c r="AG406" s="85">
        <v>40666</v>
      </c>
      <c r="AH406" s="81" t="s">
        <v>3088</v>
      </c>
      <c r="AI406" s="77"/>
      <c r="AJ406" s="77"/>
      <c r="AK406" s="77"/>
      <c r="AL406" s="77"/>
      <c r="AM406" s="77"/>
      <c r="AN406" s="77"/>
      <c r="AO406" s="77"/>
      <c r="AP406" s="77"/>
      <c r="AQ406" s="77"/>
      <c r="AR406" s="77"/>
      <c r="AS406" s="77"/>
      <c r="AT406" s="77"/>
      <c r="AU406" s="77"/>
      <c r="AV406" s="80" t="str">
        <f>HYPERLINK("https://pbs.twimg.com/profile_images/1078411003/in-lgflag_normal.gif")</f>
        <v>https://pbs.twimg.com/profile_images/1078411003/in-lgflag_normal.gif</v>
      </c>
      <c r="AW406" s="81" t="s">
        <v>4834</v>
      </c>
      <c r="AX406" s="81" t="s">
        <v>4834</v>
      </c>
      <c r="AY406" s="77"/>
      <c r="AZ406" s="81" t="s">
        <v>5773</v>
      </c>
      <c r="BA406" s="81" t="s">
        <v>5773</v>
      </c>
      <c r="BB406" s="81" t="s">
        <v>5773</v>
      </c>
      <c r="BC406" s="81" t="s">
        <v>4834</v>
      </c>
      <c r="BD406" s="77">
        <v>166704598</v>
      </c>
      <c r="BE406" s="77"/>
      <c r="BF406" s="77"/>
      <c r="BG406" s="77"/>
      <c r="BH406" s="77"/>
      <c r="BI406" s="77"/>
    </row>
    <row r="407" spans="1:61" ht="15">
      <c r="A407" s="62" t="s">
        <v>347</v>
      </c>
      <c r="B407" s="62" t="s">
        <v>347</v>
      </c>
      <c r="C407" s="63"/>
      <c r="D407" s="64"/>
      <c r="E407" s="65"/>
      <c r="F407" s="66"/>
      <c r="G407" s="63"/>
      <c r="H407" s="67"/>
      <c r="I407" s="68"/>
      <c r="J407" s="68"/>
      <c r="K407" s="32" t="s">
        <v>65</v>
      </c>
      <c r="L407" s="75">
        <v>407</v>
      </c>
      <c r="M407" s="75"/>
      <c r="N407" s="70"/>
      <c r="O407" s="77" t="s">
        <v>179</v>
      </c>
      <c r="P407" s="79">
        <v>41180.445185185185</v>
      </c>
      <c r="Q407" s="77" t="s">
        <v>899</v>
      </c>
      <c r="R407" s="77">
        <v>0</v>
      </c>
      <c r="S407" s="77">
        <v>0</v>
      </c>
      <c r="T407" s="77">
        <v>0</v>
      </c>
      <c r="U407" s="77">
        <v>0</v>
      </c>
      <c r="V407" s="77"/>
      <c r="W407" s="81" t="s">
        <v>1797</v>
      </c>
      <c r="X407" s="80" t="str">
        <f>HYPERLINK("http://bit.ly/SHmvYF")</f>
        <v>http://bit.ly/SHmvYF</v>
      </c>
      <c r="Y407" s="77" t="s">
        <v>1984</v>
      </c>
      <c r="Z407" s="77"/>
      <c r="AA407" s="77"/>
      <c r="AB407" s="77"/>
      <c r="AC407" s="81" t="s">
        <v>2722</v>
      </c>
      <c r="AD407" s="77" t="s">
        <v>2751</v>
      </c>
      <c r="AE407" s="80" t="str">
        <f>HYPERLINK("https://twitter.com/india_jobsearch/status/251632611351470080")</f>
        <v>https://twitter.com/india_jobsearch/status/251632611351470080</v>
      </c>
      <c r="AF407" s="79">
        <v>41180.445185185185</v>
      </c>
      <c r="AG407" s="85">
        <v>41180</v>
      </c>
      <c r="AH407" s="81" t="s">
        <v>3089</v>
      </c>
      <c r="AI407" s="77" t="b">
        <v>0</v>
      </c>
      <c r="AJ407" s="77"/>
      <c r="AK407" s="77"/>
      <c r="AL407" s="77"/>
      <c r="AM407" s="77"/>
      <c r="AN407" s="77"/>
      <c r="AO407" s="77"/>
      <c r="AP407" s="77"/>
      <c r="AQ407" s="77"/>
      <c r="AR407" s="77"/>
      <c r="AS407" s="77"/>
      <c r="AT407" s="77"/>
      <c r="AU407" s="77"/>
      <c r="AV407" s="80" t="str">
        <f>HYPERLINK("https://pbs.twimg.com/profile_images/1078411003/in-lgflag_normal.gif")</f>
        <v>https://pbs.twimg.com/profile_images/1078411003/in-lgflag_normal.gif</v>
      </c>
      <c r="AW407" s="81" t="s">
        <v>4835</v>
      </c>
      <c r="AX407" s="81" t="s">
        <v>4835</v>
      </c>
      <c r="AY407" s="77"/>
      <c r="AZ407" s="81" t="s">
        <v>5773</v>
      </c>
      <c r="BA407" s="81" t="s">
        <v>5773</v>
      </c>
      <c r="BB407" s="81" t="s">
        <v>5773</v>
      </c>
      <c r="BC407" s="81" t="s">
        <v>4835</v>
      </c>
      <c r="BD407" s="77">
        <v>166704598</v>
      </c>
      <c r="BE407" s="77"/>
      <c r="BF407" s="77"/>
      <c r="BG407" s="77"/>
      <c r="BH407" s="77"/>
      <c r="BI407" s="77"/>
    </row>
    <row r="408" spans="1:61" ht="15">
      <c r="A408" s="62" t="s">
        <v>348</v>
      </c>
      <c r="B408" s="62" t="s">
        <v>348</v>
      </c>
      <c r="C408" s="63"/>
      <c r="D408" s="64"/>
      <c r="E408" s="65"/>
      <c r="F408" s="66"/>
      <c r="G408" s="63"/>
      <c r="H408" s="67"/>
      <c r="I408" s="68"/>
      <c r="J408" s="68"/>
      <c r="K408" s="32" t="s">
        <v>65</v>
      </c>
      <c r="L408" s="75">
        <v>408</v>
      </c>
      <c r="M408" s="75"/>
      <c r="N408" s="70"/>
      <c r="O408" s="77" t="s">
        <v>179</v>
      </c>
      <c r="P408" s="79">
        <v>41866.76390046296</v>
      </c>
      <c r="Q408" s="77" t="s">
        <v>900</v>
      </c>
      <c r="R408" s="77">
        <v>0</v>
      </c>
      <c r="S408" s="77">
        <v>0</v>
      </c>
      <c r="T408" s="77">
        <v>0</v>
      </c>
      <c r="U408" s="77">
        <v>0</v>
      </c>
      <c r="V408" s="77"/>
      <c r="W408" s="77"/>
      <c r="X408" s="80" t="str">
        <f>HYPERLINK("http://fb.me/32GHeueoF")</f>
        <v>http://fb.me/32GHeueoF</v>
      </c>
      <c r="Y408" s="77" t="s">
        <v>1988</v>
      </c>
      <c r="Z408" s="77"/>
      <c r="AA408" s="77"/>
      <c r="AB408" s="77"/>
      <c r="AC408" s="81" t="s">
        <v>2716</v>
      </c>
      <c r="AD408" s="77" t="s">
        <v>2751</v>
      </c>
      <c r="AE408" s="80" t="str">
        <f>HYPERLINK("https://twitter.com/freshjobupdates/status/500346188055343105")</f>
        <v>https://twitter.com/freshjobupdates/status/500346188055343105</v>
      </c>
      <c r="AF408" s="79">
        <v>41866.76390046296</v>
      </c>
      <c r="AG408" s="85">
        <v>41866</v>
      </c>
      <c r="AH408" s="81" t="s">
        <v>3090</v>
      </c>
      <c r="AI408" s="77" t="b">
        <v>0</v>
      </c>
      <c r="AJ408" s="77"/>
      <c r="AK408" s="77"/>
      <c r="AL408" s="77"/>
      <c r="AM408" s="77"/>
      <c r="AN408" s="77"/>
      <c r="AO408" s="77"/>
      <c r="AP408" s="77"/>
      <c r="AQ408" s="77"/>
      <c r="AR408" s="77"/>
      <c r="AS408" s="77"/>
      <c r="AT408" s="77"/>
      <c r="AU408" s="77"/>
      <c r="AV408" s="80" t="str">
        <f>HYPERLINK("https://pbs.twimg.com/profile_images/2498235042/polmjsfg6w4xuehvuq3m_normal.jpeg")</f>
        <v>https://pbs.twimg.com/profile_images/2498235042/polmjsfg6w4xuehvuq3m_normal.jpeg</v>
      </c>
      <c r="AW408" s="81" t="s">
        <v>4836</v>
      </c>
      <c r="AX408" s="81" t="s">
        <v>4836</v>
      </c>
      <c r="AY408" s="77"/>
      <c r="AZ408" s="81" t="s">
        <v>5773</v>
      </c>
      <c r="BA408" s="81" t="s">
        <v>5773</v>
      </c>
      <c r="BB408" s="81" t="s">
        <v>5773</v>
      </c>
      <c r="BC408" s="81" t="s">
        <v>4836</v>
      </c>
      <c r="BD408" s="77">
        <v>751895010</v>
      </c>
      <c r="BE408" s="77"/>
      <c r="BF408" s="77"/>
      <c r="BG408" s="77"/>
      <c r="BH408" s="77"/>
      <c r="BI408" s="77"/>
    </row>
    <row r="409" spans="1:61" ht="15">
      <c r="A409" s="62" t="s">
        <v>348</v>
      </c>
      <c r="B409" s="62" t="s">
        <v>348</v>
      </c>
      <c r="C409" s="63"/>
      <c r="D409" s="64"/>
      <c r="E409" s="65"/>
      <c r="F409" s="66"/>
      <c r="G409" s="63"/>
      <c r="H409" s="67"/>
      <c r="I409" s="68"/>
      <c r="J409" s="68"/>
      <c r="K409" s="32" t="s">
        <v>65</v>
      </c>
      <c r="L409" s="75">
        <v>409</v>
      </c>
      <c r="M409" s="75"/>
      <c r="N409" s="70"/>
      <c r="O409" s="77" t="s">
        <v>179</v>
      </c>
      <c r="P409" s="79">
        <v>41866.343773148146</v>
      </c>
      <c r="Q409" s="77" t="s">
        <v>901</v>
      </c>
      <c r="R409" s="77">
        <v>0</v>
      </c>
      <c r="S409" s="77">
        <v>0</v>
      </c>
      <c r="T409" s="77">
        <v>0</v>
      </c>
      <c r="U409" s="77">
        <v>0</v>
      </c>
      <c r="V409" s="77"/>
      <c r="W409" s="77"/>
      <c r="X409" s="80" t="str">
        <f>HYPERLINK("http://fb.me/6AXbc6GRV")</f>
        <v>http://fb.me/6AXbc6GRV</v>
      </c>
      <c r="Y409" s="77" t="s">
        <v>1988</v>
      </c>
      <c r="Z409" s="77"/>
      <c r="AA409" s="77"/>
      <c r="AB409" s="77"/>
      <c r="AC409" s="81" t="s">
        <v>2716</v>
      </c>
      <c r="AD409" s="77" t="s">
        <v>2751</v>
      </c>
      <c r="AE409" s="80" t="str">
        <f>HYPERLINK("https://twitter.com/freshjobupdates/status/500193937756540928")</f>
        <v>https://twitter.com/freshjobupdates/status/500193937756540928</v>
      </c>
      <c r="AF409" s="79">
        <v>41866.343773148146</v>
      </c>
      <c r="AG409" s="85">
        <v>41866</v>
      </c>
      <c r="AH409" s="81" t="s">
        <v>3091</v>
      </c>
      <c r="AI409" s="77" t="b">
        <v>0</v>
      </c>
      <c r="AJ409" s="77"/>
      <c r="AK409" s="77"/>
      <c r="AL409" s="77"/>
      <c r="AM409" s="77"/>
      <c r="AN409" s="77"/>
      <c r="AO409" s="77"/>
      <c r="AP409" s="77"/>
      <c r="AQ409" s="77"/>
      <c r="AR409" s="77"/>
      <c r="AS409" s="77"/>
      <c r="AT409" s="77"/>
      <c r="AU409" s="77"/>
      <c r="AV409" s="80" t="str">
        <f>HYPERLINK("https://pbs.twimg.com/profile_images/2498235042/polmjsfg6w4xuehvuq3m_normal.jpeg")</f>
        <v>https://pbs.twimg.com/profile_images/2498235042/polmjsfg6w4xuehvuq3m_normal.jpeg</v>
      </c>
      <c r="AW409" s="81" t="s">
        <v>4837</v>
      </c>
      <c r="AX409" s="81" t="s">
        <v>4837</v>
      </c>
      <c r="AY409" s="77"/>
      <c r="AZ409" s="81" t="s">
        <v>5773</v>
      </c>
      <c r="BA409" s="81" t="s">
        <v>5773</v>
      </c>
      <c r="BB409" s="81" t="s">
        <v>5773</v>
      </c>
      <c r="BC409" s="81" t="s">
        <v>4837</v>
      </c>
      <c r="BD409" s="77">
        <v>751895010</v>
      </c>
      <c r="BE409" s="77"/>
      <c r="BF409" s="77"/>
      <c r="BG409" s="77"/>
      <c r="BH409" s="77"/>
      <c r="BI409" s="77"/>
    </row>
    <row r="410" spans="1:61" ht="15">
      <c r="A410" s="62" t="s">
        <v>261</v>
      </c>
      <c r="B410" s="62" t="s">
        <v>514</v>
      </c>
      <c r="C410" s="63"/>
      <c r="D410" s="64"/>
      <c r="E410" s="65"/>
      <c r="F410" s="66"/>
      <c r="G410" s="63"/>
      <c r="H410" s="67"/>
      <c r="I410" s="68"/>
      <c r="J410" s="68"/>
      <c r="K410" s="32" t="s">
        <v>65</v>
      </c>
      <c r="L410" s="75">
        <v>410</v>
      </c>
      <c r="M410" s="75"/>
      <c r="N410" s="70"/>
      <c r="O410" s="77" t="s">
        <v>571</v>
      </c>
      <c r="P410" s="79">
        <v>44048.45751157407</v>
      </c>
      <c r="Q410" s="77" t="s">
        <v>902</v>
      </c>
      <c r="R410" s="77">
        <v>0</v>
      </c>
      <c r="S410" s="77">
        <v>3</v>
      </c>
      <c r="T410" s="77">
        <v>2</v>
      </c>
      <c r="U410" s="77">
        <v>2</v>
      </c>
      <c r="V410" s="77"/>
      <c r="W410" s="81" t="s">
        <v>1799</v>
      </c>
      <c r="X410" s="80" t="str">
        <f>HYPERLINK("https://bit.ly/3fs59eV")</f>
        <v>https://bit.ly/3fs59eV</v>
      </c>
      <c r="Y410" s="77" t="s">
        <v>1984</v>
      </c>
      <c r="Z410" s="77" t="s">
        <v>2088</v>
      </c>
      <c r="AA410" s="77" t="s">
        <v>2213</v>
      </c>
      <c r="AB410" s="77" t="s">
        <v>2696</v>
      </c>
      <c r="AC410" s="81" t="s">
        <v>2707</v>
      </c>
      <c r="AD410" s="77" t="s">
        <v>2751</v>
      </c>
      <c r="AE410" s="80" t="str">
        <f>HYPERLINK("https://twitter.com/topdevelopersco/status/1290965478920208385")</f>
        <v>https://twitter.com/topdevelopersco/status/1290965478920208385</v>
      </c>
      <c r="AF410" s="79">
        <v>44048.45751157407</v>
      </c>
      <c r="AG410" s="85">
        <v>44048</v>
      </c>
      <c r="AH410" s="81" t="s">
        <v>3092</v>
      </c>
      <c r="AI410" s="77" t="b">
        <v>0</v>
      </c>
      <c r="AJ410" s="77"/>
      <c r="AK410" s="77"/>
      <c r="AL410" s="77"/>
      <c r="AM410" s="77"/>
      <c r="AN410" s="77"/>
      <c r="AO410" s="77"/>
      <c r="AP410" s="77"/>
      <c r="AQ410" s="77" t="s">
        <v>4030</v>
      </c>
      <c r="AR410" s="77"/>
      <c r="AS410" s="77"/>
      <c r="AT410" s="77"/>
      <c r="AU410" s="77"/>
      <c r="AV410" s="80" t="str">
        <f>HYPERLINK("https://pbs.twimg.com/media/EepuQKMUcAA5RXj.png")</f>
        <v>https://pbs.twimg.com/media/EepuQKMUcAA5RXj.png</v>
      </c>
      <c r="AW410" s="81" t="s">
        <v>4838</v>
      </c>
      <c r="AX410" s="81" t="s">
        <v>4838</v>
      </c>
      <c r="AY410" s="77"/>
      <c r="AZ410" s="81" t="s">
        <v>5773</v>
      </c>
      <c r="BA410" s="81" t="s">
        <v>5773</v>
      </c>
      <c r="BB410" s="81" t="s">
        <v>5773</v>
      </c>
      <c r="BC410" s="81" t="s">
        <v>4838</v>
      </c>
      <c r="BD410" s="81" t="s">
        <v>5763</v>
      </c>
      <c r="BE410" s="77"/>
      <c r="BF410" s="77"/>
      <c r="BG410" s="77"/>
      <c r="BH410" s="77"/>
      <c r="BI410" s="77"/>
    </row>
    <row r="411" spans="1:61" ht="15">
      <c r="A411" s="62" t="s">
        <v>349</v>
      </c>
      <c r="B411" s="62" t="s">
        <v>514</v>
      </c>
      <c r="C411" s="63"/>
      <c r="D411" s="64"/>
      <c r="E411" s="65"/>
      <c r="F411" s="66"/>
      <c r="G411" s="63"/>
      <c r="H411" s="67"/>
      <c r="I411" s="68"/>
      <c r="J411" s="68"/>
      <c r="K411" s="32" t="s">
        <v>65</v>
      </c>
      <c r="L411" s="75">
        <v>411</v>
      </c>
      <c r="M411" s="75"/>
      <c r="N411" s="70"/>
      <c r="O411" s="77" t="s">
        <v>573</v>
      </c>
      <c r="P411" s="79">
        <v>44057.004791666666</v>
      </c>
      <c r="Q411" s="77" t="s">
        <v>903</v>
      </c>
      <c r="R411" s="77">
        <v>0</v>
      </c>
      <c r="S411" s="77">
        <v>0</v>
      </c>
      <c r="T411" s="77">
        <v>0</v>
      </c>
      <c r="U411" s="77">
        <v>0</v>
      </c>
      <c r="V411" s="77"/>
      <c r="W411" s="77"/>
      <c r="X411" s="77"/>
      <c r="Y411" s="77"/>
      <c r="Z411" s="77" t="s">
        <v>2082</v>
      </c>
      <c r="AA411" s="77"/>
      <c r="AB411" s="77"/>
      <c r="AC411" s="81" t="s">
        <v>2707</v>
      </c>
      <c r="AD411" s="77" t="s">
        <v>2751</v>
      </c>
      <c r="AE411" s="80" t="str">
        <f>HYPERLINK("https://twitter.com/thriveagency/status/1294062908041605120")</f>
        <v>https://twitter.com/thriveagency/status/1294062908041605120</v>
      </c>
      <c r="AF411" s="79">
        <v>44057.004791666666</v>
      </c>
      <c r="AG411" s="85">
        <v>44057</v>
      </c>
      <c r="AH411" s="81" t="s">
        <v>3093</v>
      </c>
      <c r="AI411" s="77"/>
      <c r="AJ411" s="77"/>
      <c r="AK411" s="77"/>
      <c r="AL411" s="77"/>
      <c r="AM411" s="77"/>
      <c r="AN411" s="77"/>
      <c r="AO411" s="77"/>
      <c r="AP411" s="77"/>
      <c r="AQ411" s="77"/>
      <c r="AR411" s="77"/>
      <c r="AS411" s="77"/>
      <c r="AT411" s="77"/>
      <c r="AU411" s="77"/>
      <c r="AV411" s="80" t="str">
        <f>HYPERLINK("https://pbs.twimg.com/profile_images/1296790366083899392/evocoOcC_normal.jpg")</f>
        <v>https://pbs.twimg.com/profile_images/1296790366083899392/evocoOcC_normal.jpg</v>
      </c>
      <c r="AW411" s="81" t="s">
        <v>4839</v>
      </c>
      <c r="AX411" s="81" t="s">
        <v>4838</v>
      </c>
      <c r="AY411" s="81" t="s">
        <v>5763</v>
      </c>
      <c r="AZ411" s="81" t="s">
        <v>4838</v>
      </c>
      <c r="BA411" s="81" t="s">
        <v>5773</v>
      </c>
      <c r="BB411" s="81" t="s">
        <v>5773</v>
      </c>
      <c r="BC411" s="81" t="s">
        <v>4838</v>
      </c>
      <c r="BD411" s="77">
        <v>71281607</v>
      </c>
      <c r="BE411" s="77"/>
      <c r="BF411" s="77"/>
      <c r="BG411" s="77"/>
      <c r="BH411" s="77"/>
      <c r="BI411" s="77"/>
    </row>
    <row r="412" spans="1:61" ht="15">
      <c r="A412" s="62" t="s">
        <v>350</v>
      </c>
      <c r="B412" s="62" t="s">
        <v>514</v>
      </c>
      <c r="C412" s="63"/>
      <c r="D412" s="64"/>
      <c r="E412" s="65"/>
      <c r="F412" s="66"/>
      <c r="G412" s="63"/>
      <c r="H412" s="67"/>
      <c r="I412" s="68"/>
      <c r="J412" s="68"/>
      <c r="K412" s="32" t="s">
        <v>65</v>
      </c>
      <c r="L412" s="75">
        <v>412</v>
      </c>
      <c r="M412" s="75"/>
      <c r="N412" s="70"/>
      <c r="O412" s="77" t="s">
        <v>573</v>
      </c>
      <c r="P412" s="79">
        <v>44048.888773148145</v>
      </c>
      <c r="Q412" s="77" t="s">
        <v>904</v>
      </c>
      <c r="R412" s="77">
        <v>0</v>
      </c>
      <c r="S412" s="77">
        <v>2</v>
      </c>
      <c r="T412" s="77">
        <v>0</v>
      </c>
      <c r="U412" s="77">
        <v>0</v>
      </c>
      <c r="V412" s="77"/>
      <c r="W412" s="77"/>
      <c r="X412" s="77"/>
      <c r="Y412" s="77"/>
      <c r="Z412" s="77" t="s">
        <v>2089</v>
      </c>
      <c r="AA412" s="77"/>
      <c r="AB412" s="77"/>
      <c r="AC412" s="81" t="s">
        <v>2707</v>
      </c>
      <c r="AD412" s="77" t="s">
        <v>2751</v>
      </c>
      <c r="AE412" s="80" t="str">
        <f>HYPERLINK("https://twitter.com/leveronline/status/1291121760545517569")</f>
        <v>https://twitter.com/leveronline/status/1291121760545517569</v>
      </c>
      <c r="AF412" s="79">
        <v>44048.888773148145</v>
      </c>
      <c r="AG412" s="85">
        <v>44048</v>
      </c>
      <c r="AH412" s="81" t="s">
        <v>3094</v>
      </c>
      <c r="AI412" s="77"/>
      <c r="AJ412" s="77"/>
      <c r="AK412" s="77"/>
      <c r="AL412" s="77"/>
      <c r="AM412" s="77"/>
      <c r="AN412" s="77"/>
      <c r="AO412" s="77"/>
      <c r="AP412" s="77"/>
      <c r="AQ412" s="77"/>
      <c r="AR412" s="77"/>
      <c r="AS412" s="77"/>
      <c r="AT412" s="77"/>
      <c r="AU412" s="77"/>
      <c r="AV412" s="80" t="str">
        <f>HYPERLINK("https://pbs.twimg.com/profile_images/1637868337458733056/ttqXG4C6_normal.jpg")</f>
        <v>https://pbs.twimg.com/profile_images/1637868337458733056/ttqXG4C6_normal.jpg</v>
      </c>
      <c r="AW412" s="81" t="s">
        <v>4840</v>
      </c>
      <c r="AX412" s="81" t="s">
        <v>4838</v>
      </c>
      <c r="AY412" s="81" t="s">
        <v>5763</v>
      </c>
      <c r="AZ412" s="81" t="s">
        <v>4838</v>
      </c>
      <c r="BA412" s="81" t="s">
        <v>5773</v>
      </c>
      <c r="BB412" s="81" t="s">
        <v>5773</v>
      </c>
      <c r="BC412" s="81" t="s">
        <v>4838</v>
      </c>
      <c r="BD412" s="77">
        <v>46403338</v>
      </c>
      <c r="BE412" s="77"/>
      <c r="BF412" s="77"/>
      <c r="BG412" s="77"/>
      <c r="BH412" s="77"/>
      <c r="BI412" s="77"/>
    </row>
    <row r="413" spans="1:61" ht="15">
      <c r="A413" s="62" t="s">
        <v>261</v>
      </c>
      <c r="B413" s="62" t="s">
        <v>515</v>
      </c>
      <c r="C413" s="63"/>
      <c r="D413" s="64"/>
      <c r="E413" s="65"/>
      <c r="F413" s="66"/>
      <c r="G413" s="63"/>
      <c r="H413" s="67"/>
      <c r="I413" s="68"/>
      <c r="J413" s="68"/>
      <c r="K413" s="32" t="s">
        <v>65</v>
      </c>
      <c r="L413" s="75">
        <v>413</v>
      </c>
      <c r="M413" s="75"/>
      <c r="N413" s="70"/>
      <c r="O413" s="77" t="s">
        <v>571</v>
      </c>
      <c r="P413" s="79">
        <v>44048.45751157407</v>
      </c>
      <c r="Q413" s="77" t="s">
        <v>902</v>
      </c>
      <c r="R413" s="77">
        <v>0</v>
      </c>
      <c r="S413" s="77">
        <v>3</v>
      </c>
      <c r="T413" s="77">
        <v>2</v>
      </c>
      <c r="U413" s="77">
        <v>2</v>
      </c>
      <c r="V413" s="77"/>
      <c r="W413" s="81" t="s">
        <v>1799</v>
      </c>
      <c r="X413" s="80" t="str">
        <f>HYPERLINK("https://bit.ly/3fs59eV")</f>
        <v>https://bit.ly/3fs59eV</v>
      </c>
      <c r="Y413" s="77" t="s">
        <v>1984</v>
      </c>
      <c r="Z413" s="77" t="s">
        <v>2088</v>
      </c>
      <c r="AA413" s="77" t="s">
        <v>2213</v>
      </c>
      <c r="AB413" s="77" t="s">
        <v>2696</v>
      </c>
      <c r="AC413" s="81" t="s">
        <v>2707</v>
      </c>
      <c r="AD413" s="77" t="s">
        <v>2751</v>
      </c>
      <c r="AE413" s="80" t="str">
        <f>HYPERLINK("https://twitter.com/topdevelopersco/status/1290965478920208385")</f>
        <v>https://twitter.com/topdevelopersco/status/1290965478920208385</v>
      </c>
      <c r="AF413" s="79">
        <v>44048.45751157407</v>
      </c>
      <c r="AG413" s="85">
        <v>44048</v>
      </c>
      <c r="AH413" s="81" t="s">
        <v>3092</v>
      </c>
      <c r="AI413" s="77" t="b">
        <v>0</v>
      </c>
      <c r="AJ413" s="77"/>
      <c r="AK413" s="77"/>
      <c r="AL413" s="77"/>
      <c r="AM413" s="77"/>
      <c r="AN413" s="77"/>
      <c r="AO413" s="77"/>
      <c r="AP413" s="77"/>
      <c r="AQ413" s="77" t="s">
        <v>4030</v>
      </c>
      <c r="AR413" s="77"/>
      <c r="AS413" s="77"/>
      <c r="AT413" s="77"/>
      <c r="AU413" s="77"/>
      <c r="AV413" s="80" t="str">
        <f>HYPERLINK("https://pbs.twimg.com/media/EepuQKMUcAA5RXj.png")</f>
        <v>https://pbs.twimg.com/media/EepuQKMUcAA5RXj.png</v>
      </c>
      <c r="AW413" s="81" t="s">
        <v>4838</v>
      </c>
      <c r="AX413" s="81" t="s">
        <v>4838</v>
      </c>
      <c r="AY413" s="77"/>
      <c r="AZ413" s="81" t="s">
        <v>5773</v>
      </c>
      <c r="BA413" s="81" t="s">
        <v>5773</v>
      </c>
      <c r="BB413" s="81" t="s">
        <v>5773</v>
      </c>
      <c r="BC413" s="81" t="s">
        <v>4838</v>
      </c>
      <c r="BD413" s="81" t="s">
        <v>5763</v>
      </c>
      <c r="BE413" s="77"/>
      <c r="BF413" s="77"/>
      <c r="BG413" s="77"/>
      <c r="BH413" s="77"/>
      <c r="BI413" s="77"/>
    </row>
    <row r="414" spans="1:61" ht="15">
      <c r="A414" s="62" t="s">
        <v>349</v>
      </c>
      <c r="B414" s="62" t="s">
        <v>515</v>
      </c>
      <c r="C414" s="63"/>
      <c r="D414" s="64"/>
      <c r="E414" s="65"/>
      <c r="F414" s="66"/>
      <c r="G414" s="63"/>
      <c r="H414" s="67"/>
      <c r="I414" s="68"/>
      <c r="J414" s="68"/>
      <c r="K414" s="32" t="s">
        <v>65</v>
      </c>
      <c r="L414" s="75">
        <v>414</v>
      </c>
      <c r="M414" s="75"/>
      <c r="N414" s="70"/>
      <c r="O414" s="77" t="s">
        <v>573</v>
      </c>
      <c r="P414" s="79">
        <v>44057.004791666666</v>
      </c>
      <c r="Q414" s="77" t="s">
        <v>903</v>
      </c>
      <c r="R414" s="77">
        <v>0</v>
      </c>
      <c r="S414" s="77">
        <v>0</v>
      </c>
      <c r="T414" s="77">
        <v>0</v>
      </c>
      <c r="U414" s="77">
        <v>0</v>
      </c>
      <c r="V414" s="77"/>
      <c r="W414" s="77"/>
      <c r="X414" s="77"/>
      <c r="Y414" s="77"/>
      <c r="Z414" s="77" t="s">
        <v>2082</v>
      </c>
      <c r="AA414" s="77"/>
      <c r="AB414" s="77"/>
      <c r="AC414" s="81" t="s">
        <v>2707</v>
      </c>
      <c r="AD414" s="77" t="s">
        <v>2751</v>
      </c>
      <c r="AE414" s="80" t="str">
        <f>HYPERLINK("https://twitter.com/thriveagency/status/1294062908041605120")</f>
        <v>https://twitter.com/thriveagency/status/1294062908041605120</v>
      </c>
      <c r="AF414" s="79">
        <v>44057.004791666666</v>
      </c>
      <c r="AG414" s="85">
        <v>44057</v>
      </c>
      <c r="AH414" s="81" t="s">
        <v>3093</v>
      </c>
      <c r="AI414" s="77"/>
      <c r="AJ414" s="77"/>
      <c r="AK414" s="77"/>
      <c r="AL414" s="77"/>
      <c r="AM414" s="77"/>
      <c r="AN414" s="77"/>
      <c r="AO414" s="77"/>
      <c r="AP414" s="77"/>
      <c r="AQ414" s="77"/>
      <c r="AR414" s="77"/>
      <c r="AS414" s="77"/>
      <c r="AT414" s="77"/>
      <c r="AU414" s="77"/>
      <c r="AV414" s="80" t="str">
        <f>HYPERLINK("https://pbs.twimg.com/profile_images/1296790366083899392/evocoOcC_normal.jpg")</f>
        <v>https://pbs.twimg.com/profile_images/1296790366083899392/evocoOcC_normal.jpg</v>
      </c>
      <c r="AW414" s="81" t="s">
        <v>4839</v>
      </c>
      <c r="AX414" s="81" t="s">
        <v>4838</v>
      </c>
      <c r="AY414" s="81" t="s">
        <v>5763</v>
      </c>
      <c r="AZ414" s="81" t="s">
        <v>4838</v>
      </c>
      <c r="BA414" s="81" t="s">
        <v>5773</v>
      </c>
      <c r="BB414" s="81" t="s">
        <v>5773</v>
      </c>
      <c r="BC414" s="81" t="s">
        <v>4838</v>
      </c>
      <c r="BD414" s="77">
        <v>71281607</v>
      </c>
      <c r="BE414" s="77"/>
      <c r="BF414" s="77"/>
      <c r="BG414" s="77"/>
      <c r="BH414" s="77"/>
      <c r="BI414" s="77"/>
    </row>
    <row r="415" spans="1:61" ht="15">
      <c r="A415" s="62" t="s">
        <v>350</v>
      </c>
      <c r="B415" s="62" t="s">
        <v>515</v>
      </c>
      <c r="C415" s="63"/>
      <c r="D415" s="64"/>
      <c r="E415" s="65"/>
      <c r="F415" s="66"/>
      <c r="G415" s="63"/>
      <c r="H415" s="67"/>
      <c r="I415" s="68"/>
      <c r="J415" s="68"/>
      <c r="K415" s="32" t="s">
        <v>65</v>
      </c>
      <c r="L415" s="75">
        <v>415</v>
      </c>
      <c r="M415" s="75"/>
      <c r="N415" s="70"/>
      <c r="O415" s="77" t="s">
        <v>573</v>
      </c>
      <c r="P415" s="79">
        <v>44048.888773148145</v>
      </c>
      <c r="Q415" s="77" t="s">
        <v>904</v>
      </c>
      <c r="R415" s="77">
        <v>0</v>
      </c>
      <c r="S415" s="77">
        <v>2</v>
      </c>
      <c r="T415" s="77">
        <v>0</v>
      </c>
      <c r="U415" s="77">
        <v>0</v>
      </c>
      <c r="V415" s="77"/>
      <c r="W415" s="77"/>
      <c r="X415" s="77"/>
      <c r="Y415" s="77"/>
      <c r="Z415" s="77" t="s">
        <v>2089</v>
      </c>
      <c r="AA415" s="77"/>
      <c r="AB415" s="77"/>
      <c r="AC415" s="81" t="s">
        <v>2707</v>
      </c>
      <c r="AD415" s="77" t="s">
        <v>2751</v>
      </c>
      <c r="AE415" s="80" t="str">
        <f>HYPERLINK("https://twitter.com/leveronline/status/1291121760545517569")</f>
        <v>https://twitter.com/leveronline/status/1291121760545517569</v>
      </c>
      <c r="AF415" s="79">
        <v>44048.888773148145</v>
      </c>
      <c r="AG415" s="85">
        <v>44048</v>
      </c>
      <c r="AH415" s="81" t="s">
        <v>3094</v>
      </c>
      <c r="AI415" s="77"/>
      <c r="AJ415" s="77"/>
      <c r="AK415" s="77"/>
      <c r="AL415" s="77"/>
      <c r="AM415" s="77"/>
      <c r="AN415" s="77"/>
      <c r="AO415" s="77"/>
      <c r="AP415" s="77"/>
      <c r="AQ415" s="77"/>
      <c r="AR415" s="77"/>
      <c r="AS415" s="77"/>
      <c r="AT415" s="77"/>
      <c r="AU415" s="77"/>
      <c r="AV415" s="80" t="str">
        <f>HYPERLINK("https://pbs.twimg.com/profile_images/1637868337458733056/ttqXG4C6_normal.jpg")</f>
        <v>https://pbs.twimg.com/profile_images/1637868337458733056/ttqXG4C6_normal.jpg</v>
      </c>
      <c r="AW415" s="81" t="s">
        <v>4840</v>
      </c>
      <c r="AX415" s="81" t="s">
        <v>4838</v>
      </c>
      <c r="AY415" s="81" t="s">
        <v>5763</v>
      </c>
      <c r="AZ415" s="81" t="s">
        <v>4838</v>
      </c>
      <c r="BA415" s="81" t="s">
        <v>5773</v>
      </c>
      <c r="BB415" s="81" t="s">
        <v>5773</v>
      </c>
      <c r="BC415" s="81" t="s">
        <v>4838</v>
      </c>
      <c r="BD415" s="77">
        <v>46403338</v>
      </c>
      <c r="BE415" s="77"/>
      <c r="BF415" s="77"/>
      <c r="BG415" s="77"/>
      <c r="BH415" s="77"/>
      <c r="BI415" s="77"/>
    </row>
    <row r="416" spans="1:61" ht="15">
      <c r="A416" s="62" t="s">
        <v>261</v>
      </c>
      <c r="B416" s="62" t="s">
        <v>516</v>
      </c>
      <c r="C416" s="63"/>
      <c r="D416" s="64"/>
      <c r="E416" s="65"/>
      <c r="F416" s="66"/>
      <c r="G416" s="63"/>
      <c r="H416" s="67"/>
      <c r="I416" s="68"/>
      <c r="J416" s="68"/>
      <c r="K416" s="32" t="s">
        <v>65</v>
      </c>
      <c r="L416" s="75">
        <v>416</v>
      </c>
      <c r="M416" s="75"/>
      <c r="N416" s="70"/>
      <c r="O416" s="77" t="s">
        <v>571</v>
      </c>
      <c r="P416" s="79">
        <v>44048.45751157407</v>
      </c>
      <c r="Q416" s="77" t="s">
        <v>902</v>
      </c>
      <c r="R416" s="77">
        <v>0</v>
      </c>
      <c r="S416" s="77">
        <v>3</v>
      </c>
      <c r="T416" s="77">
        <v>2</v>
      </c>
      <c r="U416" s="77">
        <v>2</v>
      </c>
      <c r="V416" s="77"/>
      <c r="W416" s="81" t="s">
        <v>1799</v>
      </c>
      <c r="X416" s="80" t="str">
        <f>HYPERLINK("https://bit.ly/3fs59eV")</f>
        <v>https://bit.ly/3fs59eV</v>
      </c>
      <c r="Y416" s="77" t="s">
        <v>1984</v>
      </c>
      <c r="Z416" s="77" t="s">
        <v>2088</v>
      </c>
      <c r="AA416" s="77" t="s">
        <v>2213</v>
      </c>
      <c r="AB416" s="77" t="s">
        <v>2696</v>
      </c>
      <c r="AC416" s="81" t="s">
        <v>2707</v>
      </c>
      <c r="AD416" s="77" t="s">
        <v>2751</v>
      </c>
      <c r="AE416" s="80" t="str">
        <f>HYPERLINK("https://twitter.com/topdevelopersco/status/1290965478920208385")</f>
        <v>https://twitter.com/topdevelopersco/status/1290965478920208385</v>
      </c>
      <c r="AF416" s="79">
        <v>44048.45751157407</v>
      </c>
      <c r="AG416" s="85">
        <v>44048</v>
      </c>
      <c r="AH416" s="81" t="s">
        <v>3092</v>
      </c>
      <c r="AI416" s="77" t="b">
        <v>0</v>
      </c>
      <c r="AJ416" s="77"/>
      <c r="AK416" s="77"/>
      <c r="AL416" s="77"/>
      <c r="AM416" s="77"/>
      <c r="AN416" s="77"/>
      <c r="AO416" s="77"/>
      <c r="AP416" s="77"/>
      <c r="AQ416" s="77" t="s">
        <v>4030</v>
      </c>
      <c r="AR416" s="77"/>
      <c r="AS416" s="77"/>
      <c r="AT416" s="77"/>
      <c r="AU416" s="77"/>
      <c r="AV416" s="80" t="str">
        <f>HYPERLINK("https://pbs.twimg.com/media/EepuQKMUcAA5RXj.png")</f>
        <v>https://pbs.twimg.com/media/EepuQKMUcAA5RXj.png</v>
      </c>
      <c r="AW416" s="81" t="s">
        <v>4838</v>
      </c>
      <c r="AX416" s="81" t="s">
        <v>4838</v>
      </c>
      <c r="AY416" s="77"/>
      <c r="AZ416" s="81" t="s">
        <v>5773</v>
      </c>
      <c r="BA416" s="81" t="s">
        <v>5773</v>
      </c>
      <c r="BB416" s="81" t="s">
        <v>5773</v>
      </c>
      <c r="BC416" s="81" t="s">
        <v>4838</v>
      </c>
      <c r="BD416" s="81" t="s">
        <v>5763</v>
      </c>
      <c r="BE416" s="77"/>
      <c r="BF416" s="77"/>
      <c r="BG416" s="77"/>
      <c r="BH416" s="77"/>
      <c r="BI416" s="77"/>
    </row>
    <row r="417" spans="1:61" ht="15">
      <c r="A417" s="62" t="s">
        <v>349</v>
      </c>
      <c r="B417" s="62" t="s">
        <v>516</v>
      </c>
      <c r="C417" s="63"/>
      <c r="D417" s="64"/>
      <c r="E417" s="65"/>
      <c r="F417" s="66"/>
      <c r="G417" s="63"/>
      <c r="H417" s="67"/>
      <c r="I417" s="68"/>
      <c r="J417" s="68"/>
      <c r="K417" s="32" t="s">
        <v>65</v>
      </c>
      <c r="L417" s="75">
        <v>417</v>
      </c>
      <c r="M417" s="75"/>
      <c r="N417" s="70"/>
      <c r="O417" s="77" t="s">
        <v>573</v>
      </c>
      <c r="P417" s="79">
        <v>44057.004791666666</v>
      </c>
      <c r="Q417" s="77" t="s">
        <v>903</v>
      </c>
      <c r="R417" s="77">
        <v>0</v>
      </c>
      <c r="S417" s="77">
        <v>0</v>
      </c>
      <c r="T417" s="77">
        <v>0</v>
      </c>
      <c r="U417" s="77">
        <v>0</v>
      </c>
      <c r="V417" s="77"/>
      <c r="W417" s="77"/>
      <c r="X417" s="77"/>
      <c r="Y417" s="77"/>
      <c r="Z417" s="77" t="s">
        <v>2082</v>
      </c>
      <c r="AA417" s="77"/>
      <c r="AB417" s="77"/>
      <c r="AC417" s="81" t="s">
        <v>2707</v>
      </c>
      <c r="AD417" s="77" t="s">
        <v>2751</v>
      </c>
      <c r="AE417" s="80" t="str">
        <f>HYPERLINK("https://twitter.com/thriveagency/status/1294062908041605120")</f>
        <v>https://twitter.com/thriveagency/status/1294062908041605120</v>
      </c>
      <c r="AF417" s="79">
        <v>44057.004791666666</v>
      </c>
      <c r="AG417" s="85">
        <v>44057</v>
      </c>
      <c r="AH417" s="81" t="s">
        <v>3093</v>
      </c>
      <c r="AI417" s="77"/>
      <c r="AJ417" s="77"/>
      <c r="AK417" s="77"/>
      <c r="AL417" s="77"/>
      <c r="AM417" s="77"/>
      <c r="AN417" s="77"/>
      <c r="AO417" s="77"/>
      <c r="AP417" s="77"/>
      <c r="AQ417" s="77"/>
      <c r="AR417" s="77"/>
      <c r="AS417" s="77"/>
      <c r="AT417" s="77"/>
      <c r="AU417" s="77"/>
      <c r="AV417" s="80" t="str">
        <f>HYPERLINK("https://pbs.twimg.com/profile_images/1296790366083899392/evocoOcC_normal.jpg")</f>
        <v>https://pbs.twimg.com/profile_images/1296790366083899392/evocoOcC_normal.jpg</v>
      </c>
      <c r="AW417" s="81" t="s">
        <v>4839</v>
      </c>
      <c r="AX417" s="81" t="s">
        <v>4838</v>
      </c>
      <c r="AY417" s="81" t="s">
        <v>5763</v>
      </c>
      <c r="AZ417" s="81" t="s">
        <v>4838</v>
      </c>
      <c r="BA417" s="81" t="s">
        <v>5773</v>
      </c>
      <c r="BB417" s="81" t="s">
        <v>5773</v>
      </c>
      <c r="BC417" s="81" t="s">
        <v>4838</v>
      </c>
      <c r="BD417" s="77">
        <v>71281607</v>
      </c>
      <c r="BE417" s="77"/>
      <c r="BF417" s="77"/>
      <c r="BG417" s="77"/>
      <c r="BH417" s="77"/>
      <c r="BI417" s="77"/>
    </row>
    <row r="418" spans="1:61" ht="15">
      <c r="A418" s="62" t="s">
        <v>350</v>
      </c>
      <c r="B418" s="62" t="s">
        <v>516</v>
      </c>
      <c r="C418" s="63"/>
      <c r="D418" s="64"/>
      <c r="E418" s="65"/>
      <c r="F418" s="66"/>
      <c r="G418" s="63"/>
      <c r="H418" s="67"/>
      <c r="I418" s="68"/>
      <c r="J418" s="68"/>
      <c r="K418" s="32" t="s">
        <v>65</v>
      </c>
      <c r="L418" s="75">
        <v>418</v>
      </c>
      <c r="M418" s="75"/>
      <c r="N418" s="70"/>
      <c r="O418" s="77" t="s">
        <v>573</v>
      </c>
      <c r="P418" s="79">
        <v>44048.888773148145</v>
      </c>
      <c r="Q418" s="77" t="s">
        <v>904</v>
      </c>
      <c r="R418" s="77">
        <v>0</v>
      </c>
      <c r="S418" s="77">
        <v>2</v>
      </c>
      <c r="T418" s="77">
        <v>0</v>
      </c>
      <c r="U418" s="77">
        <v>0</v>
      </c>
      <c r="V418" s="77"/>
      <c r="W418" s="77"/>
      <c r="X418" s="77"/>
      <c r="Y418" s="77"/>
      <c r="Z418" s="77" t="s">
        <v>2089</v>
      </c>
      <c r="AA418" s="77"/>
      <c r="AB418" s="77"/>
      <c r="AC418" s="81" t="s">
        <v>2707</v>
      </c>
      <c r="AD418" s="77" t="s">
        <v>2751</v>
      </c>
      <c r="AE418" s="80" t="str">
        <f>HYPERLINK("https://twitter.com/leveronline/status/1291121760545517569")</f>
        <v>https://twitter.com/leveronline/status/1291121760545517569</v>
      </c>
      <c r="AF418" s="79">
        <v>44048.888773148145</v>
      </c>
      <c r="AG418" s="85">
        <v>44048</v>
      </c>
      <c r="AH418" s="81" t="s">
        <v>3094</v>
      </c>
      <c r="AI418" s="77"/>
      <c r="AJ418" s="77"/>
      <c r="AK418" s="77"/>
      <c r="AL418" s="77"/>
      <c r="AM418" s="77"/>
      <c r="AN418" s="77"/>
      <c r="AO418" s="77"/>
      <c r="AP418" s="77"/>
      <c r="AQ418" s="77"/>
      <c r="AR418" s="77"/>
      <c r="AS418" s="77"/>
      <c r="AT418" s="77"/>
      <c r="AU418" s="77"/>
      <c r="AV418" s="80" t="str">
        <f>HYPERLINK("https://pbs.twimg.com/profile_images/1637868337458733056/ttqXG4C6_normal.jpg")</f>
        <v>https://pbs.twimg.com/profile_images/1637868337458733056/ttqXG4C6_normal.jpg</v>
      </c>
      <c r="AW418" s="81" t="s">
        <v>4840</v>
      </c>
      <c r="AX418" s="81" t="s">
        <v>4838</v>
      </c>
      <c r="AY418" s="81" t="s">
        <v>5763</v>
      </c>
      <c r="AZ418" s="81" t="s">
        <v>4838</v>
      </c>
      <c r="BA418" s="81" t="s">
        <v>5773</v>
      </c>
      <c r="BB418" s="81" t="s">
        <v>5773</v>
      </c>
      <c r="BC418" s="81" t="s">
        <v>4838</v>
      </c>
      <c r="BD418" s="77">
        <v>46403338</v>
      </c>
      <c r="BE418" s="77"/>
      <c r="BF418" s="77"/>
      <c r="BG418" s="77"/>
      <c r="BH418" s="77"/>
      <c r="BI418" s="77"/>
    </row>
    <row r="419" spans="1:61" ht="15">
      <c r="A419" s="62" t="s">
        <v>261</v>
      </c>
      <c r="B419" s="62" t="s">
        <v>517</v>
      </c>
      <c r="C419" s="63"/>
      <c r="D419" s="64"/>
      <c r="E419" s="65"/>
      <c r="F419" s="66"/>
      <c r="G419" s="63"/>
      <c r="H419" s="67"/>
      <c r="I419" s="68"/>
      <c r="J419" s="68"/>
      <c r="K419" s="32" t="s">
        <v>65</v>
      </c>
      <c r="L419" s="75">
        <v>419</v>
      </c>
      <c r="M419" s="75"/>
      <c r="N419" s="70"/>
      <c r="O419" s="77" t="s">
        <v>571</v>
      </c>
      <c r="P419" s="79">
        <v>44048.45751157407</v>
      </c>
      <c r="Q419" s="77" t="s">
        <v>902</v>
      </c>
      <c r="R419" s="77">
        <v>0</v>
      </c>
      <c r="S419" s="77">
        <v>3</v>
      </c>
      <c r="T419" s="77">
        <v>2</v>
      </c>
      <c r="U419" s="77">
        <v>2</v>
      </c>
      <c r="V419" s="77"/>
      <c r="W419" s="81" t="s">
        <v>1799</v>
      </c>
      <c r="X419" s="80" t="str">
        <f>HYPERLINK("https://bit.ly/3fs59eV")</f>
        <v>https://bit.ly/3fs59eV</v>
      </c>
      <c r="Y419" s="77" t="s">
        <v>1984</v>
      </c>
      <c r="Z419" s="77" t="s">
        <v>2088</v>
      </c>
      <c r="AA419" s="77" t="s">
        <v>2213</v>
      </c>
      <c r="AB419" s="77" t="s">
        <v>2696</v>
      </c>
      <c r="AC419" s="81" t="s">
        <v>2707</v>
      </c>
      <c r="AD419" s="77" t="s">
        <v>2751</v>
      </c>
      <c r="AE419" s="80" t="str">
        <f>HYPERLINK("https://twitter.com/topdevelopersco/status/1290965478920208385")</f>
        <v>https://twitter.com/topdevelopersco/status/1290965478920208385</v>
      </c>
      <c r="AF419" s="79">
        <v>44048.45751157407</v>
      </c>
      <c r="AG419" s="85">
        <v>44048</v>
      </c>
      <c r="AH419" s="81" t="s">
        <v>3092</v>
      </c>
      <c r="AI419" s="77" t="b">
        <v>0</v>
      </c>
      <c r="AJ419" s="77"/>
      <c r="AK419" s="77"/>
      <c r="AL419" s="77"/>
      <c r="AM419" s="77"/>
      <c r="AN419" s="77"/>
      <c r="AO419" s="77"/>
      <c r="AP419" s="77"/>
      <c r="AQ419" s="77" t="s">
        <v>4030</v>
      </c>
      <c r="AR419" s="77"/>
      <c r="AS419" s="77"/>
      <c r="AT419" s="77"/>
      <c r="AU419" s="77"/>
      <c r="AV419" s="80" t="str">
        <f>HYPERLINK("https://pbs.twimg.com/media/EepuQKMUcAA5RXj.png")</f>
        <v>https://pbs.twimg.com/media/EepuQKMUcAA5RXj.png</v>
      </c>
      <c r="AW419" s="81" t="s">
        <v>4838</v>
      </c>
      <c r="AX419" s="81" t="s">
        <v>4838</v>
      </c>
      <c r="AY419" s="77"/>
      <c r="AZ419" s="81" t="s">
        <v>5773</v>
      </c>
      <c r="BA419" s="81" t="s">
        <v>5773</v>
      </c>
      <c r="BB419" s="81" t="s">
        <v>5773</v>
      </c>
      <c r="BC419" s="81" t="s">
        <v>4838</v>
      </c>
      <c r="BD419" s="81" t="s">
        <v>5763</v>
      </c>
      <c r="BE419" s="77"/>
      <c r="BF419" s="77"/>
      <c r="BG419" s="77"/>
      <c r="BH419" s="77"/>
      <c r="BI419" s="77"/>
    </row>
    <row r="420" spans="1:61" ht="15">
      <c r="A420" s="62" t="s">
        <v>349</v>
      </c>
      <c r="B420" s="62" t="s">
        <v>517</v>
      </c>
      <c r="C420" s="63"/>
      <c r="D420" s="64"/>
      <c r="E420" s="65"/>
      <c r="F420" s="66"/>
      <c r="G420" s="63"/>
      <c r="H420" s="67"/>
      <c r="I420" s="68"/>
      <c r="J420" s="68"/>
      <c r="K420" s="32" t="s">
        <v>65</v>
      </c>
      <c r="L420" s="75">
        <v>420</v>
      </c>
      <c r="M420" s="75"/>
      <c r="N420" s="70"/>
      <c r="O420" s="77" t="s">
        <v>573</v>
      </c>
      <c r="P420" s="79">
        <v>44057.004791666666</v>
      </c>
      <c r="Q420" s="77" t="s">
        <v>903</v>
      </c>
      <c r="R420" s="77">
        <v>0</v>
      </c>
      <c r="S420" s="77">
        <v>0</v>
      </c>
      <c r="T420" s="77">
        <v>0</v>
      </c>
      <c r="U420" s="77">
        <v>0</v>
      </c>
      <c r="V420" s="77"/>
      <c r="W420" s="77"/>
      <c r="X420" s="77"/>
      <c r="Y420" s="77"/>
      <c r="Z420" s="77" t="s">
        <v>2082</v>
      </c>
      <c r="AA420" s="77"/>
      <c r="AB420" s="77"/>
      <c r="AC420" s="81" t="s">
        <v>2707</v>
      </c>
      <c r="AD420" s="77" t="s">
        <v>2751</v>
      </c>
      <c r="AE420" s="80" t="str">
        <f>HYPERLINK("https://twitter.com/thriveagency/status/1294062908041605120")</f>
        <v>https://twitter.com/thriveagency/status/1294062908041605120</v>
      </c>
      <c r="AF420" s="79">
        <v>44057.004791666666</v>
      </c>
      <c r="AG420" s="85">
        <v>44057</v>
      </c>
      <c r="AH420" s="81" t="s">
        <v>3093</v>
      </c>
      <c r="AI420" s="77"/>
      <c r="AJ420" s="77"/>
      <c r="AK420" s="77"/>
      <c r="AL420" s="77"/>
      <c r="AM420" s="77"/>
      <c r="AN420" s="77"/>
      <c r="AO420" s="77"/>
      <c r="AP420" s="77"/>
      <c r="AQ420" s="77"/>
      <c r="AR420" s="77"/>
      <c r="AS420" s="77"/>
      <c r="AT420" s="77"/>
      <c r="AU420" s="77"/>
      <c r="AV420" s="80" t="str">
        <f>HYPERLINK("https://pbs.twimg.com/profile_images/1296790366083899392/evocoOcC_normal.jpg")</f>
        <v>https://pbs.twimg.com/profile_images/1296790366083899392/evocoOcC_normal.jpg</v>
      </c>
      <c r="AW420" s="81" t="s">
        <v>4839</v>
      </c>
      <c r="AX420" s="81" t="s">
        <v>4838</v>
      </c>
      <c r="AY420" s="81" t="s">
        <v>5763</v>
      </c>
      <c r="AZ420" s="81" t="s">
        <v>4838</v>
      </c>
      <c r="BA420" s="81" t="s">
        <v>5773</v>
      </c>
      <c r="BB420" s="81" t="s">
        <v>5773</v>
      </c>
      <c r="BC420" s="81" t="s">
        <v>4838</v>
      </c>
      <c r="BD420" s="77">
        <v>71281607</v>
      </c>
      <c r="BE420" s="77"/>
      <c r="BF420" s="77"/>
      <c r="BG420" s="77"/>
      <c r="BH420" s="77"/>
      <c r="BI420" s="77"/>
    </row>
    <row r="421" spans="1:61" ht="15">
      <c r="A421" s="62" t="s">
        <v>350</v>
      </c>
      <c r="B421" s="62" t="s">
        <v>517</v>
      </c>
      <c r="C421" s="63"/>
      <c r="D421" s="64"/>
      <c r="E421" s="65"/>
      <c r="F421" s="66"/>
      <c r="G421" s="63"/>
      <c r="H421" s="67"/>
      <c r="I421" s="68"/>
      <c r="J421" s="68"/>
      <c r="K421" s="32" t="s">
        <v>65</v>
      </c>
      <c r="L421" s="75">
        <v>421</v>
      </c>
      <c r="M421" s="75"/>
      <c r="N421" s="70"/>
      <c r="O421" s="77" t="s">
        <v>573</v>
      </c>
      <c r="P421" s="79">
        <v>44048.888773148145</v>
      </c>
      <c r="Q421" s="77" t="s">
        <v>904</v>
      </c>
      <c r="R421" s="77">
        <v>0</v>
      </c>
      <c r="S421" s="77">
        <v>2</v>
      </c>
      <c r="T421" s="77">
        <v>0</v>
      </c>
      <c r="U421" s="77">
        <v>0</v>
      </c>
      <c r="V421" s="77"/>
      <c r="W421" s="77"/>
      <c r="X421" s="77"/>
      <c r="Y421" s="77"/>
      <c r="Z421" s="77" t="s">
        <v>2089</v>
      </c>
      <c r="AA421" s="77"/>
      <c r="AB421" s="77"/>
      <c r="AC421" s="81" t="s">
        <v>2707</v>
      </c>
      <c r="AD421" s="77" t="s">
        <v>2751</v>
      </c>
      <c r="AE421" s="80" t="str">
        <f>HYPERLINK("https://twitter.com/leveronline/status/1291121760545517569")</f>
        <v>https://twitter.com/leveronline/status/1291121760545517569</v>
      </c>
      <c r="AF421" s="79">
        <v>44048.888773148145</v>
      </c>
      <c r="AG421" s="85">
        <v>44048</v>
      </c>
      <c r="AH421" s="81" t="s">
        <v>3094</v>
      </c>
      <c r="AI421" s="77"/>
      <c r="AJ421" s="77"/>
      <c r="AK421" s="77"/>
      <c r="AL421" s="77"/>
      <c r="AM421" s="77"/>
      <c r="AN421" s="77"/>
      <c r="AO421" s="77"/>
      <c r="AP421" s="77"/>
      <c r="AQ421" s="77"/>
      <c r="AR421" s="77"/>
      <c r="AS421" s="77"/>
      <c r="AT421" s="77"/>
      <c r="AU421" s="77"/>
      <c r="AV421" s="80" t="str">
        <f>HYPERLINK("https://pbs.twimg.com/profile_images/1637868337458733056/ttqXG4C6_normal.jpg")</f>
        <v>https://pbs.twimg.com/profile_images/1637868337458733056/ttqXG4C6_normal.jpg</v>
      </c>
      <c r="AW421" s="81" t="s">
        <v>4840</v>
      </c>
      <c r="AX421" s="81" t="s">
        <v>4838</v>
      </c>
      <c r="AY421" s="81" t="s">
        <v>5763</v>
      </c>
      <c r="AZ421" s="81" t="s">
        <v>4838</v>
      </c>
      <c r="BA421" s="81" t="s">
        <v>5773</v>
      </c>
      <c r="BB421" s="81" t="s">
        <v>5773</v>
      </c>
      <c r="BC421" s="81" t="s">
        <v>4838</v>
      </c>
      <c r="BD421" s="77">
        <v>46403338</v>
      </c>
      <c r="BE421" s="77"/>
      <c r="BF421" s="77"/>
      <c r="BG421" s="77"/>
      <c r="BH421" s="77"/>
      <c r="BI421" s="77"/>
    </row>
    <row r="422" spans="1:61" ht="15">
      <c r="A422" s="62" t="s">
        <v>261</v>
      </c>
      <c r="B422" s="62" t="s">
        <v>518</v>
      </c>
      <c r="C422" s="63"/>
      <c r="D422" s="64"/>
      <c r="E422" s="65"/>
      <c r="F422" s="66"/>
      <c r="G422" s="63"/>
      <c r="H422" s="67"/>
      <c r="I422" s="68"/>
      <c r="J422" s="68"/>
      <c r="K422" s="32" t="s">
        <v>65</v>
      </c>
      <c r="L422" s="75">
        <v>422</v>
      </c>
      <c r="M422" s="75"/>
      <c r="N422" s="70"/>
      <c r="O422" s="77" t="s">
        <v>571</v>
      </c>
      <c r="P422" s="79">
        <v>44048.45751157407</v>
      </c>
      <c r="Q422" s="77" t="s">
        <v>902</v>
      </c>
      <c r="R422" s="77">
        <v>0</v>
      </c>
      <c r="S422" s="77">
        <v>3</v>
      </c>
      <c r="T422" s="77">
        <v>2</v>
      </c>
      <c r="U422" s="77">
        <v>2</v>
      </c>
      <c r="V422" s="77"/>
      <c r="W422" s="81" t="s">
        <v>1799</v>
      </c>
      <c r="X422" s="80" t="str">
        <f>HYPERLINK("https://bit.ly/3fs59eV")</f>
        <v>https://bit.ly/3fs59eV</v>
      </c>
      <c r="Y422" s="77" t="s">
        <v>1984</v>
      </c>
      <c r="Z422" s="77" t="s">
        <v>2088</v>
      </c>
      <c r="AA422" s="77" t="s">
        <v>2213</v>
      </c>
      <c r="AB422" s="77" t="s">
        <v>2696</v>
      </c>
      <c r="AC422" s="81" t="s">
        <v>2707</v>
      </c>
      <c r="AD422" s="77" t="s">
        <v>2751</v>
      </c>
      <c r="AE422" s="80" t="str">
        <f>HYPERLINK("https://twitter.com/topdevelopersco/status/1290965478920208385")</f>
        <v>https://twitter.com/topdevelopersco/status/1290965478920208385</v>
      </c>
      <c r="AF422" s="79">
        <v>44048.45751157407</v>
      </c>
      <c r="AG422" s="85">
        <v>44048</v>
      </c>
      <c r="AH422" s="81" t="s">
        <v>3092</v>
      </c>
      <c r="AI422" s="77" t="b">
        <v>0</v>
      </c>
      <c r="AJ422" s="77"/>
      <c r="AK422" s="77"/>
      <c r="AL422" s="77"/>
      <c r="AM422" s="77"/>
      <c r="AN422" s="77"/>
      <c r="AO422" s="77"/>
      <c r="AP422" s="77"/>
      <c r="AQ422" s="77" t="s">
        <v>4030</v>
      </c>
      <c r="AR422" s="77"/>
      <c r="AS422" s="77"/>
      <c r="AT422" s="77"/>
      <c r="AU422" s="77"/>
      <c r="AV422" s="80" t="str">
        <f>HYPERLINK("https://pbs.twimg.com/media/EepuQKMUcAA5RXj.png")</f>
        <v>https://pbs.twimg.com/media/EepuQKMUcAA5RXj.png</v>
      </c>
      <c r="AW422" s="81" t="s">
        <v>4838</v>
      </c>
      <c r="AX422" s="81" t="s">
        <v>4838</v>
      </c>
      <c r="AY422" s="77"/>
      <c r="AZ422" s="81" t="s">
        <v>5773</v>
      </c>
      <c r="BA422" s="81" t="s">
        <v>5773</v>
      </c>
      <c r="BB422" s="81" t="s">
        <v>5773</v>
      </c>
      <c r="BC422" s="81" t="s">
        <v>4838</v>
      </c>
      <c r="BD422" s="81" t="s">
        <v>5763</v>
      </c>
      <c r="BE422" s="77"/>
      <c r="BF422" s="77"/>
      <c r="BG422" s="77"/>
      <c r="BH422" s="77"/>
      <c r="BI422" s="77"/>
    </row>
    <row r="423" spans="1:61" ht="15">
      <c r="A423" s="62" t="s">
        <v>349</v>
      </c>
      <c r="B423" s="62" t="s">
        <v>518</v>
      </c>
      <c r="C423" s="63"/>
      <c r="D423" s="64"/>
      <c r="E423" s="65"/>
      <c r="F423" s="66"/>
      <c r="G423" s="63"/>
      <c r="H423" s="67"/>
      <c r="I423" s="68"/>
      <c r="J423" s="68"/>
      <c r="K423" s="32" t="s">
        <v>65</v>
      </c>
      <c r="L423" s="75">
        <v>423</v>
      </c>
      <c r="M423" s="75"/>
      <c r="N423" s="70"/>
      <c r="O423" s="77" t="s">
        <v>573</v>
      </c>
      <c r="P423" s="79">
        <v>44057.004791666666</v>
      </c>
      <c r="Q423" s="77" t="s">
        <v>903</v>
      </c>
      <c r="R423" s="77">
        <v>0</v>
      </c>
      <c r="S423" s="77">
        <v>0</v>
      </c>
      <c r="T423" s="77">
        <v>0</v>
      </c>
      <c r="U423" s="77">
        <v>0</v>
      </c>
      <c r="V423" s="77"/>
      <c r="W423" s="77"/>
      <c r="X423" s="77"/>
      <c r="Y423" s="77"/>
      <c r="Z423" s="77" t="s">
        <v>2082</v>
      </c>
      <c r="AA423" s="77"/>
      <c r="AB423" s="77"/>
      <c r="AC423" s="81" t="s">
        <v>2707</v>
      </c>
      <c r="AD423" s="77" t="s">
        <v>2751</v>
      </c>
      <c r="AE423" s="80" t="str">
        <f>HYPERLINK("https://twitter.com/thriveagency/status/1294062908041605120")</f>
        <v>https://twitter.com/thriveagency/status/1294062908041605120</v>
      </c>
      <c r="AF423" s="79">
        <v>44057.004791666666</v>
      </c>
      <c r="AG423" s="85">
        <v>44057</v>
      </c>
      <c r="AH423" s="81" t="s">
        <v>3093</v>
      </c>
      <c r="AI423" s="77"/>
      <c r="AJ423" s="77"/>
      <c r="AK423" s="77"/>
      <c r="AL423" s="77"/>
      <c r="AM423" s="77"/>
      <c r="AN423" s="77"/>
      <c r="AO423" s="77"/>
      <c r="AP423" s="77"/>
      <c r="AQ423" s="77"/>
      <c r="AR423" s="77"/>
      <c r="AS423" s="77"/>
      <c r="AT423" s="77"/>
      <c r="AU423" s="77"/>
      <c r="AV423" s="80" t="str">
        <f>HYPERLINK("https://pbs.twimg.com/profile_images/1296790366083899392/evocoOcC_normal.jpg")</f>
        <v>https://pbs.twimg.com/profile_images/1296790366083899392/evocoOcC_normal.jpg</v>
      </c>
      <c r="AW423" s="81" t="s">
        <v>4839</v>
      </c>
      <c r="AX423" s="81" t="s">
        <v>4838</v>
      </c>
      <c r="AY423" s="81" t="s">
        <v>5763</v>
      </c>
      <c r="AZ423" s="81" t="s">
        <v>4838</v>
      </c>
      <c r="BA423" s="81" t="s">
        <v>5773</v>
      </c>
      <c r="BB423" s="81" t="s">
        <v>5773</v>
      </c>
      <c r="BC423" s="81" t="s">
        <v>4838</v>
      </c>
      <c r="BD423" s="77">
        <v>71281607</v>
      </c>
      <c r="BE423" s="77"/>
      <c r="BF423" s="77"/>
      <c r="BG423" s="77"/>
      <c r="BH423" s="77"/>
      <c r="BI423" s="77"/>
    </row>
    <row r="424" spans="1:61" ht="15">
      <c r="A424" s="62" t="s">
        <v>350</v>
      </c>
      <c r="B424" s="62" t="s">
        <v>518</v>
      </c>
      <c r="C424" s="63"/>
      <c r="D424" s="64"/>
      <c r="E424" s="65"/>
      <c r="F424" s="66"/>
      <c r="G424" s="63"/>
      <c r="H424" s="67"/>
      <c r="I424" s="68"/>
      <c r="J424" s="68"/>
      <c r="K424" s="32" t="s">
        <v>65</v>
      </c>
      <c r="L424" s="75">
        <v>424</v>
      </c>
      <c r="M424" s="75"/>
      <c r="N424" s="70"/>
      <c r="O424" s="77" t="s">
        <v>573</v>
      </c>
      <c r="P424" s="79">
        <v>44048.888773148145</v>
      </c>
      <c r="Q424" s="77" t="s">
        <v>904</v>
      </c>
      <c r="R424" s="77">
        <v>0</v>
      </c>
      <c r="S424" s="77">
        <v>2</v>
      </c>
      <c r="T424" s="77">
        <v>0</v>
      </c>
      <c r="U424" s="77">
        <v>0</v>
      </c>
      <c r="V424" s="77"/>
      <c r="W424" s="77"/>
      <c r="X424" s="77"/>
      <c r="Y424" s="77"/>
      <c r="Z424" s="77" t="s">
        <v>2089</v>
      </c>
      <c r="AA424" s="77"/>
      <c r="AB424" s="77"/>
      <c r="AC424" s="81" t="s">
        <v>2707</v>
      </c>
      <c r="AD424" s="77" t="s">
        <v>2751</v>
      </c>
      <c r="AE424" s="80" t="str">
        <f>HYPERLINK("https://twitter.com/leveronline/status/1291121760545517569")</f>
        <v>https://twitter.com/leveronline/status/1291121760545517569</v>
      </c>
      <c r="AF424" s="79">
        <v>44048.888773148145</v>
      </c>
      <c r="AG424" s="85">
        <v>44048</v>
      </c>
      <c r="AH424" s="81" t="s">
        <v>3094</v>
      </c>
      <c r="AI424" s="77"/>
      <c r="AJ424" s="77"/>
      <c r="AK424" s="77"/>
      <c r="AL424" s="77"/>
      <c r="AM424" s="77"/>
      <c r="AN424" s="77"/>
      <c r="AO424" s="77"/>
      <c r="AP424" s="77"/>
      <c r="AQ424" s="77"/>
      <c r="AR424" s="77"/>
      <c r="AS424" s="77"/>
      <c r="AT424" s="77"/>
      <c r="AU424" s="77"/>
      <c r="AV424" s="80" t="str">
        <f>HYPERLINK("https://pbs.twimg.com/profile_images/1637868337458733056/ttqXG4C6_normal.jpg")</f>
        <v>https://pbs.twimg.com/profile_images/1637868337458733056/ttqXG4C6_normal.jpg</v>
      </c>
      <c r="AW424" s="81" t="s">
        <v>4840</v>
      </c>
      <c r="AX424" s="81" t="s">
        <v>4838</v>
      </c>
      <c r="AY424" s="81" t="s">
        <v>5763</v>
      </c>
      <c r="AZ424" s="81" t="s">
        <v>4838</v>
      </c>
      <c r="BA424" s="81" t="s">
        <v>5773</v>
      </c>
      <c r="BB424" s="81" t="s">
        <v>5773</v>
      </c>
      <c r="BC424" s="81" t="s">
        <v>4838</v>
      </c>
      <c r="BD424" s="77">
        <v>46403338</v>
      </c>
      <c r="BE424" s="77"/>
      <c r="BF424" s="77"/>
      <c r="BG424" s="77"/>
      <c r="BH424" s="77"/>
      <c r="BI424" s="77"/>
    </row>
    <row r="425" spans="1:61" ht="15">
      <c r="A425" s="62" t="s">
        <v>261</v>
      </c>
      <c r="B425" s="62" t="s">
        <v>519</v>
      </c>
      <c r="C425" s="63"/>
      <c r="D425" s="64"/>
      <c r="E425" s="65"/>
      <c r="F425" s="66"/>
      <c r="G425" s="63"/>
      <c r="H425" s="67"/>
      <c r="I425" s="68"/>
      <c r="J425" s="68"/>
      <c r="K425" s="32" t="s">
        <v>65</v>
      </c>
      <c r="L425" s="75">
        <v>425</v>
      </c>
      <c r="M425" s="75"/>
      <c r="N425" s="70"/>
      <c r="O425" s="77" t="s">
        <v>571</v>
      </c>
      <c r="P425" s="79">
        <v>44048.45751157407</v>
      </c>
      <c r="Q425" s="77" t="s">
        <v>902</v>
      </c>
      <c r="R425" s="77">
        <v>0</v>
      </c>
      <c r="S425" s="77">
        <v>3</v>
      </c>
      <c r="T425" s="77">
        <v>2</v>
      </c>
      <c r="U425" s="77">
        <v>2</v>
      </c>
      <c r="V425" s="77"/>
      <c r="W425" s="81" t="s">
        <v>1799</v>
      </c>
      <c r="X425" s="80" t="str">
        <f>HYPERLINK("https://bit.ly/3fs59eV")</f>
        <v>https://bit.ly/3fs59eV</v>
      </c>
      <c r="Y425" s="77" t="s">
        <v>1984</v>
      </c>
      <c r="Z425" s="77" t="s">
        <v>2088</v>
      </c>
      <c r="AA425" s="77" t="s">
        <v>2213</v>
      </c>
      <c r="AB425" s="77" t="s">
        <v>2696</v>
      </c>
      <c r="AC425" s="81" t="s">
        <v>2707</v>
      </c>
      <c r="AD425" s="77" t="s">
        <v>2751</v>
      </c>
      <c r="AE425" s="80" t="str">
        <f>HYPERLINK("https://twitter.com/topdevelopersco/status/1290965478920208385")</f>
        <v>https://twitter.com/topdevelopersco/status/1290965478920208385</v>
      </c>
      <c r="AF425" s="79">
        <v>44048.45751157407</v>
      </c>
      <c r="AG425" s="85">
        <v>44048</v>
      </c>
      <c r="AH425" s="81" t="s">
        <v>3092</v>
      </c>
      <c r="AI425" s="77" t="b">
        <v>0</v>
      </c>
      <c r="AJ425" s="77"/>
      <c r="AK425" s="77"/>
      <c r="AL425" s="77"/>
      <c r="AM425" s="77"/>
      <c r="AN425" s="77"/>
      <c r="AO425" s="77"/>
      <c r="AP425" s="77"/>
      <c r="AQ425" s="77" t="s">
        <v>4030</v>
      </c>
      <c r="AR425" s="77"/>
      <c r="AS425" s="77"/>
      <c r="AT425" s="77"/>
      <c r="AU425" s="77"/>
      <c r="AV425" s="80" t="str">
        <f>HYPERLINK("https://pbs.twimg.com/media/EepuQKMUcAA5RXj.png")</f>
        <v>https://pbs.twimg.com/media/EepuQKMUcAA5RXj.png</v>
      </c>
      <c r="AW425" s="81" t="s">
        <v>4838</v>
      </c>
      <c r="AX425" s="81" t="s">
        <v>4838</v>
      </c>
      <c r="AY425" s="77"/>
      <c r="AZ425" s="81" t="s">
        <v>5773</v>
      </c>
      <c r="BA425" s="81" t="s">
        <v>5773</v>
      </c>
      <c r="BB425" s="81" t="s">
        <v>5773</v>
      </c>
      <c r="BC425" s="81" t="s">
        <v>4838</v>
      </c>
      <c r="BD425" s="81" t="s">
        <v>5763</v>
      </c>
      <c r="BE425" s="77"/>
      <c r="BF425" s="77"/>
      <c r="BG425" s="77"/>
      <c r="BH425" s="77"/>
      <c r="BI425" s="77"/>
    </row>
    <row r="426" spans="1:61" ht="15">
      <c r="A426" s="62" t="s">
        <v>349</v>
      </c>
      <c r="B426" s="62" t="s">
        <v>519</v>
      </c>
      <c r="C426" s="63"/>
      <c r="D426" s="64"/>
      <c r="E426" s="65"/>
      <c r="F426" s="66"/>
      <c r="G426" s="63"/>
      <c r="H426" s="67"/>
      <c r="I426" s="68"/>
      <c r="J426" s="68"/>
      <c r="K426" s="32" t="s">
        <v>65</v>
      </c>
      <c r="L426" s="75">
        <v>426</v>
      </c>
      <c r="M426" s="75"/>
      <c r="N426" s="70"/>
      <c r="O426" s="77" t="s">
        <v>573</v>
      </c>
      <c r="P426" s="79">
        <v>44057.004791666666</v>
      </c>
      <c r="Q426" s="77" t="s">
        <v>903</v>
      </c>
      <c r="R426" s="77">
        <v>0</v>
      </c>
      <c r="S426" s="77">
        <v>0</v>
      </c>
      <c r="T426" s="77">
        <v>0</v>
      </c>
      <c r="U426" s="77">
        <v>0</v>
      </c>
      <c r="V426" s="77"/>
      <c r="W426" s="77"/>
      <c r="X426" s="77"/>
      <c r="Y426" s="77"/>
      <c r="Z426" s="77" t="s">
        <v>2082</v>
      </c>
      <c r="AA426" s="77"/>
      <c r="AB426" s="77"/>
      <c r="AC426" s="81" t="s">
        <v>2707</v>
      </c>
      <c r="AD426" s="77" t="s">
        <v>2751</v>
      </c>
      <c r="AE426" s="80" t="str">
        <f>HYPERLINK("https://twitter.com/thriveagency/status/1294062908041605120")</f>
        <v>https://twitter.com/thriveagency/status/1294062908041605120</v>
      </c>
      <c r="AF426" s="79">
        <v>44057.004791666666</v>
      </c>
      <c r="AG426" s="85">
        <v>44057</v>
      </c>
      <c r="AH426" s="81" t="s">
        <v>3093</v>
      </c>
      <c r="AI426" s="77"/>
      <c r="AJ426" s="77"/>
      <c r="AK426" s="77"/>
      <c r="AL426" s="77"/>
      <c r="AM426" s="77"/>
      <c r="AN426" s="77"/>
      <c r="AO426" s="77"/>
      <c r="AP426" s="77"/>
      <c r="AQ426" s="77"/>
      <c r="AR426" s="77"/>
      <c r="AS426" s="77"/>
      <c r="AT426" s="77"/>
      <c r="AU426" s="77"/>
      <c r="AV426" s="80" t="str">
        <f>HYPERLINK("https://pbs.twimg.com/profile_images/1296790366083899392/evocoOcC_normal.jpg")</f>
        <v>https://pbs.twimg.com/profile_images/1296790366083899392/evocoOcC_normal.jpg</v>
      </c>
      <c r="AW426" s="81" t="s">
        <v>4839</v>
      </c>
      <c r="AX426" s="81" t="s">
        <v>4838</v>
      </c>
      <c r="AY426" s="81" t="s">
        <v>5763</v>
      </c>
      <c r="AZ426" s="81" t="s">
        <v>4838</v>
      </c>
      <c r="BA426" s="81" t="s">
        <v>5773</v>
      </c>
      <c r="BB426" s="81" t="s">
        <v>5773</v>
      </c>
      <c r="BC426" s="81" t="s">
        <v>4838</v>
      </c>
      <c r="BD426" s="77">
        <v>71281607</v>
      </c>
      <c r="BE426" s="77"/>
      <c r="BF426" s="77"/>
      <c r="BG426" s="77"/>
      <c r="BH426" s="77"/>
      <c r="BI426" s="77"/>
    </row>
    <row r="427" spans="1:61" ht="15">
      <c r="A427" s="62" t="s">
        <v>350</v>
      </c>
      <c r="B427" s="62" t="s">
        <v>519</v>
      </c>
      <c r="C427" s="63"/>
      <c r="D427" s="64"/>
      <c r="E427" s="65"/>
      <c r="F427" s="66"/>
      <c r="G427" s="63"/>
      <c r="H427" s="67"/>
      <c r="I427" s="68"/>
      <c r="J427" s="68"/>
      <c r="K427" s="32" t="s">
        <v>65</v>
      </c>
      <c r="L427" s="75">
        <v>427</v>
      </c>
      <c r="M427" s="75"/>
      <c r="N427" s="70"/>
      <c r="O427" s="77" t="s">
        <v>573</v>
      </c>
      <c r="P427" s="79">
        <v>44048.888773148145</v>
      </c>
      <c r="Q427" s="77" t="s">
        <v>904</v>
      </c>
      <c r="R427" s="77">
        <v>0</v>
      </c>
      <c r="S427" s="77">
        <v>2</v>
      </c>
      <c r="T427" s="77">
        <v>0</v>
      </c>
      <c r="U427" s="77">
        <v>0</v>
      </c>
      <c r="V427" s="77"/>
      <c r="W427" s="77"/>
      <c r="X427" s="77"/>
      <c r="Y427" s="77"/>
      <c r="Z427" s="77" t="s">
        <v>2089</v>
      </c>
      <c r="AA427" s="77"/>
      <c r="AB427" s="77"/>
      <c r="AC427" s="81" t="s">
        <v>2707</v>
      </c>
      <c r="AD427" s="77" t="s">
        <v>2751</v>
      </c>
      <c r="AE427" s="80" t="str">
        <f>HYPERLINK("https://twitter.com/leveronline/status/1291121760545517569")</f>
        <v>https://twitter.com/leveronline/status/1291121760545517569</v>
      </c>
      <c r="AF427" s="79">
        <v>44048.888773148145</v>
      </c>
      <c r="AG427" s="85">
        <v>44048</v>
      </c>
      <c r="AH427" s="81" t="s">
        <v>3094</v>
      </c>
      <c r="AI427" s="77"/>
      <c r="AJ427" s="77"/>
      <c r="AK427" s="77"/>
      <c r="AL427" s="77"/>
      <c r="AM427" s="77"/>
      <c r="AN427" s="77"/>
      <c r="AO427" s="77"/>
      <c r="AP427" s="77"/>
      <c r="AQ427" s="77"/>
      <c r="AR427" s="77"/>
      <c r="AS427" s="77"/>
      <c r="AT427" s="77"/>
      <c r="AU427" s="77"/>
      <c r="AV427" s="80" t="str">
        <f>HYPERLINK("https://pbs.twimg.com/profile_images/1637868337458733056/ttqXG4C6_normal.jpg")</f>
        <v>https://pbs.twimg.com/profile_images/1637868337458733056/ttqXG4C6_normal.jpg</v>
      </c>
      <c r="AW427" s="81" t="s">
        <v>4840</v>
      </c>
      <c r="AX427" s="81" t="s">
        <v>4838</v>
      </c>
      <c r="AY427" s="81" t="s">
        <v>5763</v>
      </c>
      <c r="AZ427" s="81" t="s">
        <v>4838</v>
      </c>
      <c r="BA427" s="81" t="s">
        <v>5773</v>
      </c>
      <c r="BB427" s="81" t="s">
        <v>5773</v>
      </c>
      <c r="BC427" s="81" t="s">
        <v>4838</v>
      </c>
      <c r="BD427" s="77">
        <v>46403338</v>
      </c>
      <c r="BE427" s="77"/>
      <c r="BF427" s="77"/>
      <c r="BG427" s="77"/>
      <c r="BH427" s="77"/>
      <c r="BI427" s="77"/>
    </row>
    <row r="428" spans="1:61" ht="15">
      <c r="A428" s="62" t="s">
        <v>261</v>
      </c>
      <c r="B428" s="62" t="s">
        <v>349</v>
      </c>
      <c r="C428" s="63"/>
      <c r="D428" s="64"/>
      <c r="E428" s="65"/>
      <c r="F428" s="66"/>
      <c r="G428" s="63"/>
      <c r="H428" s="67"/>
      <c r="I428" s="68"/>
      <c r="J428" s="68"/>
      <c r="K428" s="32" t="s">
        <v>66</v>
      </c>
      <c r="L428" s="75">
        <v>428</v>
      </c>
      <c r="M428" s="75"/>
      <c r="N428" s="70"/>
      <c r="O428" s="77" t="s">
        <v>571</v>
      </c>
      <c r="P428" s="79">
        <v>44048.45751157407</v>
      </c>
      <c r="Q428" s="77" t="s">
        <v>902</v>
      </c>
      <c r="R428" s="77">
        <v>0</v>
      </c>
      <c r="S428" s="77">
        <v>3</v>
      </c>
      <c r="T428" s="77">
        <v>2</v>
      </c>
      <c r="U428" s="77">
        <v>2</v>
      </c>
      <c r="V428" s="77"/>
      <c r="W428" s="81" t="s">
        <v>1799</v>
      </c>
      <c r="X428" s="80" t="str">
        <f>HYPERLINK("https://bit.ly/3fs59eV")</f>
        <v>https://bit.ly/3fs59eV</v>
      </c>
      <c r="Y428" s="77" t="s">
        <v>1984</v>
      </c>
      <c r="Z428" s="77" t="s">
        <v>2088</v>
      </c>
      <c r="AA428" s="77" t="s">
        <v>2213</v>
      </c>
      <c r="AB428" s="77" t="s">
        <v>2696</v>
      </c>
      <c r="AC428" s="81" t="s">
        <v>2707</v>
      </c>
      <c r="AD428" s="77" t="s">
        <v>2751</v>
      </c>
      <c r="AE428" s="80" t="str">
        <f>HYPERLINK("https://twitter.com/topdevelopersco/status/1290965478920208385")</f>
        <v>https://twitter.com/topdevelopersco/status/1290965478920208385</v>
      </c>
      <c r="AF428" s="79">
        <v>44048.45751157407</v>
      </c>
      <c r="AG428" s="85">
        <v>44048</v>
      </c>
      <c r="AH428" s="81" t="s">
        <v>3092</v>
      </c>
      <c r="AI428" s="77" t="b">
        <v>0</v>
      </c>
      <c r="AJ428" s="77"/>
      <c r="AK428" s="77"/>
      <c r="AL428" s="77"/>
      <c r="AM428" s="77"/>
      <c r="AN428" s="77"/>
      <c r="AO428" s="77"/>
      <c r="AP428" s="77"/>
      <c r="AQ428" s="77" t="s">
        <v>4030</v>
      </c>
      <c r="AR428" s="77"/>
      <c r="AS428" s="77"/>
      <c r="AT428" s="77"/>
      <c r="AU428" s="77"/>
      <c r="AV428" s="80" t="str">
        <f>HYPERLINK("https://pbs.twimg.com/media/EepuQKMUcAA5RXj.png")</f>
        <v>https://pbs.twimg.com/media/EepuQKMUcAA5RXj.png</v>
      </c>
      <c r="AW428" s="81" t="s">
        <v>4838</v>
      </c>
      <c r="AX428" s="81" t="s">
        <v>4838</v>
      </c>
      <c r="AY428" s="77"/>
      <c r="AZ428" s="81" t="s">
        <v>5773</v>
      </c>
      <c r="BA428" s="81" t="s">
        <v>5773</v>
      </c>
      <c r="BB428" s="81" t="s">
        <v>5773</v>
      </c>
      <c r="BC428" s="81" t="s">
        <v>4838</v>
      </c>
      <c r="BD428" s="81" t="s">
        <v>5763</v>
      </c>
      <c r="BE428" s="77"/>
      <c r="BF428" s="77"/>
      <c r="BG428" s="77"/>
      <c r="BH428" s="77"/>
      <c r="BI428" s="77"/>
    </row>
    <row r="429" spans="1:61" ht="15">
      <c r="A429" s="62" t="s">
        <v>349</v>
      </c>
      <c r="B429" s="62" t="s">
        <v>299</v>
      </c>
      <c r="C429" s="63"/>
      <c r="D429" s="64"/>
      <c r="E429" s="65"/>
      <c r="F429" s="66"/>
      <c r="G429" s="63"/>
      <c r="H429" s="67"/>
      <c r="I429" s="68"/>
      <c r="J429" s="68"/>
      <c r="K429" s="32" t="s">
        <v>65</v>
      </c>
      <c r="L429" s="75">
        <v>429</v>
      </c>
      <c r="M429" s="75"/>
      <c r="N429" s="70"/>
      <c r="O429" s="77" t="s">
        <v>573</v>
      </c>
      <c r="P429" s="79">
        <v>44057.004791666666</v>
      </c>
      <c r="Q429" s="77" t="s">
        <v>903</v>
      </c>
      <c r="R429" s="77">
        <v>0</v>
      </c>
      <c r="S429" s="77">
        <v>0</v>
      </c>
      <c r="T429" s="77">
        <v>0</v>
      </c>
      <c r="U429" s="77">
        <v>0</v>
      </c>
      <c r="V429" s="77"/>
      <c r="W429" s="77"/>
      <c r="X429" s="77"/>
      <c r="Y429" s="77"/>
      <c r="Z429" s="77" t="s">
        <v>2082</v>
      </c>
      <c r="AA429" s="77"/>
      <c r="AB429" s="77"/>
      <c r="AC429" s="81" t="s">
        <v>2707</v>
      </c>
      <c r="AD429" s="77" t="s">
        <v>2751</v>
      </c>
      <c r="AE429" s="80" t="str">
        <f>HYPERLINK("https://twitter.com/thriveagency/status/1294062908041605120")</f>
        <v>https://twitter.com/thriveagency/status/1294062908041605120</v>
      </c>
      <c r="AF429" s="79">
        <v>44057.004791666666</v>
      </c>
      <c r="AG429" s="85">
        <v>44057</v>
      </c>
      <c r="AH429" s="81" t="s">
        <v>3093</v>
      </c>
      <c r="AI429" s="77"/>
      <c r="AJ429" s="77"/>
      <c r="AK429" s="77"/>
      <c r="AL429" s="77"/>
      <c r="AM429" s="77"/>
      <c r="AN429" s="77"/>
      <c r="AO429" s="77"/>
      <c r="AP429" s="77"/>
      <c r="AQ429" s="77"/>
      <c r="AR429" s="77"/>
      <c r="AS429" s="77"/>
      <c r="AT429" s="77"/>
      <c r="AU429" s="77"/>
      <c r="AV429" s="80" t="str">
        <f>HYPERLINK("https://pbs.twimg.com/profile_images/1296790366083899392/evocoOcC_normal.jpg")</f>
        <v>https://pbs.twimg.com/profile_images/1296790366083899392/evocoOcC_normal.jpg</v>
      </c>
      <c r="AW429" s="81" t="s">
        <v>4839</v>
      </c>
      <c r="AX429" s="81" t="s">
        <v>4838</v>
      </c>
      <c r="AY429" s="81" t="s">
        <v>5763</v>
      </c>
      <c r="AZ429" s="81" t="s">
        <v>4838</v>
      </c>
      <c r="BA429" s="81" t="s">
        <v>5773</v>
      </c>
      <c r="BB429" s="81" t="s">
        <v>5773</v>
      </c>
      <c r="BC429" s="81" t="s">
        <v>4838</v>
      </c>
      <c r="BD429" s="77">
        <v>71281607</v>
      </c>
      <c r="BE429" s="77"/>
      <c r="BF429" s="77"/>
      <c r="BG429" s="77"/>
      <c r="BH429" s="77"/>
      <c r="BI429" s="77"/>
    </row>
    <row r="430" spans="1:61" ht="15">
      <c r="A430" s="62" t="s">
        <v>349</v>
      </c>
      <c r="B430" s="62" t="s">
        <v>350</v>
      </c>
      <c r="C430" s="63"/>
      <c r="D430" s="64"/>
      <c r="E430" s="65"/>
      <c r="F430" s="66"/>
      <c r="G430" s="63"/>
      <c r="H430" s="67"/>
      <c r="I430" s="68"/>
      <c r="J430" s="68"/>
      <c r="K430" s="32" t="s">
        <v>66</v>
      </c>
      <c r="L430" s="75">
        <v>430</v>
      </c>
      <c r="M430" s="75"/>
      <c r="N430" s="70"/>
      <c r="O430" s="77" t="s">
        <v>573</v>
      </c>
      <c r="P430" s="79">
        <v>44057.004791666666</v>
      </c>
      <c r="Q430" s="77" t="s">
        <v>903</v>
      </c>
      <c r="R430" s="77">
        <v>0</v>
      </c>
      <c r="S430" s="77">
        <v>0</v>
      </c>
      <c r="T430" s="77">
        <v>0</v>
      </c>
      <c r="U430" s="77">
        <v>0</v>
      </c>
      <c r="V430" s="77"/>
      <c r="W430" s="77"/>
      <c r="X430" s="77"/>
      <c r="Y430" s="77"/>
      <c r="Z430" s="77" t="s">
        <v>2082</v>
      </c>
      <c r="AA430" s="77"/>
      <c r="AB430" s="77"/>
      <c r="AC430" s="81" t="s">
        <v>2707</v>
      </c>
      <c r="AD430" s="77" t="s">
        <v>2751</v>
      </c>
      <c r="AE430" s="80" t="str">
        <f>HYPERLINK("https://twitter.com/thriveagency/status/1294062908041605120")</f>
        <v>https://twitter.com/thriveagency/status/1294062908041605120</v>
      </c>
      <c r="AF430" s="79">
        <v>44057.004791666666</v>
      </c>
      <c r="AG430" s="85">
        <v>44057</v>
      </c>
      <c r="AH430" s="81" t="s">
        <v>3093</v>
      </c>
      <c r="AI430" s="77"/>
      <c r="AJ430" s="77"/>
      <c r="AK430" s="77"/>
      <c r="AL430" s="77"/>
      <c r="AM430" s="77"/>
      <c r="AN430" s="77"/>
      <c r="AO430" s="77"/>
      <c r="AP430" s="77"/>
      <c r="AQ430" s="77"/>
      <c r="AR430" s="77"/>
      <c r="AS430" s="77"/>
      <c r="AT430" s="77"/>
      <c r="AU430" s="77"/>
      <c r="AV430" s="80" t="str">
        <f>HYPERLINK("https://pbs.twimg.com/profile_images/1296790366083899392/evocoOcC_normal.jpg")</f>
        <v>https://pbs.twimg.com/profile_images/1296790366083899392/evocoOcC_normal.jpg</v>
      </c>
      <c r="AW430" s="81" t="s">
        <v>4839</v>
      </c>
      <c r="AX430" s="81" t="s">
        <v>4838</v>
      </c>
      <c r="AY430" s="81" t="s">
        <v>5763</v>
      </c>
      <c r="AZ430" s="81" t="s">
        <v>4838</v>
      </c>
      <c r="BA430" s="81" t="s">
        <v>5773</v>
      </c>
      <c r="BB430" s="81" t="s">
        <v>5773</v>
      </c>
      <c r="BC430" s="81" t="s">
        <v>4838</v>
      </c>
      <c r="BD430" s="77">
        <v>71281607</v>
      </c>
      <c r="BE430" s="77"/>
      <c r="BF430" s="77"/>
      <c r="BG430" s="77"/>
      <c r="BH430" s="77"/>
      <c r="BI430" s="77"/>
    </row>
    <row r="431" spans="1:61" ht="15">
      <c r="A431" s="62" t="s">
        <v>349</v>
      </c>
      <c r="B431" s="62" t="s">
        <v>261</v>
      </c>
      <c r="C431" s="63"/>
      <c r="D431" s="64"/>
      <c r="E431" s="65"/>
      <c r="F431" s="66"/>
      <c r="G431" s="63"/>
      <c r="H431" s="67"/>
      <c r="I431" s="68"/>
      <c r="J431" s="68"/>
      <c r="K431" s="32" t="s">
        <v>66</v>
      </c>
      <c r="L431" s="75">
        <v>431</v>
      </c>
      <c r="M431" s="75"/>
      <c r="N431" s="70"/>
      <c r="O431" s="77" t="s">
        <v>572</v>
      </c>
      <c r="P431" s="79">
        <v>44057.004791666666</v>
      </c>
      <c r="Q431" s="77" t="s">
        <v>903</v>
      </c>
      <c r="R431" s="77">
        <v>0</v>
      </c>
      <c r="S431" s="77">
        <v>0</v>
      </c>
      <c r="T431" s="77">
        <v>0</v>
      </c>
      <c r="U431" s="77">
        <v>0</v>
      </c>
      <c r="V431" s="77"/>
      <c r="W431" s="77"/>
      <c r="X431" s="77"/>
      <c r="Y431" s="77"/>
      <c r="Z431" s="77" t="s">
        <v>2082</v>
      </c>
      <c r="AA431" s="77"/>
      <c r="AB431" s="77"/>
      <c r="AC431" s="81" t="s">
        <v>2707</v>
      </c>
      <c r="AD431" s="77" t="s">
        <v>2751</v>
      </c>
      <c r="AE431" s="80" t="str">
        <f>HYPERLINK("https://twitter.com/thriveagency/status/1294062908041605120")</f>
        <v>https://twitter.com/thriveagency/status/1294062908041605120</v>
      </c>
      <c r="AF431" s="79">
        <v>44057.004791666666</v>
      </c>
      <c r="AG431" s="85">
        <v>44057</v>
      </c>
      <c r="AH431" s="81" t="s">
        <v>3093</v>
      </c>
      <c r="AI431" s="77"/>
      <c r="AJ431" s="77"/>
      <c r="AK431" s="77"/>
      <c r="AL431" s="77"/>
      <c r="AM431" s="77"/>
      <c r="AN431" s="77"/>
      <c r="AO431" s="77"/>
      <c r="AP431" s="77"/>
      <c r="AQ431" s="77"/>
      <c r="AR431" s="77"/>
      <c r="AS431" s="77"/>
      <c r="AT431" s="77"/>
      <c r="AU431" s="77"/>
      <c r="AV431" s="80" t="str">
        <f>HYPERLINK("https://pbs.twimg.com/profile_images/1296790366083899392/evocoOcC_normal.jpg")</f>
        <v>https://pbs.twimg.com/profile_images/1296790366083899392/evocoOcC_normal.jpg</v>
      </c>
      <c r="AW431" s="81" t="s">
        <v>4839</v>
      </c>
      <c r="AX431" s="81" t="s">
        <v>4838</v>
      </c>
      <c r="AY431" s="81" t="s">
        <v>5763</v>
      </c>
      <c r="AZ431" s="81" t="s">
        <v>4838</v>
      </c>
      <c r="BA431" s="81" t="s">
        <v>5773</v>
      </c>
      <c r="BB431" s="81" t="s">
        <v>5773</v>
      </c>
      <c r="BC431" s="81" t="s">
        <v>4838</v>
      </c>
      <c r="BD431" s="77">
        <v>71281607</v>
      </c>
      <c r="BE431" s="77"/>
      <c r="BF431" s="77"/>
      <c r="BG431" s="77"/>
      <c r="BH431" s="77"/>
      <c r="BI431" s="77"/>
    </row>
    <row r="432" spans="1:61" ht="15">
      <c r="A432" s="62" t="s">
        <v>350</v>
      </c>
      <c r="B432" s="62" t="s">
        <v>349</v>
      </c>
      <c r="C432" s="63"/>
      <c r="D432" s="64"/>
      <c r="E432" s="65"/>
      <c r="F432" s="66"/>
      <c r="G432" s="63"/>
      <c r="H432" s="67"/>
      <c r="I432" s="68"/>
      <c r="J432" s="68"/>
      <c r="K432" s="32" t="s">
        <v>66</v>
      </c>
      <c r="L432" s="75">
        <v>432</v>
      </c>
      <c r="M432" s="75"/>
      <c r="N432" s="70"/>
      <c r="O432" s="77" t="s">
        <v>573</v>
      </c>
      <c r="P432" s="79">
        <v>44048.888773148145</v>
      </c>
      <c r="Q432" s="77" t="s">
        <v>904</v>
      </c>
      <c r="R432" s="77">
        <v>0</v>
      </c>
      <c r="S432" s="77">
        <v>2</v>
      </c>
      <c r="T432" s="77">
        <v>0</v>
      </c>
      <c r="U432" s="77">
        <v>0</v>
      </c>
      <c r="V432" s="77"/>
      <c r="W432" s="77"/>
      <c r="X432" s="77"/>
      <c r="Y432" s="77"/>
      <c r="Z432" s="77" t="s">
        <v>2089</v>
      </c>
      <c r="AA432" s="77"/>
      <c r="AB432" s="77"/>
      <c r="AC432" s="81" t="s">
        <v>2707</v>
      </c>
      <c r="AD432" s="77" t="s">
        <v>2751</v>
      </c>
      <c r="AE432" s="80" t="str">
        <f>HYPERLINK("https://twitter.com/leveronline/status/1291121760545517569")</f>
        <v>https://twitter.com/leveronline/status/1291121760545517569</v>
      </c>
      <c r="AF432" s="79">
        <v>44048.888773148145</v>
      </c>
      <c r="AG432" s="85">
        <v>44048</v>
      </c>
      <c r="AH432" s="81" t="s">
        <v>3094</v>
      </c>
      <c r="AI432" s="77"/>
      <c r="AJ432" s="77"/>
      <c r="AK432" s="77"/>
      <c r="AL432" s="77"/>
      <c r="AM432" s="77"/>
      <c r="AN432" s="77"/>
      <c r="AO432" s="77"/>
      <c r="AP432" s="77"/>
      <c r="AQ432" s="77"/>
      <c r="AR432" s="77"/>
      <c r="AS432" s="77"/>
      <c r="AT432" s="77"/>
      <c r="AU432" s="77"/>
      <c r="AV432" s="80" t="str">
        <f>HYPERLINK("https://pbs.twimg.com/profile_images/1637868337458733056/ttqXG4C6_normal.jpg")</f>
        <v>https://pbs.twimg.com/profile_images/1637868337458733056/ttqXG4C6_normal.jpg</v>
      </c>
      <c r="AW432" s="81" t="s">
        <v>4840</v>
      </c>
      <c r="AX432" s="81" t="s">
        <v>4838</v>
      </c>
      <c r="AY432" s="81" t="s">
        <v>5763</v>
      </c>
      <c r="AZ432" s="81" t="s">
        <v>4838</v>
      </c>
      <c r="BA432" s="81" t="s">
        <v>5773</v>
      </c>
      <c r="BB432" s="81" t="s">
        <v>5773</v>
      </c>
      <c r="BC432" s="81" t="s">
        <v>4838</v>
      </c>
      <c r="BD432" s="77">
        <v>46403338</v>
      </c>
      <c r="BE432" s="77"/>
      <c r="BF432" s="77"/>
      <c r="BG432" s="77"/>
      <c r="BH432" s="77"/>
      <c r="BI432" s="77"/>
    </row>
    <row r="433" spans="1:61" ht="15">
      <c r="A433" s="62" t="s">
        <v>261</v>
      </c>
      <c r="B433" s="62" t="s">
        <v>350</v>
      </c>
      <c r="C433" s="63"/>
      <c r="D433" s="64"/>
      <c r="E433" s="65"/>
      <c r="F433" s="66"/>
      <c r="G433" s="63"/>
      <c r="H433" s="67"/>
      <c r="I433" s="68"/>
      <c r="J433" s="68"/>
      <c r="K433" s="32" t="s">
        <v>66</v>
      </c>
      <c r="L433" s="75">
        <v>433</v>
      </c>
      <c r="M433" s="75"/>
      <c r="N433" s="70"/>
      <c r="O433" s="77" t="s">
        <v>571</v>
      </c>
      <c r="P433" s="79">
        <v>44048.45751157407</v>
      </c>
      <c r="Q433" s="77" t="s">
        <v>902</v>
      </c>
      <c r="R433" s="77">
        <v>0</v>
      </c>
      <c r="S433" s="77">
        <v>3</v>
      </c>
      <c r="T433" s="77">
        <v>2</v>
      </c>
      <c r="U433" s="77">
        <v>2</v>
      </c>
      <c r="V433" s="77"/>
      <c r="W433" s="81" t="s">
        <v>1799</v>
      </c>
      <c r="X433" s="80" t="str">
        <f>HYPERLINK("https://bit.ly/3fs59eV")</f>
        <v>https://bit.ly/3fs59eV</v>
      </c>
      <c r="Y433" s="77" t="s">
        <v>1984</v>
      </c>
      <c r="Z433" s="77" t="s">
        <v>2088</v>
      </c>
      <c r="AA433" s="77" t="s">
        <v>2213</v>
      </c>
      <c r="AB433" s="77" t="s">
        <v>2696</v>
      </c>
      <c r="AC433" s="81" t="s">
        <v>2707</v>
      </c>
      <c r="AD433" s="77" t="s">
        <v>2751</v>
      </c>
      <c r="AE433" s="80" t="str">
        <f>HYPERLINK("https://twitter.com/topdevelopersco/status/1290965478920208385")</f>
        <v>https://twitter.com/topdevelopersco/status/1290965478920208385</v>
      </c>
      <c r="AF433" s="79">
        <v>44048.45751157407</v>
      </c>
      <c r="AG433" s="85">
        <v>44048</v>
      </c>
      <c r="AH433" s="81" t="s">
        <v>3092</v>
      </c>
      <c r="AI433" s="77" t="b">
        <v>0</v>
      </c>
      <c r="AJ433" s="77"/>
      <c r="AK433" s="77"/>
      <c r="AL433" s="77"/>
      <c r="AM433" s="77"/>
      <c r="AN433" s="77"/>
      <c r="AO433" s="77"/>
      <c r="AP433" s="77"/>
      <c r="AQ433" s="77" t="s">
        <v>4030</v>
      </c>
      <c r="AR433" s="77"/>
      <c r="AS433" s="77"/>
      <c r="AT433" s="77"/>
      <c r="AU433" s="77"/>
      <c r="AV433" s="80" t="str">
        <f>HYPERLINK("https://pbs.twimg.com/media/EepuQKMUcAA5RXj.png")</f>
        <v>https://pbs.twimg.com/media/EepuQKMUcAA5RXj.png</v>
      </c>
      <c r="AW433" s="81" t="s">
        <v>4838</v>
      </c>
      <c r="AX433" s="81" t="s">
        <v>4838</v>
      </c>
      <c r="AY433" s="77"/>
      <c r="AZ433" s="81" t="s">
        <v>5773</v>
      </c>
      <c r="BA433" s="81" t="s">
        <v>5773</v>
      </c>
      <c r="BB433" s="81" t="s">
        <v>5773</v>
      </c>
      <c r="BC433" s="81" t="s">
        <v>4838</v>
      </c>
      <c r="BD433" s="81" t="s">
        <v>5763</v>
      </c>
      <c r="BE433" s="77"/>
      <c r="BF433" s="77"/>
      <c r="BG433" s="77"/>
      <c r="BH433" s="77"/>
      <c r="BI433" s="77"/>
    </row>
    <row r="434" spans="1:61" ht="15">
      <c r="A434" s="62" t="s">
        <v>350</v>
      </c>
      <c r="B434" s="62" t="s">
        <v>299</v>
      </c>
      <c r="C434" s="63"/>
      <c r="D434" s="64"/>
      <c r="E434" s="65"/>
      <c r="F434" s="66"/>
      <c r="G434" s="63"/>
      <c r="H434" s="67"/>
      <c r="I434" s="68"/>
      <c r="J434" s="68"/>
      <c r="K434" s="32" t="s">
        <v>65</v>
      </c>
      <c r="L434" s="75">
        <v>434</v>
      </c>
      <c r="M434" s="75"/>
      <c r="N434" s="70"/>
      <c r="O434" s="77" t="s">
        <v>573</v>
      </c>
      <c r="P434" s="79">
        <v>44048.888773148145</v>
      </c>
      <c r="Q434" s="77" t="s">
        <v>904</v>
      </c>
      <c r="R434" s="77">
        <v>0</v>
      </c>
      <c r="S434" s="77">
        <v>2</v>
      </c>
      <c r="T434" s="77">
        <v>0</v>
      </c>
      <c r="U434" s="77">
        <v>0</v>
      </c>
      <c r="V434" s="77"/>
      <c r="W434" s="77"/>
      <c r="X434" s="77"/>
      <c r="Y434" s="77"/>
      <c r="Z434" s="77" t="s">
        <v>2089</v>
      </c>
      <c r="AA434" s="77"/>
      <c r="AB434" s="77"/>
      <c r="AC434" s="81" t="s">
        <v>2707</v>
      </c>
      <c r="AD434" s="77" t="s">
        <v>2751</v>
      </c>
      <c r="AE434" s="80" t="str">
        <f>HYPERLINK("https://twitter.com/leveronline/status/1291121760545517569")</f>
        <v>https://twitter.com/leveronline/status/1291121760545517569</v>
      </c>
      <c r="AF434" s="79">
        <v>44048.888773148145</v>
      </c>
      <c r="AG434" s="85">
        <v>44048</v>
      </c>
      <c r="AH434" s="81" t="s">
        <v>3094</v>
      </c>
      <c r="AI434" s="77"/>
      <c r="AJ434" s="77"/>
      <c r="AK434" s="77"/>
      <c r="AL434" s="77"/>
      <c r="AM434" s="77"/>
      <c r="AN434" s="77"/>
      <c r="AO434" s="77"/>
      <c r="AP434" s="77"/>
      <c r="AQ434" s="77"/>
      <c r="AR434" s="77"/>
      <c r="AS434" s="77"/>
      <c r="AT434" s="77"/>
      <c r="AU434" s="77"/>
      <c r="AV434" s="80" t="str">
        <f>HYPERLINK("https://pbs.twimg.com/profile_images/1637868337458733056/ttqXG4C6_normal.jpg")</f>
        <v>https://pbs.twimg.com/profile_images/1637868337458733056/ttqXG4C6_normal.jpg</v>
      </c>
      <c r="AW434" s="81" t="s">
        <v>4840</v>
      </c>
      <c r="AX434" s="81" t="s">
        <v>4838</v>
      </c>
      <c r="AY434" s="81" t="s">
        <v>5763</v>
      </c>
      <c r="AZ434" s="81" t="s">
        <v>4838</v>
      </c>
      <c r="BA434" s="81" t="s">
        <v>5773</v>
      </c>
      <c r="BB434" s="81" t="s">
        <v>5773</v>
      </c>
      <c r="BC434" s="81" t="s">
        <v>4838</v>
      </c>
      <c r="BD434" s="77">
        <v>46403338</v>
      </c>
      <c r="BE434" s="77"/>
      <c r="BF434" s="77"/>
      <c r="BG434" s="77"/>
      <c r="BH434" s="77"/>
      <c r="BI434" s="77"/>
    </row>
    <row r="435" spans="1:61" ht="15">
      <c r="A435" s="62" t="s">
        <v>350</v>
      </c>
      <c r="B435" s="62" t="s">
        <v>261</v>
      </c>
      <c r="C435" s="63"/>
      <c r="D435" s="64"/>
      <c r="E435" s="65"/>
      <c r="F435" s="66"/>
      <c r="G435" s="63"/>
      <c r="H435" s="67"/>
      <c r="I435" s="68"/>
      <c r="J435" s="68"/>
      <c r="K435" s="32" t="s">
        <v>66</v>
      </c>
      <c r="L435" s="75">
        <v>435</v>
      </c>
      <c r="M435" s="75"/>
      <c r="N435" s="70"/>
      <c r="O435" s="77" t="s">
        <v>572</v>
      </c>
      <c r="P435" s="79">
        <v>44048.888773148145</v>
      </c>
      <c r="Q435" s="77" t="s">
        <v>904</v>
      </c>
      <c r="R435" s="77">
        <v>0</v>
      </c>
      <c r="S435" s="77">
        <v>2</v>
      </c>
      <c r="T435" s="77">
        <v>0</v>
      </c>
      <c r="U435" s="77">
        <v>0</v>
      </c>
      <c r="V435" s="77"/>
      <c r="W435" s="77"/>
      <c r="X435" s="77"/>
      <c r="Y435" s="77"/>
      <c r="Z435" s="77" t="s">
        <v>2089</v>
      </c>
      <c r="AA435" s="77"/>
      <c r="AB435" s="77"/>
      <c r="AC435" s="81" t="s">
        <v>2707</v>
      </c>
      <c r="AD435" s="77" t="s">
        <v>2751</v>
      </c>
      <c r="AE435" s="80" t="str">
        <f>HYPERLINK("https://twitter.com/leveronline/status/1291121760545517569")</f>
        <v>https://twitter.com/leveronline/status/1291121760545517569</v>
      </c>
      <c r="AF435" s="79">
        <v>44048.888773148145</v>
      </c>
      <c r="AG435" s="85">
        <v>44048</v>
      </c>
      <c r="AH435" s="81" t="s">
        <v>3094</v>
      </c>
      <c r="AI435" s="77"/>
      <c r="AJ435" s="77"/>
      <c r="AK435" s="77"/>
      <c r="AL435" s="77"/>
      <c r="AM435" s="77"/>
      <c r="AN435" s="77"/>
      <c r="AO435" s="77"/>
      <c r="AP435" s="77"/>
      <c r="AQ435" s="77"/>
      <c r="AR435" s="77"/>
      <c r="AS435" s="77"/>
      <c r="AT435" s="77"/>
      <c r="AU435" s="77"/>
      <c r="AV435" s="80" t="str">
        <f>HYPERLINK("https://pbs.twimg.com/profile_images/1637868337458733056/ttqXG4C6_normal.jpg")</f>
        <v>https://pbs.twimg.com/profile_images/1637868337458733056/ttqXG4C6_normal.jpg</v>
      </c>
      <c r="AW435" s="81" t="s">
        <v>4840</v>
      </c>
      <c r="AX435" s="81" t="s">
        <v>4838</v>
      </c>
      <c r="AY435" s="81" t="s">
        <v>5763</v>
      </c>
      <c r="AZ435" s="81" t="s">
        <v>4838</v>
      </c>
      <c r="BA435" s="81" t="s">
        <v>5773</v>
      </c>
      <c r="BB435" s="81" t="s">
        <v>5773</v>
      </c>
      <c r="BC435" s="81" t="s">
        <v>4838</v>
      </c>
      <c r="BD435" s="77">
        <v>46403338</v>
      </c>
      <c r="BE435" s="77"/>
      <c r="BF435" s="77"/>
      <c r="BG435" s="77"/>
      <c r="BH435" s="77"/>
      <c r="BI435" s="77"/>
    </row>
    <row r="436" spans="1:61" ht="15">
      <c r="A436" s="62" t="s">
        <v>351</v>
      </c>
      <c r="B436" s="62" t="s">
        <v>351</v>
      </c>
      <c r="C436" s="63"/>
      <c r="D436" s="64"/>
      <c r="E436" s="65"/>
      <c r="F436" s="66"/>
      <c r="G436" s="63"/>
      <c r="H436" s="67"/>
      <c r="I436" s="68"/>
      <c r="J436" s="68"/>
      <c r="K436" s="32" t="s">
        <v>65</v>
      </c>
      <c r="L436" s="75">
        <v>436</v>
      </c>
      <c r="M436" s="75"/>
      <c r="N436" s="70"/>
      <c r="O436" s="77" t="s">
        <v>179</v>
      </c>
      <c r="P436" s="79">
        <v>42931.27532407407</v>
      </c>
      <c r="Q436" s="77" t="s">
        <v>905</v>
      </c>
      <c r="R436" s="77">
        <v>0</v>
      </c>
      <c r="S436" s="77">
        <v>0</v>
      </c>
      <c r="T436" s="77">
        <v>0</v>
      </c>
      <c r="U436" s="77">
        <v>0</v>
      </c>
      <c r="V436" s="77"/>
      <c r="W436" s="77"/>
      <c r="X436" s="77"/>
      <c r="Y436" s="77"/>
      <c r="Z436" s="77"/>
      <c r="AA436" s="77"/>
      <c r="AB436" s="77"/>
      <c r="AC436" s="81" t="s">
        <v>2710</v>
      </c>
      <c r="AD436" s="77" t="s">
        <v>2751</v>
      </c>
      <c r="AE436" s="80" t="str">
        <f>HYPERLINK("https://twitter.com/benannabakery/status/886112207624437760")</f>
        <v>https://twitter.com/benannabakery/status/886112207624437760</v>
      </c>
      <c r="AF436" s="79">
        <v>42931.27532407407</v>
      </c>
      <c r="AG436" s="85">
        <v>42931</v>
      </c>
      <c r="AH436" s="81" t="s">
        <v>3095</v>
      </c>
      <c r="AI436" s="77"/>
      <c r="AJ436" s="77"/>
      <c r="AK436" s="77"/>
      <c r="AL436" s="77"/>
      <c r="AM436" s="77"/>
      <c r="AN436" s="77"/>
      <c r="AO436" s="77"/>
      <c r="AP436" s="77"/>
      <c r="AQ436" s="77"/>
      <c r="AR436" s="77"/>
      <c r="AS436" s="77"/>
      <c r="AT436" s="77"/>
      <c r="AU436" s="77"/>
      <c r="AV436" s="80" t="str">
        <f>HYPERLINK("https://pbs.twimg.com/profile_images/1404941949140836358/OdlsLJut_normal.jpg")</f>
        <v>https://pbs.twimg.com/profile_images/1404941949140836358/OdlsLJut_normal.jpg</v>
      </c>
      <c r="AW436" s="81" t="s">
        <v>4841</v>
      </c>
      <c r="AX436" s="81" t="s">
        <v>4841</v>
      </c>
      <c r="AY436" s="77"/>
      <c r="AZ436" s="81" t="s">
        <v>5773</v>
      </c>
      <c r="BA436" s="81" t="s">
        <v>5773</v>
      </c>
      <c r="BB436" s="81" t="s">
        <v>5773</v>
      </c>
      <c r="BC436" s="81" t="s">
        <v>4841</v>
      </c>
      <c r="BD436" s="77">
        <v>846430350</v>
      </c>
      <c r="BE436" s="77"/>
      <c r="BF436" s="77"/>
      <c r="BG436" s="77"/>
      <c r="BH436" s="77"/>
      <c r="BI436" s="77"/>
    </row>
    <row r="437" spans="1:61" ht="15">
      <c r="A437" s="62" t="s">
        <v>352</v>
      </c>
      <c r="B437" s="62" t="s">
        <v>352</v>
      </c>
      <c r="C437" s="63"/>
      <c r="D437" s="64"/>
      <c r="E437" s="65"/>
      <c r="F437" s="66"/>
      <c r="G437" s="63"/>
      <c r="H437" s="67"/>
      <c r="I437" s="68"/>
      <c r="J437" s="68"/>
      <c r="K437" s="32" t="s">
        <v>65</v>
      </c>
      <c r="L437" s="75">
        <v>437</v>
      </c>
      <c r="M437" s="75"/>
      <c r="N437" s="70"/>
      <c r="O437" s="77" t="s">
        <v>179</v>
      </c>
      <c r="P437" s="79">
        <v>40666.62598379629</v>
      </c>
      <c r="Q437" s="77" t="s">
        <v>906</v>
      </c>
      <c r="R437" s="77">
        <v>0</v>
      </c>
      <c r="S437" s="77">
        <v>0</v>
      </c>
      <c r="T437" s="77">
        <v>0</v>
      </c>
      <c r="U437" s="77">
        <v>0</v>
      </c>
      <c r="V437" s="77"/>
      <c r="W437" s="77"/>
      <c r="X437" s="77"/>
      <c r="Y437" s="77"/>
      <c r="Z437" s="77"/>
      <c r="AA437" s="77"/>
      <c r="AB437" s="77"/>
      <c r="AC437" s="81" t="s">
        <v>2702</v>
      </c>
      <c r="AD437" s="77" t="s">
        <v>2751</v>
      </c>
      <c r="AE437" s="80" t="str">
        <f>HYPERLINK("https://twitter.com/jobsin_india/status/65430767311921152")</f>
        <v>https://twitter.com/jobsin_india/status/65430767311921152</v>
      </c>
      <c r="AF437" s="79">
        <v>40666.62598379629</v>
      </c>
      <c r="AG437" s="85">
        <v>40666</v>
      </c>
      <c r="AH437" s="81" t="s">
        <v>3096</v>
      </c>
      <c r="AI437" s="77"/>
      <c r="AJ437" s="77"/>
      <c r="AK437" s="77"/>
      <c r="AL437" s="77"/>
      <c r="AM437" s="77"/>
      <c r="AN437" s="77"/>
      <c r="AO437" s="77"/>
      <c r="AP437" s="77"/>
      <c r="AQ437" s="77"/>
      <c r="AR437" s="77"/>
      <c r="AS437" s="77"/>
      <c r="AT437" s="77"/>
      <c r="AU437" s="77"/>
      <c r="AV437" s="80" t="str">
        <f>HYPERLINK("https://abs.twimg.com/sticky/default_profile_images/default_profile_normal.png")</f>
        <v>https://abs.twimg.com/sticky/default_profile_images/default_profile_normal.png</v>
      </c>
      <c r="AW437" s="81" t="s">
        <v>4842</v>
      </c>
      <c r="AX437" s="81" t="s">
        <v>4842</v>
      </c>
      <c r="AY437" s="77"/>
      <c r="AZ437" s="81" t="s">
        <v>5773</v>
      </c>
      <c r="BA437" s="81" t="s">
        <v>5773</v>
      </c>
      <c r="BB437" s="81" t="s">
        <v>5773</v>
      </c>
      <c r="BC437" s="81" t="s">
        <v>4842</v>
      </c>
      <c r="BD437" s="77">
        <v>151788054</v>
      </c>
      <c r="BE437" s="77"/>
      <c r="BF437" s="77"/>
      <c r="BG437" s="77"/>
      <c r="BH437" s="77"/>
      <c r="BI437" s="77"/>
    </row>
    <row r="438" spans="1:61" ht="15">
      <c r="A438" s="62" t="s">
        <v>352</v>
      </c>
      <c r="B438" s="62" t="s">
        <v>352</v>
      </c>
      <c r="C438" s="63"/>
      <c r="D438" s="64"/>
      <c r="E438" s="65"/>
      <c r="F438" s="66"/>
      <c r="G438" s="63"/>
      <c r="H438" s="67"/>
      <c r="I438" s="68"/>
      <c r="J438" s="68"/>
      <c r="K438" s="32" t="s">
        <v>65</v>
      </c>
      <c r="L438" s="75">
        <v>438</v>
      </c>
      <c r="M438" s="75"/>
      <c r="N438" s="70"/>
      <c r="O438" s="77" t="s">
        <v>179</v>
      </c>
      <c r="P438" s="79">
        <v>40580.29325231481</v>
      </c>
      <c r="Q438" s="77" t="s">
        <v>907</v>
      </c>
      <c r="R438" s="77">
        <v>0</v>
      </c>
      <c r="S438" s="77">
        <v>1</v>
      </c>
      <c r="T438" s="77">
        <v>0</v>
      </c>
      <c r="U438" s="77">
        <v>0</v>
      </c>
      <c r="V438" s="77"/>
      <c r="W438" s="77"/>
      <c r="X438" s="77"/>
      <c r="Y438" s="77"/>
      <c r="Z438" s="77"/>
      <c r="AA438" s="77"/>
      <c r="AB438" s="77"/>
      <c r="AC438" s="81" t="s">
        <v>2702</v>
      </c>
      <c r="AD438" s="77" t="s">
        <v>2751</v>
      </c>
      <c r="AE438" s="80" t="str">
        <f>HYPERLINK("https://twitter.com/jobsin_india/status/34144833601802240")</f>
        <v>https://twitter.com/jobsin_india/status/34144833601802240</v>
      </c>
      <c r="AF438" s="79">
        <v>40580.29325231481</v>
      </c>
      <c r="AG438" s="85">
        <v>40580</v>
      </c>
      <c r="AH438" s="81" t="s">
        <v>3097</v>
      </c>
      <c r="AI438" s="77"/>
      <c r="AJ438" s="77"/>
      <c r="AK438" s="77"/>
      <c r="AL438" s="77"/>
      <c r="AM438" s="77"/>
      <c r="AN438" s="77"/>
      <c r="AO438" s="77"/>
      <c r="AP438" s="77"/>
      <c r="AQ438" s="77"/>
      <c r="AR438" s="77"/>
      <c r="AS438" s="77"/>
      <c r="AT438" s="77"/>
      <c r="AU438" s="77"/>
      <c r="AV438" s="80" t="str">
        <f>HYPERLINK("https://abs.twimg.com/sticky/default_profile_images/default_profile_normal.png")</f>
        <v>https://abs.twimg.com/sticky/default_profile_images/default_profile_normal.png</v>
      </c>
      <c r="AW438" s="81" t="s">
        <v>4843</v>
      </c>
      <c r="AX438" s="81" t="s">
        <v>4843</v>
      </c>
      <c r="AY438" s="77"/>
      <c r="AZ438" s="81" t="s">
        <v>5773</v>
      </c>
      <c r="BA438" s="81" t="s">
        <v>5773</v>
      </c>
      <c r="BB438" s="81" t="s">
        <v>5773</v>
      </c>
      <c r="BC438" s="81" t="s">
        <v>4843</v>
      </c>
      <c r="BD438" s="77">
        <v>151788054</v>
      </c>
      <c r="BE438" s="77"/>
      <c r="BF438" s="77"/>
      <c r="BG438" s="77"/>
      <c r="BH438" s="77"/>
      <c r="BI438" s="77"/>
    </row>
    <row r="439" spans="1:61" ht="15">
      <c r="A439" s="62" t="s">
        <v>353</v>
      </c>
      <c r="B439" s="62" t="s">
        <v>299</v>
      </c>
      <c r="C439" s="63"/>
      <c r="D439" s="64"/>
      <c r="E439" s="65"/>
      <c r="F439" s="66"/>
      <c r="G439" s="63"/>
      <c r="H439" s="67"/>
      <c r="I439" s="68"/>
      <c r="J439" s="68"/>
      <c r="K439" s="32" t="s">
        <v>65</v>
      </c>
      <c r="L439" s="75">
        <v>439</v>
      </c>
      <c r="M439" s="75"/>
      <c r="N439" s="70"/>
      <c r="O439" s="77" t="s">
        <v>571</v>
      </c>
      <c r="P439" s="79">
        <v>42964.983668981484</v>
      </c>
      <c r="Q439" s="77" t="s">
        <v>908</v>
      </c>
      <c r="R439" s="77">
        <v>0</v>
      </c>
      <c r="S439" s="77">
        <v>0</v>
      </c>
      <c r="T439" s="77">
        <v>0</v>
      </c>
      <c r="U439" s="77">
        <v>0</v>
      </c>
      <c r="V439" s="77"/>
      <c r="W439" s="77"/>
      <c r="X439" s="77"/>
      <c r="Y439" s="77"/>
      <c r="Z439" s="77" t="s">
        <v>299</v>
      </c>
      <c r="AA439" s="77"/>
      <c r="AB439" s="77"/>
      <c r="AC439" s="81" t="s">
        <v>2705</v>
      </c>
      <c r="AD439" s="77" t="s">
        <v>2751</v>
      </c>
      <c r="AE439" s="80" t="str">
        <f>HYPERLINK("https://twitter.com/shanebruwer/status/898327703157317633")</f>
        <v>https://twitter.com/shanebruwer/status/898327703157317633</v>
      </c>
      <c r="AF439" s="79">
        <v>42964.983668981484</v>
      </c>
      <c r="AG439" s="85">
        <v>42964</v>
      </c>
      <c r="AH439" s="81" t="s">
        <v>3098</v>
      </c>
      <c r="AI439" s="77"/>
      <c r="AJ439" s="77"/>
      <c r="AK439" s="77"/>
      <c r="AL439" s="77"/>
      <c r="AM439" s="77"/>
      <c r="AN439" s="77"/>
      <c r="AO439" s="77"/>
      <c r="AP439" s="77"/>
      <c r="AQ439" s="77"/>
      <c r="AR439" s="77"/>
      <c r="AS439" s="77"/>
      <c r="AT439" s="77"/>
      <c r="AU439" s="77"/>
      <c r="AV439" s="80" t="str">
        <f>HYPERLINK("https://pbs.twimg.com/profile_images/811184680871591936/8de1HSMQ_normal.jpg")</f>
        <v>https://pbs.twimg.com/profile_images/811184680871591936/8de1HSMQ_normal.jpg</v>
      </c>
      <c r="AW439" s="81" t="s">
        <v>4844</v>
      </c>
      <c r="AX439" s="81" t="s">
        <v>4844</v>
      </c>
      <c r="AY439" s="81" t="s">
        <v>5721</v>
      </c>
      <c r="AZ439" s="81" t="s">
        <v>5773</v>
      </c>
      <c r="BA439" s="81" t="s">
        <v>5773</v>
      </c>
      <c r="BB439" s="81" t="s">
        <v>5773</v>
      </c>
      <c r="BC439" s="81" t="s">
        <v>4844</v>
      </c>
      <c r="BD439" s="81" t="s">
        <v>5815</v>
      </c>
      <c r="BE439" s="77"/>
      <c r="BF439" s="77"/>
      <c r="BG439" s="77"/>
      <c r="BH439" s="77"/>
      <c r="BI439" s="77"/>
    </row>
    <row r="440" spans="1:61" ht="15">
      <c r="A440" s="62" t="s">
        <v>354</v>
      </c>
      <c r="B440" s="62" t="s">
        <v>354</v>
      </c>
      <c r="C440" s="63"/>
      <c r="D440" s="64"/>
      <c r="E440" s="65"/>
      <c r="F440" s="66"/>
      <c r="G440" s="63"/>
      <c r="H440" s="67"/>
      <c r="I440" s="68"/>
      <c r="J440" s="68"/>
      <c r="K440" s="32" t="s">
        <v>65</v>
      </c>
      <c r="L440" s="75">
        <v>440</v>
      </c>
      <c r="M440" s="75"/>
      <c r="N440" s="70"/>
      <c r="O440" s="77" t="s">
        <v>179</v>
      </c>
      <c r="P440" s="79">
        <v>41735.33275462963</v>
      </c>
      <c r="Q440" s="77" t="s">
        <v>909</v>
      </c>
      <c r="R440" s="77">
        <v>0</v>
      </c>
      <c r="S440" s="77">
        <v>0</v>
      </c>
      <c r="T440" s="77">
        <v>0</v>
      </c>
      <c r="U440" s="77">
        <v>0</v>
      </c>
      <c r="V440" s="77"/>
      <c r="W440" s="77"/>
      <c r="X440" s="77"/>
      <c r="Y440" s="77"/>
      <c r="Z440" s="77"/>
      <c r="AA440" s="77"/>
      <c r="AB440" s="77"/>
      <c r="AC440" s="81" t="s">
        <v>2701</v>
      </c>
      <c r="AD440" s="77" t="s">
        <v>2751</v>
      </c>
      <c r="AE440" s="80" t="str">
        <f>HYPERLINK("https://twitter.com/valeriaordaz00/status/452717134720692224")</f>
        <v>https://twitter.com/valeriaordaz00/status/452717134720692224</v>
      </c>
      <c r="AF440" s="79">
        <v>41735.33275462963</v>
      </c>
      <c r="AG440" s="85">
        <v>41735</v>
      </c>
      <c r="AH440" s="81" t="s">
        <v>3099</v>
      </c>
      <c r="AI440" s="77"/>
      <c r="AJ440" s="77"/>
      <c r="AK440" s="77"/>
      <c r="AL440" s="77"/>
      <c r="AM440" s="77"/>
      <c r="AN440" s="77"/>
      <c r="AO440" s="77"/>
      <c r="AP440" s="77"/>
      <c r="AQ440" s="77"/>
      <c r="AR440" s="77"/>
      <c r="AS440" s="77"/>
      <c r="AT440" s="77"/>
      <c r="AU440" s="77"/>
      <c r="AV440" s="80" t="str">
        <f>HYPERLINK("https://pbs.twimg.com/profile_images/1058753500450934784/1SxfU7eV_normal.jpg")</f>
        <v>https://pbs.twimg.com/profile_images/1058753500450934784/1SxfU7eV_normal.jpg</v>
      </c>
      <c r="AW440" s="81" t="s">
        <v>4845</v>
      </c>
      <c r="AX440" s="81" t="s">
        <v>4845</v>
      </c>
      <c r="AY440" s="77"/>
      <c r="AZ440" s="81" t="s">
        <v>5773</v>
      </c>
      <c r="BA440" s="81" t="s">
        <v>5773</v>
      </c>
      <c r="BB440" s="81" t="s">
        <v>5773</v>
      </c>
      <c r="BC440" s="81" t="s">
        <v>4845</v>
      </c>
      <c r="BD440" s="77">
        <v>1651193642</v>
      </c>
      <c r="BE440" s="77"/>
      <c r="BF440" s="77"/>
      <c r="BG440" s="77"/>
      <c r="BH440" s="77"/>
      <c r="BI440" s="77"/>
    </row>
    <row r="441" spans="1:61" ht="15">
      <c r="A441" s="62" t="s">
        <v>355</v>
      </c>
      <c r="B441" s="62" t="s">
        <v>355</v>
      </c>
      <c r="C441" s="63"/>
      <c r="D441" s="64"/>
      <c r="E441" s="65"/>
      <c r="F441" s="66"/>
      <c r="G441" s="63"/>
      <c r="H441" s="67"/>
      <c r="I441" s="68"/>
      <c r="J441" s="68"/>
      <c r="K441" s="32" t="s">
        <v>65</v>
      </c>
      <c r="L441" s="75">
        <v>441</v>
      </c>
      <c r="M441" s="75"/>
      <c r="N441" s="70"/>
      <c r="O441" s="77" t="s">
        <v>572</v>
      </c>
      <c r="P441" s="79">
        <v>44701.07876157408</v>
      </c>
      <c r="Q441" s="77" t="s">
        <v>910</v>
      </c>
      <c r="R441" s="77">
        <v>367</v>
      </c>
      <c r="S441" s="77">
        <v>3163</v>
      </c>
      <c r="T441" s="77">
        <v>4</v>
      </c>
      <c r="U441" s="77">
        <v>738</v>
      </c>
      <c r="V441" s="77"/>
      <c r="W441" s="77"/>
      <c r="X441" s="80" t="str">
        <f>HYPERLINK("http://www.mtv.com/news/2896215/the-unbearable-blakeness-of-lively/?utm=share_twitter")</f>
        <v>http://www.mtv.com/news/2896215/the-unbearable-blakeness-of-lively/?utm=share_twitter</v>
      </c>
      <c r="Y441" s="77" t="s">
        <v>2022</v>
      </c>
      <c r="Z441" s="77"/>
      <c r="AA441" s="77" t="s">
        <v>2214</v>
      </c>
      <c r="AB441" s="77" t="s">
        <v>2696</v>
      </c>
      <c r="AC441" s="81" t="s">
        <v>2707</v>
      </c>
      <c r="AD441" s="77" t="s">
        <v>2751</v>
      </c>
      <c r="AE441" s="80" t="str">
        <f>HYPERLINK("https://twitter.com/writtenbyhanna/status/1527467497728901123")</f>
        <v>https://twitter.com/writtenbyhanna/status/1527467497728901123</v>
      </c>
      <c r="AF441" s="79">
        <v>44701.07876157408</v>
      </c>
      <c r="AG441" s="85">
        <v>44701</v>
      </c>
      <c r="AH441" s="81" t="s">
        <v>3100</v>
      </c>
      <c r="AI441" s="77" t="b">
        <v>0</v>
      </c>
      <c r="AJ441" s="77"/>
      <c r="AK441" s="77"/>
      <c r="AL441" s="77"/>
      <c r="AM441" s="77"/>
      <c r="AN441" s="77"/>
      <c r="AO441" s="77"/>
      <c r="AP441" s="77"/>
      <c r="AQ441" s="77" t="s">
        <v>4031</v>
      </c>
      <c r="AR441" s="77"/>
      <c r="AS441" s="77"/>
      <c r="AT441" s="77"/>
      <c r="AU441" s="77"/>
      <c r="AV441" s="80" t="str">
        <f>HYPERLINK("https://pbs.twimg.com/media/FTKnlbpWAAA8guS.png")</f>
        <v>https://pbs.twimg.com/media/FTKnlbpWAAA8guS.png</v>
      </c>
      <c r="AW441" s="81" t="s">
        <v>4846</v>
      </c>
      <c r="AX441" s="81" t="s">
        <v>5711</v>
      </c>
      <c r="AY441" s="81" t="s">
        <v>5764</v>
      </c>
      <c r="AZ441" s="81" t="s">
        <v>5711</v>
      </c>
      <c r="BA441" s="81" t="s">
        <v>5773</v>
      </c>
      <c r="BB441" s="81" t="s">
        <v>5773</v>
      </c>
      <c r="BC441" s="81" t="s">
        <v>5711</v>
      </c>
      <c r="BD441" s="77">
        <v>52522131</v>
      </c>
      <c r="BE441" s="77"/>
      <c r="BF441" s="77"/>
      <c r="BG441" s="77"/>
      <c r="BH441" s="77"/>
      <c r="BI441" s="77"/>
    </row>
    <row r="442" spans="1:61" ht="15">
      <c r="A442" s="62" t="s">
        <v>356</v>
      </c>
      <c r="B442" s="62" t="s">
        <v>356</v>
      </c>
      <c r="C442" s="63"/>
      <c r="D442" s="64"/>
      <c r="E442" s="65"/>
      <c r="F442" s="66"/>
      <c r="G442" s="63"/>
      <c r="H442" s="67"/>
      <c r="I442" s="68"/>
      <c r="J442" s="68"/>
      <c r="K442" s="32" t="s">
        <v>65</v>
      </c>
      <c r="L442" s="75">
        <v>442</v>
      </c>
      <c r="M442" s="75"/>
      <c r="N442" s="70"/>
      <c r="O442" s="77" t="s">
        <v>179</v>
      </c>
      <c r="P442" s="79">
        <v>42137.53769675926</v>
      </c>
      <c r="Q442" s="77" t="s">
        <v>911</v>
      </c>
      <c r="R442" s="77">
        <v>0</v>
      </c>
      <c r="S442" s="77">
        <v>0</v>
      </c>
      <c r="T442" s="77">
        <v>0</v>
      </c>
      <c r="U442" s="77">
        <v>0</v>
      </c>
      <c r="V442" s="77"/>
      <c r="W442" s="77"/>
      <c r="X442" s="80" t="str">
        <f>HYPERLINK("http://m.careerage.com/ad/vu993o")</f>
        <v>http://m.careerage.com/ad/vu993o</v>
      </c>
      <c r="Y442" s="77" t="s">
        <v>2023</v>
      </c>
      <c r="Z442" s="77"/>
      <c r="AA442" s="77"/>
      <c r="AB442" s="77"/>
      <c r="AC442" s="81" t="s">
        <v>2734</v>
      </c>
      <c r="AD442" s="77" t="s">
        <v>2751</v>
      </c>
      <c r="AE442" s="80" t="str">
        <f>HYPERLINK("https://twitter.com/careerage/status/598471324286078976")</f>
        <v>https://twitter.com/careerage/status/598471324286078976</v>
      </c>
      <c r="AF442" s="79">
        <v>42137.53769675926</v>
      </c>
      <c r="AG442" s="85">
        <v>42137</v>
      </c>
      <c r="AH442" s="81" t="s">
        <v>3101</v>
      </c>
      <c r="AI442" s="77" t="b">
        <v>0</v>
      </c>
      <c r="AJ442" s="77"/>
      <c r="AK442" s="77"/>
      <c r="AL442" s="77"/>
      <c r="AM442" s="77"/>
      <c r="AN442" s="77"/>
      <c r="AO442" s="77"/>
      <c r="AP442" s="77"/>
      <c r="AQ442" s="77"/>
      <c r="AR442" s="77"/>
      <c r="AS442" s="77"/>
      <c r="AT442" s="77"/>
      <c r="AU442" s="77"/>
      <c r="AV442" s="80" t="str">
        <f>HYPERLINK("https://pbs.twimg.com/profile_images/114680511/twitter_logo_bg_normal.gif")</f>
        <v>https://pbs.twimg.com/profile_images/114680511/twitter_logo_bg_normal.gif</v>
      </c>
      <c r="AW442" s="81" t="s">
        <v>4847</v>
      </c>
      <c r="AX442" s="81" t="s">
        <v>4847</v>
      </c>
      <c r="AY442" s="77"/>
      <c r="AZ442" s="81" t="s">
        <v>5773</v>
      </c>
      <c r="BA442" s="81" t="s">
        <v>5773</v>
      </c>
      <c r="BB442" s="81" t="s">
        <v>5773</v>
      </c>
      <c r="BC442" s="81" t="s">
        <v>4847</v>
      </c>
      <c r="BD442" s="77">
        <v>26956474</v>
      </c>
      <c r="BE442" s="77"/>
      <c r="BF442" s="77"/>
      <c r="BG442" s="77"/>
      <c r="BH442" s="77"/>
      <c r="BI442" s="77"/>
    </row>
    <row r="443" spans="1:61" ht="15">
      <c r="A443" s="62" t="s">
        <v>356</v>
      </c>
      <c r="B443" s="62" t="s">
        <v>356</v>
      </c>
      <c r="C443" s="63"/>
      <c r="D443" s="64"/>
      <c r="E443" s="65"/>
      <c r="F443" s="66"/>
      <c r="G443" s="63"/>
      <c r="H443" s="67"/>
      <c r="I443" s="68"/>
      <c r="J443" s="68"/>
      <c r="K443" s="32" t="s">
        <v>65</v>
      </c>
      <c r="L443" s="75">
        <v>443</v>
      </c>
      <c r="M443" s="75"/>
      <c r="N443" s="70"/>
      <c r="O443" s="77" t="s">
        <v>179</v>
      </c>
      <c r="P443" s="79">
        <v>42584.45835648148</v>
      </c>
      <c r="Q443" s="77" t="s">
        <v>912</v>
      </c>
      <c r="R443" s="77">
        <v>0</v>
      </c>
      <c r="S443" s="77">
        <v>1</v>
      </c>
      <c r="T443" s="77">
        <v>0</v>
      </c>
      <c r="U443" s="77">
        <v>0</v>
      </c>
      <c r="V443" s="77"/>
      <c r="W443" s="77"/>
      <c r="X443" s="80" t="str">
        <f>HYPERLINK("http://m.careerage.com/ad/xar672")</f>
        <v>http://m.careerage.com/ad/xar672</v>
      </c>
      <c r="Y443" s="77" t="s">
        <v>2023</v>
      </c>
      <c r="Z443" s="77"/>
      <c r="AA443" s="77"/>
      <c r="AB443" s="77"/>
      <c r="AC443" s="81" t="s">
        <v>2734</v>
      </c>
      <c r="AD443" s="77" t="s">
        <v>2751</v>
      </c>
      <c r="AE443" s="80" t="str">
        <f>HYPERLINK("https://twitter.com/careerage/status/760429947345330176")</f>
        <v>https://twitter.com/careerage/status/760429947345330176</v>
      </c>
      <c r="AF443" s="79">
        <v>42584.45835648148</v>
      </c>
      <c r="AG443" s="85">
        <v>42584</v>
      </c>
      <c r="AH443" s="81" t="s">
        <v>3102</v>
      </c>
      <c r="AI443" s="77" t="b">
        <v>0</v>
      </c>
      <c r="AJ443" s="77"/>
      <c r="AK443" s="77"/>
      <c r="AL443" s="77"/>
      <c r="AM443" s="77"/>
      <c r="AN443" s="77"/>
      <c r="AO443" s="77"/>
      <c r="AP443" s="77"/>
      <c r="AQ443" s="77"/>
      <c r="AR443" s="77"/>
      <c r="AS443" s="77"/>
      <c r="AT443" s="77"/>
      <c r="AU443" s="77"/>
      <c r="AV443" s="80" t="str">
        <f>HYPERLINK("https://pbs.twimg.com/profile_images/114680511/twitter_logo_bg_normal.gif")</f>
        <v>https://pbs.twimg.com/profile_images/114680511/twitter_logo_bg_normal.gif</v>
      </c>
      <c r="AW443" s="81" t="s">
        <v>4848</v>
      </c>
      <c r="AX443" s="81" t="s">
        <v>4848</v>
      </c>
      <c r="AY443" s="77"/>
      <c r="AZ443" s="81" t="s">
        <v>5773</v>
      </c>
      <c r="BA443" s="81" t="s">
        <v>5773</v>
      </c>
      <c r="BB443" s="81" t="s">
        <v>5773</v>
      </c>
      <c r="BC443" s="81" t="s">
        <v>4848</v>
      </c>
      <c r="BD443" s="77">
        <v>26956474</v>
      </c>
      <c r="BE443" s="77"/>
      <c r="BF443" s="77"/>
      <c r="BG443" s="77"/>
      <c r="BH443" s="77"/>
      <c r="BI443" s="77"/>
    </row>
    <row r="444" spans="1:61" ht="15">
      <c r="A444" s="62" t="s">
        <v>357</v>
      </c>
      <c r="B444" s="62" t="s">
        <v>532</v>
      </c>
      <c r="C444" s="63"/>
      <c r="D444" s="64"/>
      <c r="E444" s="65"/>
      <c r="F444" s="66"/>
      <c r="G444" s="63"/>
      <c r="H444" s="67"/>
      <c r="I444" s="68"/>
      <c r="J444" s="68"/>
      <c r="K444" s="32" t="s">
        <v>65</v>
      </c>
      <c r="L444" s="75">
        <v>444</v>
      </c>
      <c r="M444" s="75"/>
      <c r="N444" s="70"/>
      <c r="O444" s="77" t="s">
        <v>572</v>
      </c>
      <c r="P444" s="79">
        <v>41497.37924768519</v>
      </c>
      <c r="Q444" s="77" t="s">
        <v>913</v>
      </c>
      <c r="R444" s="77">
        <v>0</v>
      </c>
      <c r="S444" s="77">
        <v>0</v>
      </c>
      <c r="T444" s="77">
        <v>0</v>
      </c>
      <c r="U444" s="77">
        <v>0</v>
      </c>
      <c r="V444" s="77"/>
      <c r="W444" s="77"/>
      <c r="X444" s="77"/>
      <c r="Y444" s="77"/>
      <c r="Z444" s="77" t="s">
        <v>532</v>
      </c>
      <c r="AA444" s="77"/>
      <c r="AB444" s="77"/>
      <c r="AC444" s="81" t="s">
        <v>2704</v>
      </c>
      <c r="AD444" s="77" t="s">
        <v>2751</v>
      </c>
      <c r="AE444" s="80" t="str">
        <f>HYPERLINK("https://twitter.com/markkyyymark/status/366485670518206466")</f>
        <v>https://twitter.com/markkyyymark/status/366485670518206466</v>
      </c>
      <c r="AF444" s="79">
        <v>41497.37924768519</v>
      </c>
      <c r="AG444" s="85">
        <v>41497</v>
      </c>
      <c r="AH444" s="81" t="s">
        <v>3103</v>
      </c>
      <c r="AI444" s="77"/>
      <c r="AJ444" s="77"/>
      <c r="AK444" s="77"/>
      <c r="AL444" s="77"/>
      <c r="AM444" s="77"/>
      <c r="AN444" s="77"/>
      <c r="AO444" s="77"/>
      <c r="AP444" s="77"/>
      <c r="AQ444" s="77"/>
      <c r="AR444" s="77"/>
      <c r="AS444" s="77"/>
      <c r="AT444" s="77"/>
      <c r="AU444" s="77"/>
      <c r="AV444" s="80" t="str">
        <f>HYPERLINK("https://pbs.twimg.com/profile_images/457280069179027456/J2Da_bjk_normal.jpeg")</f>
        <v>https://pbs.twimg.com/profile_images/457280069179027456/J2Da_bjk_normal.jpeg</v>
      </c>
      <c r="AW444" s="81" t="s">
        <v>4849</v>
      </c>
      <c r="AX444" s="81" t="s">
        <v>5712</v>
      </c>
      <c r="AY444" s="81" t="s">
        <v>5765</v>
      </c>
      <c r="AZ444" s="81" t="s">
        <v>5783</v>
      </c>
      <c r="BA444" s="81" t="s">
        <v>5773</v>
      </c>
      <c r="BB444" s="81" t="s">
        <v>5773</v>
      </c>
      <c r="BC444" s="81" t="s">
        <v>5783</v>
      </c>
      <c r="BD444" s="77">
        <v>297662286</v>
      </c>
      <c r="BE444" s="77"/>
      <c r="BF444" s="77"/>
      <c r="BG444" s="77"/>
      <c r="BH444" s="77"/>
      <c r="BI444" s="77"/>
    </row>
    <row r="445" spans="1:61" ht="15">
      <c r="A445" s="62" t="s">
        <v>358</v>
      </c>
      <c r="B445" s="62" t="s">
        <v>533</v>
      </c>
      <c r="C445" s="63"/>
      <c r="D445" s="64"/>
      <c r="E445" s="65"/>
      <c r="F445" s="66"/>
      <c r="G445" s="63"/>
      <c r="H445" s="67"/>
      <c r="I445" s="68"/>
      <c r="J445" s="68"/>
      <c r="K445" s="32" t="s">
        <v>65</v>
      </c>
      <c r="L445" s="75">
        <v>445</v>
      </c>
      <c r="M445" s="75"/>
      <c r="N445" s="70"/>
      <c r="O445" s="77" t="s">
        <v>571</v>
      </c>
      <c r="P445" s="79">
        <v>44016.689733796295</v>
      </c>
      <c r="Q445" s="77" t="s">
        <v>914</v>
      </c>
      <c r="R445" s="77">
        <v>0</v>
      </c>
      <c r="S445" s="77">
        <v>1</v>
      </c>
      <c r="T445" s="77">
        <v>0</v>
      </c>
      <c r="U445" s="77">
        <v>0</v>
      </c>
      <c r="V445" s="77"/>
      <c r="W445" s="77"/>
      <c r="X445" s="77"/>
      <c r="Y445" s="77"/>
      <c r="Z445" s="77" t="s">
        <v>533</v>
      </c>
      <c r="AA445" s="77"/>
      <c r="AB445" s="77"/>
      <c r="AC445" s="81" t="s">
        <v>2701</v>
      </c>
      <c r="AD445" s="77" t="s">
        <v>2751</v>
      </c>
      <c r="AE445" s="80" t="str">
        <f>HYPERLINK("https://twitter.com/lapsiluco/status/1279453220599820289")</f>
        <v>https://twitter.com/lapsiluco/status/1279453220599820289</v>
      </c>
      <c r="AF445" s="79">
        <v>44016.689733796295</v>
      </c>
      <c r="AG445" s="85">
        <v>44016</v>
      </c>
      <c r="AH445" s="81" t="s">
        <v>3104</v>
      </c>
      <c r="AI445" s="77"/>
      <c r="AJ445" s="77"/>
      <c r="AK445" s="77"/>
      <c r="AL445" s="77"/>
      <c r="AM445" s="77"/>
      <c r="AN445" s="77"/>
      <c r="AO445" s="77"/>
      <c r="AP445" s="77"/>
      <c r="AQ445" s="77"/>
      <c r="AR445" s="77"/>
      <c r="AS445" s="77"/>
      <c r="AT445" s="77"/>
      <c r="AU445" s="77"/>
      <c r="AV445" s="80" t="str">
        <f>HYPERLINK("https://pbs.twimg.com/profile_images/1516015260859314176/Y_NZNcW8_normal.jpg")</f>
        <v>https://pbs.twimg.com/profile_images/1516015260859314176/Y_NZNcW8_normal.jpg</v>
      </c>
      <c r="AW445" s="81" t="s">
        <v>4850</v>
      </c>
      <c r="AX445" s="81" t="s">
        <v>5713</v>
      </c>
      <c r="AY445" s="77"/>
      <c r="AZ445" s="81" t="s">
        <v>5773</v>
      </c>
      <c r="BA445" s="81" t="s">
        <v>5773</v>
      </c>
      <c r="BB445" s="81" t="s">
        <v>5773</v>
      </c>
      <c r="BC445" s="81" t="s">
        <v>4850</v>
      </c>
      <c r="BD445" s="81" t="s">
        <v>5816</v>
      </c>
      <c r="BE445" s="77"/>
      <c r="BF445" s="77"/>
      <c r="BG445" s="77"/>
      <c r="BH445" s="77"/>
      <c r="BI445" s="77"/>
    </row>
    <row r="446" spans="1:61" ht="15">
      <c r="A446" s="62" t="s">
        <v>261</v>
      </c>
      <c r="B446" s="62" t="s">
        <v>534</v>
      </c>
      <c r="C446" s="63"/>
      <c r="D446" s="64"/>
      <c r="E446" s="65"/>
      <c r="F446" s="66"/>
      <c r="G446" s="63"/>
      <c r="H446" s="67"/>
      <c r="I446" s="68"/>
      <c r="J446" s="68"/>
      <c r="K446" s="32" t="s">
        <v>65</v>
      </c>
      <c r="L446" s="75">
        <v>446</v>
      </c>
      <c r="M446" s="75"/>
      <c r="N446" s="70"/>
      <c r="O446" s="77" t="s">
        <v>571</v>
      </c>
      <c r="P446" s="79">
        <v>44091.43738425926</v>
      </c>
      <c r="Q446" s="77" t="s">
        <v>915</v>
      </c>
      <c r="R446" s="77">
        <v>5</v>
      </c>
      <c r="S446" s="77">
        <v>8</v>
      </c>
      <c r="T446" s="77">
        <v>1</v>
      </c>
      <c r="U446" s="77">
        <v>0</v>
      </c>
      <c r="V446" s="77"/>
      <c r="W446" s="81" t="s">
        <v>1800</v>
      </c>
      <c r="X446" s="77" t="s">
        <v>1963</v>
      </c>
      <c r="Y446" s="77" t="s">
        <v>2024</v>
      </c>
      <c r="Z446" s="77" t="s">
        <v>2090</v>
      </c>
      <c r="AA446" s="77" t="s">
        <v>2215</v>
      </c>
      <c r="AB446" s="77" t="s">
        <v>2696</v>
      </c>
      <c r="AC446" s="81" t="s">
        <v>2707</v>
      </c>
      <c r="AD446" s="77" t="s">
        <v>2751</v>
      </c>
      <c r="AE446" s="80" t="str">
        <f>HYPERLINK("https://twitter.com/topdevelopersco/status/1306540860897595392")</f>
        <v>https://twitter.com/topdevelopersco/status/1306540860897595392</v>
      </c>
      <c r="AF446" s="79">
        <v>44091.43738425926</v>
      </c>
      <c r="AG446" s="85">
        <v>44091</v>
      </c>
      <c r="AH446" s="81" t="s">
        <v>3105</v>
      </c>
      <c r="AI446" s="77" t="b">
        <v>0</v>
      </c>
      <c r="AJ446" s="77"/>
      <c r="AK446" s="77"/>
      <c r="AL446" s="77"/>
      <c r="AM446" s="77"/>
      <c r="AN446" s="77"/>
      <c r="AO446" s="77"/>
      <c r="AP446" s="77"/>
      <c r="AQ446" s="77" t="s">
        <v>4032</v>
      </c>
      <c r="AR446" s="77"/>
      <c r="AS446" s="77"/>
      <c r="AT446" s="77"/>
      <c r="AU446" s="77"/>
      <c r="AV446" s="80" t="str">
        <f>HYPERLINK("https://pbs.twimg.com/media/EiHCmP8VkAAnzKF.jpg")</f>
        <v>https://pbs.twimg.com/media/EiHCmP8VkAAnzKF.jpg</v>
      </c>
      <c r="AW446" s="81" t="s">
        <v>4851</v>
      </c>
      <c r="AX446" s="81" t="s">
        <v>4851</v>
      </c>
      <c r="AY446" s="77"/>
      <c r="AZ446" s="81" t="s">
        <v>5773</v>
      </c>
      <c r="BA446" s="81" t="s">
        <v>5773</v>
      </c>
      <c r="BB446" s="81" t="s">
        <v>5773</v>
      </c>
      <c r="BC446" s="81" t="s">
        <v>4851</v>
      </c>
      <c r="BD446" s="81" t="s">
        <v>5763</v>
      </c>
      <c r="BE446" s="77"/>
      <c r="BF446" s="77"/>
      <c r="BG446" s="77"/>
      <c r="BH446" s="77"/>
      <c r="BI446" s="77"/>
    </row>
    <row r="447" spans="1:61" ht="15">
      <c r="A447" s="62" t="s">
        <v>359</v>
      </c>
      <c r="B447" s="62" t="s">
        <v>534</v>
      </c>
      <c r="C447" s="63"/>
      <c r="D447" s="64"/>
      <c r="E447" s="65"/>
      <c r="F447" s="66"/>
      <c r="G447" s="63"/>
      <c r="H447" s="67"/>
      <c r="I447" s="68"/>
      <c r="J447" s="68"/>
      <c r="K447" s="32" t="s">
        <v>65</v>
      </c>
      <c r="L447" s="75">
        <v>447</v>
      </c>
      <c r="M447" s="75"/>
      <c r="N447" s="70"/>
      <c r="O447" s="77" t="s">
        <v>573</v>
      </c>
      <c r="P447" s="79">
        <v>44091.45422453704</v>
      </c>
      <c r="Q447" s="77" t="s">
        <v>916</v>
      </c>
      <c r="R447" s="77">
        <v>0</v>
      </c>
      <c r="S447" s="77">
        <v>0</v>
      </c>
      <c r="T447" s="77">
        <v>0</v>
      </c>
      <c r="U447" s="77">
        <v>0</v>
      </c>
      <c r="V447" s="77"/>
      <c r="W447" s="81" t="s">
        <v>1801</v>
      </c>
      <c r="X447" s="77"/>
      <c r="Y447" s="77"/>
      <c r="Z447" s="77" t="s">
        <v>2091</v>
      </c>
      <c r="AA447" s="77"/>
      <c r="AB447" s="77"/>
      <c r="AC447" s="81" t="s">
        <v>2707</v>
      </c>
      <c r="AD447" s="77" t="s">
        <v>2751</v>
      </c>
      <c r="AE447" s="80" t="str">
        <f>HYPERLINK("https://twitter.com/evontech/status/1306546966155853824")</f>
        <v>https://twitter.com/evontech/status/1306546966155853824</v>
      </c>
      <c r="AF447" s="79">
        <v>44091.45422453704</v>
      </c>
      <c r="AG447" s="85">
        <v>44091</v>
      </c>
      <c r="AH447" s="81" t="s">
        <v>3106</v>
      </c>
      <c r="AI447" s="77"/>
      <c r="AJ447" s="77"/>
      <c r="AK447" s="77"/>
      <c r="AL447" s="77"/>
      <c r="AM447" s="77"/>
      <c r="AN447" s="77"/>
      <c r="AO447" s="77"/>
      <c r="AP447" s="77"/>
      <c r="AQ447" s="77"/>
      <c r="AR447" s="77"/>
      <c r="AS447" s="77"/>
      <c r="AT447" s="77"/>
      <c r="AU447" s="77"/>
      <c r="AV447" s="80" t="str">
        <f>HYPERLINK("https://pbs.twimg.com/profile_images/1634150200305414144/yRbuyQ62_normal.jpg")</f>
        <v>https://pbs.twimg.com/profile_images/1634150200305414144/yRbuyQ62_normal.jpg</v>
      </c>
      <c r="AW447" s="81" t="s">
        <v>4852</v>
      </c>
      <c r="AX447" s="81" t="s">
        <v>4851</v>
      </c>
      <c r="AY447" s="81" t="s">
        <v>5763</v>
      </c>
      <c r="AZ447" s="81" t="s">
        <v>4851</v>
      </c>
      <c r="BA447" s="81" t="s">
        <v>5773</v>
      </c>
      <c r="BB447" s="81" t="s">
        <v>5773</v>
      </c>
      <c r="BC447" s="81" t="s">
        <v>4851</v>
      </c>
      <c r="BD447" s="77">
        <v>164178163</v>
      </c>
      <c r="BE447" s="77"/>
      <c r="BF447" s="77"/>
      <c r="BG447" s="77"/>
      <c r="BH447" s="77"/>
      <c r="BI447" s="77"/>
    </row>
    <row r="448" spans="1:61" ht="15">
      <c r="A448" s="62" t="s">
        <v>261</v>
      </c>
      <c r="B448" s="62" t="s">
        <v>535</v>
      </c>
      <c r="C448" s="63"/>
      <c r="D448" s="64"/>
      <c r="E448" s="65"/>
      <c r="F448" s="66"/>
      <c r="G448" s="63"/>
      <c r="H448" s="67"/>
      <c r="I448" s="68"/>
      <c r="J448" s="68"/>
      <c r="K448" s="32" t="s">
        <v>65</v>
      </c>
      <c r="L448" s="75">
        <v>448</v>
      </c>
      <c r="M448" s="75"/>
      <c r="N448" s="70"/>
      <c r="O448" s="77" t="s">
        <v>571</v>
      </c>
      <c r="P448" s="79">
        <v>44091.43738425926</v>
      </c>
      <c r="Q448" s="77" t="s">
        <v>915</v>
      </c>
      <c r="R448" s="77">
        <v>5</v>
      </c>
      <c r="S448" s="77">
        <v>8</v>
      </c>
      <c r="T448" s="77">
        <v>1</v>
      </c>
      <c r="U448" s="77">
        <v>0</v>
      </c>
      <c r="V448" s="77"/>
      <c r="W448" s="81" t="s">
        <v>1800</v>
      </c>
      <c r="X448" s="77" t="s">
        <v>1963</v>
      </c>
      <c r="Y448" s="77" t="s">
        <v>2024</v>
      </c>
      <c r="Z448" s="77" t="s">
        <v>2090</v>
      </c>
      <c r="AA448" s="77" t="s">
        <v>2215</v>
      </c>
      <c r="AB448" s="77" t="s">
        <v>2696</v>
      </c>
      <c r="AC448" s="81" t="s">
        <v>2707</v>
      </c>
      <c r="AD448" s="77" t="s">
        <v>2751</v>
      </c>
      <c r="AE448" s="80" t="str">
        <f>HYPERLINK("https://twitter.com/topdevelopersco/status/1306540860897595392")</f>
        <v>https://twitter.com/topdevelopersco/status/1306540860897595392</v>
      </c>
      <c r="AF448" s="79">
        <v>44091.43738425926</v>
      </c>
      <c r="AG448" s="85">
        <v>44091</v>
      </c>
      <c r="AH448" s="81" t="s">
        <v>3105</v>
      </c>
      <c r="AI448" s="77" t="b">
        <v>0</v>
      </c>
      <c r="AJ448" s="77"/>
      <c r="AK448" s="77"/>
      <c r="AL448" s="77"/>
      <c r="AM448" s="77"/>
      <c r="AN448" s="77"/>
      <c r="AO448" s="77"/>
      <c r="AP448" s="77"/>
      <c r="AQ448" s="77" t="s">
        <v>4032</v>
      </c>
      <c r="AR448" s="77"/>
      <c r="AS448" s="77"/>
      <c r="AT448" s="77"/>
      <c r="AU448" s="77"/>
      <c r="AV448" s="80" t="str">
        <f>HYPERLINK("https://pbs.twimg.com/media/EiHCmP8VkAAnzKF.jpg")</f>
        <v>https://pbs.twimg.com/media/EiHCmP8VkAAnzKF.jpg</v>
      </c>
      <c r="AW448" s="81" t="s">
        <v>4851</v>
      </c>
      <c r="AX448" s="81" t="s">
        <v>4851</v>
      </c>
      <c r="AY448" s="77"/>
      <c r="AZ448" s="81" t="s">
        <v>5773</v>
      </c>
      <c r="BA448" s="81" t="s">
        <v>5773</v>
      </c>
      <c r="BB448" s="81" t="s">
        <v>5773</v>
      </c>
      <c r="BC448" s="81" t="s">
        <v>4851</v>
      </c>
      <c r="BD448" s="81" t="s">
        <v>5763</v>
      </c>
      <c r="BE448" s="77"/>
      <c r="BF448" s="77"/>
      <c r="BG448" s="77"/>
      <c r="BH448" s="77"/>
      <c r="BI448" s="77"/>
    </row>
    <row r="449" spans="1:61" ht="15">
      <c r="A449" s="62" t="s">
        <v>359</v>
      </c>
      <c r="B449" s="62" t="s">
        <v>535</v>
      </c>
      <c r="C449" s="63"/>
      <c r="D449" s="64"/>
      <c r="E449" s="65"/>
      <c r="F449" s="66"/>
      <c r="G449" s="63"/>
      <c r="H449" s="67"/>
      <c r="I449" s="68"/>
      <c r="J449" s="68"/>
      <c r="K449" s="32" t="s">
        <v>65</v>
      </c>
      <c r="L449" s="75">
        <v>449</v>
      </c>
      <c r="M449" s="75"/>
      <c r="N449" s="70"/>
      <c r="O449" s="77" t="s">
        <v>573</v>
      </c>
      <c r="P449" s="79">
        <v>44091.45422453704</v>
      </c>
      <c r="Q449" s="77" t="s">
        <v>916</v>
      </c>
      <c r="R449" s="77">
        <v>0</v>
      </c>
      <c r="S449" s="77">
        <v>0</v>
      </c>
      <c r="T449" s="77">
        <v>0</v>
      </c>
      <c r="U449" s="77">
        <v>0</v>
      </c>
      <c r="V449" s="77"/>
      <c r="W449" s="81" t="s">
        <v>1801</v>
      </c>
      <c r="X449" s="77"/>
      <c r="Y449" s="77"/>
      <c r="Z449" s="77" t="s">
        <v>2091</v>
      </c>
      <c r="AA449" s="77"/>
      <c r="AB449" s="77"/>
      <c r="AC449" s="81" t="s">
        <v>2707</v>
      </c>
      <c r="AD449" s="77" t="s">
        <v>2751</v>
      </c>
      <c r="AE449" s="80" t="str">
        <f>HYPERLINK("https://twitter.com/evontech/status/1306546966155853824")</f>
        <v>https://twitter.com/evontech/status/1306546966155853824</v>
      </c>
      <c r="AF449" s="79">
        <v>44091.45422453704</v>
      </c>
      <c r="AG449" s="85">
        <v>44091</v>
      </c>
      <c r="AH449" s="81" t="s">
        <v>3106</v>
      </c>
      <c r="AI449" s="77"/>
      <c r="AJ449" s="77"/>
      <c r="AK449" s="77"/>
      <c r="AL449" s="77"/>
      <c r="AM449" s="77"/>
      <c r="AN449" s="77"/>
      <c r="AO449" s="77"/>
      <c r="AP449" s="77"/>
      <c r="AQ449" s="77"/>
      <c r="AR449" s="77"/>
      <c r="AS449" s="77"/>
      <c r="AT449" s="77"/>
      <c r="AU449" s="77"/>
      <c r="AV449" s="80" t="str">
        <f>HYPERLINK("https://pbs.twimg.com/profile_images/1634150200305414144/yRbuyQ62_normal.jpg")</f>
        <v>https://pbs.twimg.com/profile_images/1634150200305414144/yRbuyQ62_normal.jpg</v>
      </c>
      <c r="AW449" s="81" t="s">
        <v>4852</v>
      </c>
      <c r="AX449" s="81" t="s">
        <v>4851</v>
      </c>
      <c r="AY449" s="81" t="s">
        <v>5763</v>
      </c>
      <c r="AZ449" s="81" t="s">
        <v>4851</v>
      </c>
      <c r="BA449" s="81" t="s">
        <v>5773</v>
      </c>
      <c r="BB449" s="81" t="s">
        <v>5773</v>
      </c>
      <c r="BC449" s="81" t="s">
        <v>4851</v>
      </c>
      <c r="BD449" s="77">
        <v>164178163</v>
      </c>
      <c r="BE449" s="77"/>
      <c r="BF449" s="77"/>
      <c r="BG449" s="77"/>
      <c r="BH449" s="77"/>
      <c r="BI449" s="77"/>
    </row>
    <row r="450" spans="1:61" ht="15">
      <c r="A450" s="62" t="s">
        <v>261</v>
      </c>
      <c r="B450" s="62" t="s">
        <v>536</v>
      </c>
      <c r="C450" s="63"/>
      <c r="D450" s="64"/>
      <c r="E450" s="65"/>
      <c r="F450" s="66"/>
      <c r="G450" s="63"/>
      <c r="H450" s="67"/>
      <c r="I450" s="68"/>
      <c r="J450" s="68"/>
      <c r="K450" s="32" t="s">
        <v>65</v>
      </c>
      <c r="L450" s="75">
        <v>450</v>
      </c>
      <c r="M450" s="75"/>
      <c r="N450" s="70"/>
      <c r="O450" s="77" t="s">
        <v>571</v>
      </c>
      <c r="P450" s="79">
        <v>44091.43738425926</v>
      </c>
      <c r="Q450" s="77" t="s">
        <v>915</v>
      </c>
      <c r="R450" s="77">
        <v>5</v>
      </c>
      <c r="S450" s="77">
        <v>8</v>
      </c>
      <c r="T450" s="77">
        <v>1</v>
      </c>
      <c r="U450" s="77">
        <v>0</v>
      </c>
      <c r="V450" s="77"/>
      <c r="W450" s="81" t="s">
        <v>1800</v>
      </c>
      <c r="X450" s="77" t="s">
        <v>1963</v>
      </c>
      <c r="Y450" s="77" t="s">
        <v>2024</v>
      </c>
      <c r="Z450" s="77" t="s">
        <v>2090</v>
      </c>
      <c r="AA450" s="77" t="s">
        <v>2215</v>
      </c>
      <c r="AB450" s="77" t="s">
        <v>2696</v>
      </c>
      <c r="AC450" s="81" t="s">
        <v>2707</v>
      </c>
      <c r="AD450" s="77" t="s">
        <v>2751</v>
      </c>
      <c r="AE450" s="80" t="str">
        <f>HYPERLINK("https://twitter.com/topdevelopersco/status/1306540860897595392")</f>
        <v>https://twitter.com/topdevelopersco/status/1306540860897595392</v>
      </c>
      <c r="AF450" s="79">
        <v>44091.43738425926</v>
      </c>
      <c r="AG450" s="85">
        <v>44091</v>
      </c>
      <c r="AH450" s="81" t="s">
        <v>3105</v>
      </c>
      <c r="AI450" s="77" t="b">
        <v>0</v>
      </c>
      <c r="AJ450" s="77"/>
      <c r="AK450" s="77"/>
      <c r="AL450" s="77"/>
      <c r="AM450" s="77"/>
      <c r="AN450" s="77"/>
      <c r="AO450" s="77"/>
      <c r="AP450" s="77"/>
      <c r="AQ450" s="77" t="s">
        <v>4032</v>
      </c>
      <c r="AR450" s="77"/>
      <c r="AS450" s="77"/>
      <c r="AT450" s="77"/>
      <c r="AU450" s="77"/>
      <c r="AV450" s="80" t="str">
        <f>HYPERLINK("https://pbs.twimg.com/media/EiHCmP8VkAAnzKF.jpg")</f>
        <v>https://pbs.twimg.com/media/EiHCmP8VkAAnzKF.jpg</v>
      </c>
      <c r="AW450" s="81" t="s">
        <v>4851</v>
      </c>
      <c r="AX450" s="81" t="s">
        <v>4851</v>
      </c>
      <c r="AY450" s="77"/>
      <c r="AZ450" s="81" t="s">
        <v>5773</v>
      </c>
      <c r="BA450" s="81" t="s">
        <v>5773</v>
      </c>
      <c r="BB450" s="81" t="s">
        <v>5773</v>
      </c>
      <c r="BC450" s="81" t="s">
        <v>4851</v>
      </c>
      <c r="BD450" s="81" t="s">
        <v>5763</v>
      </c>
      <c r="BE450" s="77"/>
      <c r="BF450" s="77"/>
      <c r="BG450" s="77"/>
      <c r="BH450" s="77"/>
      <c r="BI450" s="77"/>
    </row>
    <row r="451" spans="1:61" ht="15">
      <c r="A451" s="62" t="s">
        <v>359</v>
      </c>
      <c r="B451" s="62" t="s">
        <v>536</v>
      </c>
      <c r="C451" s="63"/>
      <c r="D451" s="64"/>
      <c r="E451" s="65"/>
      <c r="F451" s="66"/>
      <c r="G451" s="63"/>
      <c r="H451" s="67"/>
      <c r="I451" s="68"/>
      <c r="J451" s="68"/>
      <c r="K451" s="32" t="s">
        <v>65</v>
      </c>
      <c r="L451" s="75">
        <v>451</v>
      </c>
      <c r="M451" s="75"/>
      <c r="N451" s="70"/>
      <c r="O451" s="77" t="s">
        <v>573</v>
      </c>
      <c r="P451" s="79">
        <v>44091.45422453704</v>
      </c>
      <c r="Q451" s="77" t="s">
        <v>916</v>
      </c>
      <c r="R451" s="77">
        <v>0</v>
      </c>
      <c r="S451" s="77">
        <v>0</v>
      </c>
      <c r="T451" s="77">
        <v>0</v>
      </c>
      <c r="U451" s="77">
        <v>0</v>
      </c>
      <c r="V451" s="77"/>
      <c r="W451" s="81" t="s">
        <v>1801</v>
      </c>
      <c r="X451" s="77"/>
      <c r="Y451" s="77"/>
      <c r="Z451" s="77" t="s">
        <v>2091</v>
      </c>
      <c r="AA451" s="77"/>
      <c r="AB451" s="77"/>
      <c r="AC451" s="81" t="s">
        <v>2707</v>
      </c>
      <c r="AD451" s="77" t="s">
        <v>2751</v>
      </c>
      <c r="AE451" s="80" t="str">
        <f>HYPERLINK("https://twitter.com/evontech/status/1306546966155853824")</f>
        <v>https://twitter.com/evontech/status/1306546966155853824</v>
      </c>
      <c r="AF451" s="79">
        <v>44091.45422453704</v>
      </c>
      <c r="AG451" s="85">
        <v>44091</v>
      </c>
      <c r="AH451" s="81" t="s">
        <v>3106</v>
      </c>
      <c r="AI451" s="77"/>
      <c r="AJ451" s="77"/>
      <c r="AK451" s="77"/>
      <c r="AL451" s="77"/>
      <c r="AM451" s="77"/>
      <c r="AN451" s="77"/>
      <c r="AO451" s="77"/>
      <c r="AP451" s="77"/>
      <c r="AQ451" s="77"/>
      <c r="AR451" s="77"/>
      <c r="AS451" s="77"/>
      <c r="AT451" s="77"/>
      <c r="AU451" s="77"/>
      <c r="AV451" s="80" t="str">
        <f>HYPERLINK("https://pbs.twimg.com/profile_images/1634150200305414144/yRbuyQ62_normal.jpg")</f>
        <v>https://pbs.twimg.com/profile_images/1634150200305414144/yRbuyQ62_normal.jpg</v>
      </c>
      <c r="AW451" s="81" t="s">
        <v>4852</v>
      </c>
      <c r="AX451" s="81" t="s">
        <v>4851</v>
      </c>
      <c r="AY451" s="81" t="s">
        <v>5763</v>
      </c>
      <c r="AZ451" s="81" t="s">
        <v>4851</v>
      </c>
      <c r="BA451" s="81" t="s">
        <v>5773</v>
      </c>
      <c r="BB451" s="81" t="s">
        <v>5773</v>
      </c>
      <c r="BC451" s="81" t="s">
        <v>4851</v>
      </c>
      <c r="BD451" s="77">
        <v>164178163</v>
      </c>
      <c r="BE451" s="77"/>
      <c r="BF451" s="77"/>
      <c r="BG451" s="77"/>
      <c r="BH451" s="77"/>
      <c r="BI451" s="77"/>
    </row>
    <row r="452" spans="1:61" ht="15">
      <c r="A452" s="62" t="s">
        <v>261</v>
      </c>
      <c r="B452" s="62" t="s">
        <v>537</v>
      </c>
      <c r="C452" s="63"/>
      <c r="D452" s="64"/>
      <c r="E452" s="65"/>
      <c r="F452" s="66"/>
      <c r="G452" s="63"/>
      <c r="H452" s="67"/>
      <c r="I452" s="68"/>
      <c r="J452" s="68"/>
      <c r="K452" s="32" t="s">
        <v>65</v>
      </c>
      <c r="L452" s="75">
        <v>452</v>
      </c>
      <c r="M452" s="75"/>
      <c r="N452" s="70"/>
      <c r="O452" s="77" t="s">
        <v>571</v>
      </c>
      <c r="P452" s="79">
        <v>44091.43738425926</v>
      </c>
      <c r="Q452" s="77" t="s">
        <v>915</v>
      </c>
      <c r="R452" s="77">
        <v>5</v>
      </c>
      <c r="S452" s="77">
        <v>8</v>
      </c>
      <c r="T452" s="77">
        <v>1</v>
      </c>
      <c r="U452" s="77">
        <v>0</v>
      </c>
      <c r="V452" s="77"/>
      <c r="W452" s="81" t="s">
        <v>1800</v>
      </c>
      <c r="X452" s="77" t="s">
        <v>1963</v>
      </c>
      <c r="Y452" s="77" t="s">
        <v>2024</v>
      </c>
      <c r="Z452" s="77" t="s">
        <v>2090</v>
      </c>
      <c r="AA452" s="77" t="s">
        <v>2215</v>
      </c>
      <c r="AB452" s="77" t="s">
        <v>2696</v>
      </c>
      <c r="AC452" s="81" t="s">
        <v>2707</v>
      </c>
      <c r="AD452" s="77" t="s">
        <v>2751</v>
      </c>
      <c r="AE452" s="80" t="str">
        <f>HYPERLINK("https://twitter.com/topdevelopersco/status/1306540860897595392")</f>
        <v>https://twitter.com/topdevelopersco/status/1306540860897595392</v>
      </c>
      <c r="AF452" s="79">
        <v>44091.43738425926</v>
      </c>
      <c r="AG452" s="85">
        <v>44091</v>
      </c>
      <c r="AH452" s="81" t="s">
        <v>3105</v>
      </c>
      <c r="AI452" s="77" t="b">
        <v>0</v>
      </c>
      <c r="AJ452" s="77"/>
      <c r="AK452" s="77"/>
      <c r="AL452" s="77"/>
      <c r="AM452" s="77"/>
      <c r="AN452" s="77"/>
      <c r="AO452" s="77"/>
      <c r="AP452" s="77"/>
      <c r="AQ452" s="77" t="s">
        <v>4032</v>
      </c>
      <c r="AR452" s="77"/>
      <c r="AS452" s="77"/>
      <c r="AT452" s="77"/>
      <c r="AU452" s="77"/>
      <c r="AV452" s="80" t="str">
        <f>HYPERLINK("https://pbs.twimg.com/media/EiHCmP8VkAAnzKF.jpg")</f>
        <v>https://pbs.twimg.com/media/EiHCmP8VkAAnzKF.jpg</v>
      </c>
      <c r="AW452" s="81" t="s">
        <v>4851</v>
      </c>
      <c r="AX452" s="81" t="s">
        <v>4851</v>
      </c>
      <c r="AY452" s="77"/>
      <c r="AZ452" s="81" t="s">
        <v>5773</v>
      </c>
      <c r="BA452" s="81" t="s">
        <v>5773</v>
      </c>
      <c r="BB452" s="81" t="s">
        <v>5773</v>
      </c>
      <c r="BC452" s="81" t="s">
        <v>4851</v>
      </c>
      <c r="BD452" s="81" t="s">
        <v>5763</v>
      </c>
      <c r="BE452" s="77"/>
      <c r="BF452" s="77"/>
      <c r="BG452" s="77"/>
      <c r="BH452" s="77"/>
      <c r="BI452" s="77"/>
    </row>
    <row r="453" spans="1:61" ht="15">
      <c r="A453" s="62" t="s">
        <v>359</v>
      </c>
      <c r="B453" s="62" t="s">
        <v>537</v>
      </c>
      <c r="C453" s="63"/>
      <c r="D453" s="64"/>
      <c r="E453" s="65"/>
      <c r="F453" s="66"/>
      <c r="G453" s="63"/>
      <c r="H453" s="67"/>
      <c r="I453" s="68"/>
      <c r="J453" s="68"/>
      <c r="K453" s="32" t="s">
        <v>65</v>
      </c>
      <c r="L453" s="75">
        <v>453</v>
      </c>
      <c r="M453" s="75"/>
      <c r="N453" s="70"/>
      <c r="O453" s="77" t="s">
        <v>573</v>
      </c>
      <c r="P453" s="79">
        <v>44091.45422453704</v>
      </c>
      <c r="Q453" s="77" t="s">
        <v>916</v>
      </c>
      <c r="R453" s="77">
        <v>0</v>
      </c>
      <c r="S453" s="77">
        <v>0</v>
      </c>
      <c r="T453" s="77">
        <v>0</v>
      </c>
      <c r="U453" s="77">
        <v>0</v>
      </c>
      <c r="V453" s="77"/>
      <c r="W453" s="81" t="s">
        <v>1801</v>
      </c>
      <c r="X453" s="77"/>
      <c r="Y453" s="77"/>
      <c r="Z453" s="77" t="s">
        <v>2091</v>
      </c>
      <c r="AA453" s="77"/>
      <c r="AB453" s="77"/>
      <c r="AC453" s="81" t="s">
        <v>2707</v>
      </c>
      <c r="AD453" s="77" t="s">
        <v>2751</v>
      </c>
      <c r="AE453" s="80" t="str">
        <f>HYPERLINK("https://twitter.com/evontech/status/1306546966155853824")</f>
        <v>https://twitter.com/evontech/status/1306546966155853824</v>
      </c>
      <c r="AF453" s="79">
        <v>44091.45422453704</v>
      </c>
      <c r="AG453" s="85">
        <v>44091</v>
      </c>
      <c r="AH453" s="81" t="s">
        <v>3106</v>
      </c>
      <c r="AI453" s="77"/>
      <c r="AJ453" s="77"/>
      <c r="AK453" s="77"/>
      <c r="AL453" s="77"/>
      <c r="AM453" s="77"/>
      <c r="AN453" s="77"/>
      <c r="AO453" s="77"/>
      <c r="AP453" s="77"/>
      <c r="AQ453" s="77"/>
      <c r="AR453" s="77"/>
      <c r="AS453" s="77"/>
      <c r="AT453" s="77"/>
      <c r="AU453" s="77"/>
      <c r="AV453" s="80" t="str">
        <f>HYPERLINK("https://pbs.twimg.com/profile_images/1634150200305414144/yRbuyQ62_normal.jpg")</f>
        <v>https://pbs.twimg.com/profile_images/1634150200305414144/yRbuyQ62_normal.jpg</v>
      </c>
      <c r="AW453" s="81" t="s">
        <v>4852</v>
      </c>
      <c r="AX453" s="81" t="s">
        <v>4851</v>
      </c>
      <c r="AY453" s="81" t="s">
        <v>5763</v>
      </c>
      <c r="AZ453" s="81" t="s">
        <v>4851</v>
      </c>
      <c r="BA453" s="81" t="s">
        <v>5773</v>
      </c>
      <c r="BB453" s="81" t="s">
        <v>5773</v>
      </c>
      <c r="BC453" s="81" t="s">
        <v>4851</v>
      </c>
      <c r="BD453" s="77">
        <v>164178163</v>
      </c>
      <c r="BE453" s="77"/>
      <c r="BF453" s="77"/>
      <c r="BG453" s="77"/>
      <c r="BH453" s="77"/>
      <c r="BI453" s="77"/>
    </row>
    <row r="454" spans="1:61" ht="15">
      <c r="A454" s="62" t="s">
        <v>261</v>
      </c>
      <c r="B454" s="62" t="s">
        <v>538</v>
      </c>
      <c r="C454" s="63"/>
      <c r="D454" s="64"/>
      <c r="E454" s="65"/>
      <c r="F454" s="66"/>
      <c r="G454" s="63"/>
      <c r="H454" s="67"/>
      <c r="I454" s="68"/>
      <c r="J454" s="68"/>
      <c r="K454" s="32" t="s">
        <v>65</v>
      </c>
      <c r="L454" s="75">
        <v>454</v>
      </c>
      <c r="M454" s="75"/>
      <c r="N454" s="70"/>
      <c r="O454" s="77" t="s">
        <v>571</v>
      </c>
      <c r="P454" s="79">
        <v>44091.43738425926</v>
      </c>
      <c r="Q454" s="77" t="s">
        <v>915</v>
      </c>
      <c r="R454" s="77">
        <v>5</v>
      </c>
      <c r="S454" s="77">
        <v>8</v>
      </c>
      <c r="T454" s="77">
        <v>1</v>
      </c>
      <c r="U454" s="77">
        <v>0</v>
      </c>
      <c r="V454" s="77"/>
      <c r="W454" s="81" t="s">
        <v>1800</v>
      </c>
      <c r="X454" s="77" t="s">
        <v>1963</v>
      </c>
      <c r="Y454" s="77" t="s">
        <v>2024</v>
      </c>
      <c r="Z454" s="77" t="s">
        <v>2090</v>
      </c>
      <c r="AA454" s="77" t="s">
        <v>2215</v>
      </c>
      <c r="AB454" s="77" t="s">
        <v>2696</v>
      </c>
      <c r="AC454" s="81" t="s">
        <v>2707</v>
      </c>
      <c r="AD454" s="77" t="s">
        <v>2751</v>
      </c>
      <c r="AE454" s="80" t="str">
        <f>HYPERLINK("https://twitter.com/topdevelopersco/status/1306540860897595392")</f>
        <v>https://twitter.com/topdevelopersco/status/1306540860897595392</v>
      </c>
      <c r="AF454" s="79">
        <v>44091.43738425926</v>
      </c>
      <c r="AG454" s="85">
        <v>44091</v>
      </c>
      <c r="AH454" s="81" t="s">
        <v>3105</v>
      </c>
      <c r="AI454" s="77" t="b">
        <v>0</v>
      </c>
      <c r="AJ454" s="77"/>
      <c r="AK454" s="77"/>
      <c r="AL454" s="77"/>
      <c r="AM454" s="77"/>
      <c r="AN454" s="77"/>
      <c r="AO454" s="77"/>
      <c r="AP454" s="77"/>
      <c r="AQ454" s="77" t="s">
        <v>4032</v>
      </c>
      <c r="AR454" s="77"/>
      <c r="AS454" s="77"/>
      <c r="AT454" s="77"/>
      <c r="AU454" s="77"/>
      <c r="AV454" s="80" t="str">
        <f>HYPERLINK("https://pbs.twimg.com/media/EiHCmP8VkAAnzKF.jpg")</f>
        <v>https://pbs.twimg.com/media/EiHCmP8VkAAnzKF.jpg</v>
      </c>
      <c r="AW454" s="81" t="s">
        <v>4851</v>
      </c>
      <c r="AX454" s="81" t="s">
        <v>4851</v>
      </c>
      <c r="AY454" s="77"/>
      <c r="AZ454" s="81" t="s">
        <v>5773</v>
      </c>
      <c r="BA454" s="81" t="s">
        <v>5773</v>
      </c>
      <c r="BB454" s="81" t="s">
        <v>5773</v>
      </c>
      <c r="BC454" s="81" t="s">
        <v>4851</v>
      </c>
      <c r="BD454" s="81" t="s">
        <v>5763</v>
      </c>
      <c r="BE454" s="77"/>
      <c r="BF454" s="77"/>
      <c r="BG454" s="77"/>
      <c r="BH454" s="77"/>
      <c r="BI454" s="77"/>
    </row>
    <row r="455" spans="1:61" ht="15">
      <c r="A455" s="62" t="s">
        <v>359</v>
      </c>
      <c r="B455" s="62" t="s">
        <v>538</v>
      </c>
      <c r="C455" s="63"/>
      <c r="D455" s="64"/>
      <c r="E455" s="65"/>
      <c r="F455" s="66"/>
      <c r="G455" s="63"/>
      <c r="H455" s="67"/>
      <c r="I455" s="68"/>
      <c r="J455" s="68"/>
      <c r="K455" s="32" t="s">
        <v>65</v>
      </c>
      <c r="L455" s="75">
        <v>455</v>
      </c>
      <c r="M455" s="75"/>
      <c r="N455" s="70"/>
      <c r="O455" s="77" t="s">
        <v>573</v>
      </c>
      <c r="P455" s="79">
        <v>44091.45422453704</v>
      </c>
      <c r="Q455" s="77" t="s">
        <v>916</v>
      </c>
      <c r="R455" s="77">
        <v>0</v>
      </c>
      <c r="S455" s="77">
        <v>0</v>
      </c>
      <c r="T455" s="77">
        <v>0</v>
      </c>
      <c r="U455" s="77">
        <v>0</v>
      </c>
      <c r="V455" s="77"/>
      <c r="W455" s="81" t="s">
        <v>1801</v>
      </c>
      <c r="X455" s="77"/>
      <c r="Y455" s="77"/>
      <c r="Z455" s="77" t="s">
        <v>2091</v>
      </c>
      <c r="AA455" s="77"/>
      <c r="AB455" s="77"/>
      <c r="AC455" s="81" t="s">
        <v>2707</v>
      </c>
      <c r="AD455" s="77" t="s">
        <v>2751</v>
      </c>
      <c r="AE455" s="80" t="str">
        <f>HYPERLINK("https://twitter.com/evontech/status/1306546966155853824")</f>
        <v>https://twitter.com/evontech/status/1306546966155853824</v>
      </c>
      <c r="AF455" s="79">
        <v>44091.45422453704</v>
      </c>
      <c r="AG455" s="85">
        <v>44091</v>
      </c>
      <c r="AH455" s="81" t="s">
        <v>3106</v>
      </c>
      <c r="AI455" s="77"/>
      <c r="AJ455" s="77"/>
      <c r="AK455" s="77"/>
      <c r="AL455" s="77"/>
      <c r="AM455" s="77"/>
      <c r="AN455" s="77"/>
      <c r="AO455" s="77"/>
      <c r="AP455" s="77"/>
      <c r="AQ455" s="77"/>
      <c r="AR455" s="77"/>
      <c r="AS455" s="77"/>
      <c r="AT455" s="77"/>
      <c r="AU455" s="77"/>
      <c r="AV455" s="80" t="str">
        <f>HYPERLINK("https://pbs.twimg.com/profile_images/1634150200305414144/yRbuyQ62_normal.jpg")</f>
        <v>https://pbs.twimg.com/profile_images/1634150200305414144/yRbuyQ62_normal.jpg</v>
      </c>
      <c r="AW455" s="81" t="s">
        <v>4852</v>
      </c>
      <c r="AX455" s="81" t="s">
        <v>4851</v>
      </c>
      <c r="AY455" s="81" t="s">
        <v>5763</v>
      </c>
      <c r="AZ455" s="81" t="s">
        <v>4851</v>
      </c>
      <c r="BA455" s="81" t="s">
        <v>5773</v>
      </c>
      <c r="BB455" s="81" t="s">
        <v>5773</v>
      </c>
      <c r="BC455" s="81" t="s">
        <v>4851</v>
      </c>
      <c r="BD455" s="77">
        <v>164178163</v>
      </c>
      <c r="BE455" s="77"/>
      <c r="BF455" s="77"/>
      <c r="BG455" s="77"/>
      <c r="BH455" s="77"/>
      <c r="BI455" s="77"/>
    </row>
    <row r="456" spans="1:61" ht="15">
      <c r="A456" s="62" t="s">
        <v>261</v>
      </c>
      <c r="B456" s="62" t="s">
        <v>539</v>
      </c>
      <c r="C456" s="63"/>
      <c r="D456" s="64"/>
      <c r="E456" s="65"/>
      <c r="F456" s="66"/>
      <c r="G456" s="63"/>
      <c r="H456" s="67"/>
      <c r="I456" s="68"/>
      <c r="J456" s="68"/>
      <c r="K456" s="32" t="s">
        <v>65</v>
      </c>
      <c r="L456" s="75">
        <v>456</v>
      </c>
      <c r="M456" s="75"/>
      <c r="N456" s="70"/>
      <c r="O456" s="77" t="s">
        <v>571</v>
      </c>
      <c r="P456" s="79">
        <v>44091.43738425926</v>
      </c>
      <c r="Q456" s="77" t="s">
        <v>915</v>
      </c>
      <c r="R456" s="77">
        <v>5</v>
      </c>
      <c r="S456" s="77">
        <v>8</v>
      </c>
      <c r="T456" s="77">
        <v>1</v>
      </c>
      <c r="U456" s="77">
        <v>0</v>
      </c>
      <c r="V456" s="77"/>
      <c r="W456" s="81" t="s">
        <v>1800</v>
      </c>
      <c r="X456" s="77" t="s">
        <v>1963</v>
      </c>
      <c r="Y456" s="77" t="s">
        <v>2024</v>
      </c>
      <c r="Z456" s="77" t="s">
        <v>2090</v>
      </c>
      <c r="AA456" s="77" t="s">
        <v>2215</v>
      </c>
      <c r="AB456" s="77" t="s">
        <v>2696</v>
      </c>
      <c r="AC456" s="81" t="s">
        <v>2707</v>
      </c>
      <c r="AD456" s="77" t="s">
        <v>2751</v>
      </c>
      <c r="AE456" s="80" t="str">
        <f>HYPERLINK("https://twitter.com/topdevelopersco/status/1306540860897595392")</f>
        <v>https://twitter.com/topdevelopersco/status/1306540860897595392</v>
      </c>
      <c r="AF456" s="79">
        <v>44091.43738425926</v>
      </c>
      <c r="AG456" s="85">
        <v>44091</v>
      </c>
      <c r="AH456" s="81" t="s">
        <v>3105</v>
      </c>
      <c r="AI456" s="77" t="b">
        <v>0</v>
      </c>
      <c r="AJ456" s="77"/>
      <c r="AK456" s="77"/>
      <c r="AL456" s="77"/>
      <c r="AM456" s="77"/>
      <c r="AN456" s="77"/>
      <c r="AO456" s="77"/>
      <c r="AP456" s="77"/>
      <c r="AQ456" s="77" t="s">
        <v>4032</v>
      </c>
      <c r="AR456" s="77"/>
      <c r="AS456" s="77"/>
      <c r="AT456" s="77"/>
      <c r="AU456" s="77"/>
      <c r="AV456" s="80" t="str">
        <f>HYPERLINK("https://pbs.twimg.com/media/EiHCmP8VkAAnzKF.jpg")</f>
        <v>https://pbs.twimg.com/media/EiHCmP8VkAAnzKF.jpg</v>
      </c>
      <c r="AW456" s="81" t="s">
        <v>4851</v>
      </c>
      <c r="AX456" s="81" t="s">
        <v>4851</v>
      </c>
      <c r="AY456" s="77"/>
      <c r="AZ456" s="81" t="s">
        <v>5773</v>
      </c>
      <c r="BA456" s="81" t="s">
        <v>5773</v>
      </c>
      <c r="BB456" s="81" t="s">
        <v>5773</v>
      </c>
      <c r="BC456" s="81" t="s">
        <v>4851</v>
      </c>
      <c r="BD456" s="81" t="s">
        <v>5763</v>
      </c>
      <c r="BE456" s="77"/>
      <c r="BF456" s="77"/>
      <c r="BG456" s="77"/>
      <c r="BH456" s="77"/>
      <c r="BI456" s="77"/>
    </row>
    <row r="457" spans="1:61" ht="15">
      <c r="A457" s="62" t="s">
        <v>359</v>
      </c>
      <c r="B457" s="62" t="s">
        <v>539</v>
      </c>
      <c r="C457" s="63"/>
      <c r="D457" s="64"/>
      <c r="E457" s="65"/>
      <c r="F457" s="66"/>
      <c r="G457" s="63"/>
      <c r="H457" s="67"/>
      <c r="I457" s="68"/>
      <c r="J457" s="68"/>
      <c r="K457" s="32" t="s">
        <v>65</v>
      </c>
      <c r="L457" s="75">
        <v>457</v>
      </c>
      <c r="M457" s="75"/>
      <c r="N457" s="70"/>
      <c r="O457" s="77" t="s">
        <v>573</v>
      </c>
      <c r="P457" s="79">
        <v>44091.45422453704</v>
      </c>
      <c r="Q457" s="77" t="s">
        <v>916</v>
      </c>
      <c r="R457" s="77">
        <v>0</v>
      </c>
      <c r="S457" s="77">
        <v>0</v>
      </c>
      <c r="T457" s="77">
        <v>0</v>
      </c>
      <c r="U457" s="77">
        <v>0</v>
      </c>
      <c r="V457" s="77"/>
      <c r="W457" s="81" t="s">
        <v>1801</v>
      </c>
      <c r="X457" s="77"/>
      <c r="Y457" s="77"/>
      <c r="Z457" s="77" t="s">
        <v>2091</v>
      </c>
      <c r="AA457" s="77"/>
      <c r="AB457" s="77"/>
      <c r="AC457" s="81" t="s">
        <v>2707</v>
      </c>
      <c r="AD457" s="77" t="s">
        <v>2751</v>
      </c>
      <c r="AE457" s="80" t="str">
        <f>HYPERLINK("https://twitter.com/evontech/status/1306546966155853824")</f>
        <v>https://twitter.com/evontech/status/1306546966155853824</v>
      </c>
      <c r="AF457" s="79">
        <v>44091.45422453704</v>
      </c>
      <c r="AG457" s="85">
        <v>44091</v>
      </c>
      <c r="AH457" s="81" t="s">
        <v>3106</v>
      </c>
      <c r="AI457" s="77"/>
      <c r="AJ457" s="77"/>
      <c r="AK457" s="77"/>
      <c r="AL457" s="77"/>
      <c r="AM457" s="77"/>
      <c r="AN457" s="77"/>
      <c r="AO457" s="77"/>
      <c r="AP457" s="77"/>
      <c r="AQ457" s="77"/>
      <c r="AR457" s="77"/>
      <c r="AS457" s="77"/>
      <c r="AT457" s="77"/>
      <c r="AU457" s="77"/>
      <c r="AV457" s="80" t="str">
        <f>HYPERLINK("https://pbs.twimg.com/profile_images/1634150200305414144/yRbuyQ62_normal.jpg")</f>
        <v>https://pbs.twimg.com/profile_images/1634150200305414144/yRbuyQ62_normal.jpg</v>
      </c>
      <c r="AW457" s="81" t="s">
        <v>4852</v>
      </c>
      <c r="AX457" s="81" t="s">
        <v>4851</v>
      </c>
      <c r="AY457" s="81" t="s">
        <v>5763</v>
      </c>
      <c r="AZ457" s="81" t="s">
        <v>4851</v>
      </c>
      <c r="BA457" s="81" t="s">
        <v>5773</v>
      </c>
      <c r="BB457" s="81" t="s">
        <v>5773</v>
      </c>
      <c r="BC457" s="81" t="s">
        <v>4851</v>
      </c>
      <c r="BD457" s="77">
        <v>164178163</v>
      </c>
      <c r="BE457" s="77"/>
      <c r="BF457" s="77"/>
      <c r="BG457" s="77"/>
      <c r="BH457" s="77"/>
      <c r="BI457" s="77"/>
    </row>
    <row r="458" spans="1:61" ht="15">
      <c r="A458" s="62" t="s">
        <v>261</v>
      </c>
      <c r="B458" s="62" t="s">
        <v>540</v>
      </c>
      <c r="C458" s="63"/>
      <c r="D458" s="64"/>
      <c r="E458" s="65"/>
      <c r="F458" s="66"/>
      <c r="G458" s="63"/>
      <c r="H458" s="67"/>
      <c r="I458" s="68"/>
      <c r="J458" s="68"/>
      <c r="K458" s="32" t="s">
        <v>65</v>
      </c>
      <c r="L458" s="75">
        <v>458</v>
      </c>
      <c r="M458" s="75"/>
      <c r="N458" s="70"/>
      <c r="O458" s="77" t="s">
        <v>571</v>
      </c>
      <c r="P458" s="79">
        <v>44091.43738425926</v>
      </c>
      <c r="Q458" s="77" t="s">
        <v>915</v>
      </c>
      <c r="R458" s="77">
        <v>5</v>
      </c>
      <c r="S458" s="77">
        <v>8</v>
      </c>
      <c r="T458" s="77">
        <v>1</v>
      </c>
      <c r="U458" s="77">
        <v>0</v>
      </c>
      <c r="V458" s="77"/>
      <c r="W458" s="81" t="s">
        <v>1800</v>
      </c>
      <c r="X458" s="77" t="s">
        <v>1963</v>
      </c>
      <c r="Y458" s="77" t="s">
        <v>2024</v>
      </c>
      <c r="Z458" s="77" t="s">
        <v>2090</v>
      </c>
      <c r="AA458" s="77" t="s">
        <v>2215</v>
      </c>
      <c r="AB458" s="77" t="s">
        <v>2696</v>
      </c>
      <c r="AC458" s="81" t="s">
        <v>2707</v>
      </c>
      <c r="AD458" s="77" t="s">
        <v>2751</v>
      </c>
      <c r="AE458" s="80" t="str">
        <f>HYPERLINK("https://twitter.com/topdevelopersco/status/1306540860897595392")</f>
        <v>https://twitter.com/topdevelopersco/status/1306540860897595392</v>
      </c>
      <c r="AF458" s="79">
        <v>44091.43738425926</v>
      </c>
      <c r="AG458" s="85">
        <v>44091</v>
      </c>
      <c r="AH458" s="81" t="s">
        <v>3105</v>
      </c>
      <c r="AI458" s="77" t="b">
        <v>0</v>
      </c>
      <c r="AJ458" s="77"/>
      <c r="AK458" s="77"/>
      <c r="AL458" s="77"/>
      <c r="AM458" s="77"/>
      <c r="AN458" s="77"/>
      <c r="AO458" s="77"/>
      <c r="AP458" s="77"/>
      <c r="AQ458" s="77" t="s">
        <v>4032</v>
      </c>
      <c r="AR458" s="77"/>
      <c r="AS458" s="77"/>
      <c r="AT458" s="77"/>
      <c r="AU458" s="77"/>
      <c r="AV458" s="80" t="str">
        <f>HYPERLINK("https://pbs.twimg.com/media/EiHCmP8VkAAnzKF.jpg")</f>
        <v>https://pbs.twimg.com/media/EiHCmP8VkAAnzKF.jpg</v>
      </c>
      <c r="AW458" s="81" t="s">
        <v>4851</v>
      </c>
      <c r="AX458" s="81" t="s">
        <v>4851</v>
      </c>
      <c r="AY458" s="77"/>
      <c r="AZ458" s="81" t="s">
        <v>5773</v>
      </c>
      <c r="BA458" s="81" t="s">
        <v>5773</v>
      </c>
      <c r="BB458" s="81" t="s">
        <v>5773</v>
      </c>
      <c r="BC458" s="81" t="s">
        <v>4851</v>
      </c>
      <c r="BD458" s="81" t="s">
        <v>5763</v>
      </c>
      <c r="BE458" s="77"/>
      <c r="BF458" s="77"/>
      <c r="BG458" s="77"/>
      <c r="BH458" s="77"/>
      <c r="BI458" s="77"/>
    </row>
    <row r="459" spans="1:61" ht="15">
      <c r="A459" s="62" t="s">
        <v>359</v>
      </c>
      <c r="B459" s="62" t="s">
        <v>540</v>
      </c>
      <c r="C459" s="63"/>
      <c r="D459" s="64"/>
      <c r="E459" s="65"/>
      <c r="F459" s="66"/>
      <c r="G459" s="63"/>
      <c r="H459" s="67"/>
      <c r="I459" s="68"/>
      <c r="J459" s="68"/>
      <c r="K459" s="32" t="s">
        <v>65</v>
      </c>
      <c r="L459" s="75">
        <v>459</v>
      </c>
      <c r="M459" s="75"/>
      <c r="N459" s="70"/>
      <c r="O459" s="77" t="s">
        <v>573</v>
      </c>
      <c r="P459" s="79">
        <v>44091.45422453704</v>
      </c>
      <c r="Q459" s="77" t="s">
        <v>916</v>
      </c>
      <c r="R459" s="77">
        <v>0</v>
      </c>
      <c r="S459" s="77">
        <v>0</v>
      </c>
      <c r="T459" s="77">
        <v>0</v>
      </c>
      <c r="U459" s="77">
        <v>0</v>
      </c>
      <c r="V459" s="77"/>
      <c r="W459" s="81" t="s">
        <v>1801</v>
      </c>
      <c r="X459" s="77"/>
      <c r="Y459" s="77"/>
      <c r="Z459" s="77" t="s">
        <v>2091</v>
      </c>
      <c r="AA459" s="77"/>
      <c r="AB459" s="77"/>
      <c r="AC459" s="81" t="s">
        <v>2707</v>
      </c>
      <c r="AD459" s="77" t="s">
        <v>2751</v>
      </c>
      <c r="AE459" s="80" t="str">
        <f>HYPERLINK("https://twitter.com/evontech/status/1306546966155853824")</f>
        <v>https://twitter.com/evontech/status/1306546966155853824</v>
      </c>
      <c r="AF459" s="79">
        <v>44091.45422453704</v>
      </c>
      <c r="AG459" s="85">
        <v>44091</v>
      </c>
      <c r="AH459" s="81" t="s">
        <v>3106</v>
      </c>
      <c r="AI459" s="77"/>
      <c r="AJ459" s="77"/>
      <c r="AK459" s="77"/>
      <c r="AL459" s="77"/>
      <c r="AM459" s="77"/>
      <c r="AN459" s="77"/>
      <c r="AO459" s="77"/>
      <c r="AP459" s="77"/>
      <c r="AQ459" s="77"/>
      <c r="AR459" s="77"/>
      <c r="AS459" s="77"/>
      <c r="AT459" s="77"/>
      <c r="AU459" s="77"/>
      <c r="AV459" s="80" t="str">
        <f>HYPERLINK("https://pbs.twimg.com/profile_images/1634150200305414144/yRbuyQ62_normal.jpg")</f>
        <v>https://pbs.twimg.com/profile_images/1634150200305414144/yRbuyQ62_normal.jpg</v>
      </c>
      <c r="AW459" s="81" t="s">
        <v>4852</v>
      </c>
      <c r="AX459" s="81" t="s">
        <v>4851</v>
      </c>
      <c r="AY459" s="81" t="s">
        <v>5763</v>
      </c>
      <c r="AZ459" s="81" t="s">
        <v>4851</v>
      </c>
      <c r="BA459" s="81" t="s">
        <v>5773</v>
      </c>
      <c r="BB459" s="81" t="s">
        <v>5773</v>
      </c>
      <c r="BC459" s="81" t="s">
        <v>4851</v>
      </c>
      <c r="BD459" s="77">
        <v>164178163</v>
      </c>
      <c r="BE459" s="77"/>
      <c r="BF459" s="77"/>
      <c r="BG459" s="77"/>
      <c r="BH459" s="77"/>
      <c r="BI459" s="77"/>
    </row>
    <row r="460" spans="1:61" ht="15">
      <c r="A460" s="62" t="s">
        <v>261</v>
      </c>
      <c r="B460" s="62" t="s">
        <v>299</v>
      </c>
      <c r="C460" s="63"/>
      <c r="D460" s="64"/>
      <c r="E460" s="65"/>
      <c r="F460" s="66"/>
      <c r="G460" s="63"/>
      <c r="H460" s="67"/>
      <c r="I460" s="68"/>
      <c r="J460" s="68"/>
      <c r="K460" s="32" t="s">
        <v>65</v>
      </c>
      <c r="L460" s="75">
        <v>460</v>
      </c>
      <c r="M460" s="75"/>
      <c r="N460" s="70"/>
      <c r="O460" s="77" t="s">
        <v>571</v>
      </c>
      <c r="P460" s="79">
        <v>44291.41986111111</v>
      </c>
      <c r="Q460" s="77" t="s">
        <v>662</v>
      </c>
      <c r="R460" s="77">
        <v>2</v>
      </c>
      <c r="S460" s="77">
        <v>4</v>
      </c>
      <c r="T460" s="77">
        <v>0</v>
      </c>
      <c r="U460" s="77">
        <v>0</v>
      </c>
      <c r="V460" s="77"/>
      <c r="W460" s="81" t="s">
        <v>1724</v>
      </c>
      <c r="X460" s="80" t="str">
        <f>HYPERLINK("https://bit.ly/39b0qy9")</f>
        <v>https://bit.ly/39b0qy9</v>
      </c>
      <c r="Y460" s="77" t="s">
        <v>1984</v>
      </c>
      <c r="Z460" s="77" t="s">
        <v>2066</v>
      </c>
      <c r="AA460" s="77" t="s">
        <v>2109</v>
      </c>
      <c r="AB460" s="77" t="s">
        <v>2696</v>
      </c>
      <c r="AC460" s="81" t="s">
        <v>2707</v>
      </c>
      <c r="AD460" s="77" t="s">
        <v>2751</v>
      </c>
      <c r="AE460" s="80" t="str">
        <f>HYPERLINK("https://twitter.com/topdevelopersco/status/1379012085619728388")</f>
        <v>https://twitter.com/topdevelopersco/status/1379012085619728388</v>
      </c>
      <c r="AF460" s="79">
        <v>44291.41986111111</v>
      </c>
      <c r="AG460" s="85">
        <v>44291</v>
      </c>
      <c r="AH460" s="81" t="s">
        <v>2852</v>
      </c>
      <c r="AI460" s="77" t="b">
        <v>0</v>
      </c>
      <c r="AJ460" s="77"/>
      <c r="AK460" s="77"/>
      <c r="AL460" s="77"/>
      <c r="AM460" s="77"/>
      <c r="AN460" s="77"/>
      <c r="AO460" s="77"/>
      <c r="AP460" s="77"/>
      <c r="AQ460" s="77" t="s">
        <v>3927</v>
      </c>
      <c r="AR460" s="77"/>
      <c r="AS460" s="77"/>
      <c r="AT460" s="77"/>
      <c r="AU460" s="77"/>
      <c r="AV460" s="80" t="str">
        <f>HYPERLINK("https://pbs.twimg.com/media/EyM8LFOVoAMSFqr.png")</f>
        <v>https://pbs.twimg.com/media/EyM8LFOVoAMSFqr.png</v>
      </c>
      <c r="AW460" s="81" t="s">
        <v>4597</v>
      </c>
      <c r="AX460" s="81" t="s">
        <v>4597</v>
      </c>
      <c r="AY460" s="77"/>
      <c r="AZ460" s="81" t="s">
        <v>5773</v>
      </c>
      <c r="BA460" s="81" t="s">
        <v>5773</v>
      </c>
      <c r="BB460" s="81" t="s">
        <v>5773</v>
      </c>
      <c r="BC460" s="81" t="s">
        <v>4597</v>
      </c>
      <c r="BD460" s="81" t="s">
        <v>5763</v>
      </c>
      <c r="BE460" s="77"/>
      <c r="BF460" s="77"/>
      <c r="BG460" s="77"/>
      <c r="BH460" s="77"/>
      <c r="BI460" s="77"/>
    </row>
    <row r="461" spans="1:61" ht="15">
      <c r="A461" s="62" t="s">
        <v>261</v>
      </c>
      <c r="B461" s="62" t="s">
        <v>299</v>
      </c>
      <c r="C461" s="63"/>
      <c r="D461" s="64"/>
      <c r="E461" s="65"/>
      <c r="F461" s="66"/>
      <c r="G461" s="63"/>
      <c r="H461" s="67"/>
      <c r="I461" s="68"/>
      <c r="J461" s="68"/>
      <c r="K461" s="32" t="s">
        <v>65</v>
      </c>
      <c r="L461" s="75">
        <v>461</v>
      </c>
      <c r="M461" s="75"/>
      <c r="N461" s="70"/>
      <c r="O461" s="77" t="s">
        <v>571</v>
      </c>
      <c r="P461" s="79">
        <v>44120.521469907406</v>
      </c>
      <c r="Q461" s="77" t="s">
        <v>663</v>
      </c>
      <c r="R461" s="77">
        <v>0</v>
      </c>
      <c r="S461" s="77">
        <v>2</v>
      </c>
      <c r="T461" s="77">
        <v>0</v>
      </c>
      <c r="U461" s="77">
        <v>0</v>
      </c>
      <c r="V461" s="77"/>
      <c r="W461" s="81" t="s">
        <v>1725</v>
      </c>
      <c r="X461" s="80" t="str">
        <f>HYPERLINK("https://bit.ly/2ItxUwZ")</f>
        <v>https://bit.ly/2ItxUwZ</v>
      </c>
      <c r="Y461" s="77" t="s">
        <v>1984</v>
      </c>
      <c r="Z461" s="77" t="s">
        <v>2067</v>
      </c>
      <c r="AA461" s="77" t="s">
        <v>2110</v>
      </c>
      <c r="AB461" s="77" t="s">
        <v>2696</v>
      </c>
      <c r="AC461" s="81" t="s">
        <v>2707</v>
      </c>
      <c r="AD461" s="77" t="s">
        <v>2751</v>
      </c>
      <c r="AE461" s="80" t="str">
        <f>HYPERLINK("https://twitter.com/topdevelopersco/status/1317080579611844611")</f>
        <v>https://twitter.com/topdevelopersco/status/1317080579611844611</v>
      </c>
      <c r="AF461" s="79">
        <v>44120.521469907406</v>
      </c>
      <c r="AG461" s="85">
        <v>44120</v>
      </c>
      <c r="AH461" s="81" t="s">
        <v>2853</v>
      </c>
      <c r="AI461" s="77" t="b">
        <v>0</v>
      </c>
      <c r="AJ461" s="77"/>
      <c r="AK461" s="77"/>
      <c r="AL461" s="77"/>
      <c r="AM461" s="77"/>
      <c r="AN461" s="77"/>
      <c r="AO461" s="77"/>
      <c r="AP461" s="77"/>
      <c r="AQ461" s="77" t="s">
        <v>3928</v>
      </c>
      <c r="AR461" s="77"/>
      <c r="AS461" s="77"/>
      <c r="AT461" s="77"/>
      <c r="AU461" s="77"/>
      <c r="AV461" s="80" t="str">
        <f>HYPERLINK("https://pbs.twimg.com/media/Ekc1zduU0AEdSKk.png")</f>
        <v>https://pbs.twimg.com/media/Ekc1zduU0AEdSKk.png</v>
      </c>
      <c r="AW461" s="81" t="s">
        <v>4598</v>
      </c>
      <c r="AX461" s="81" t="s">
        <v>4598</v>
      </c>
      <c r="AY461" s="77"/>
      <c r="AZ461" s="81" t="s">
        <v>5773</v>
      </c>
      <c r="BA461" s="81" t="s">
        <v>5773</v>
      </c>
      <c r="BB461" s="81" t="s">
        <v>5773</v>
      </c>
      <c r="BC461" s="81" t="s">
        <v>4598</v>
      </c>
      <c r="BD461" s="81" t="s">
        <v>5763</v>
      </c>
      <c r="BE461" s="77"/>
      <c r="BF461" s="77"/>
      <c r="BG461" s="77"/>
      <c r="BH461" s="77"/>
      <c r="BI461" s="77"/>
    </row>
    <row r="462" spans="1:61" ht="15">
      <c r="A462" s="62" t="s">
        <v>261</v>
      </c>
      <c r="B462" s="62" t="s">
        <v>299</v>
      </c>
      <c r="C462" s="63"/>
      <c r="D462" s="64"/>
      <c r="E462" s="65"/>
      <c r="F462" s="66"/>
      <c r="G462" s="63"/>
      <c r="H462" s="67"/>
      <c r="I462" s="68"/>
      <c r="J462" s="68"/>
      <c r="K462" s="32" t="s">
        <v>65</v>
      </c>
      <c r="L462" s="75">
        <v>462</v>
      </c>
      <c r="M462" s="75"/>
      <c r="N462" s="70"/>
      <c r="O462" s="77" t="s">
        <v>571</v>
      </c>
      <c r="P462" s="79">
        <v>44091.43738425926</v>
      </c>
      <c r="Q462" s="77" t="s">
        <v>915</v>
      </c>
      <c r="R462" s="77">
        <v>5</v>
      </c>
      <c r="S462" s="77">
        <v>8</v>
      </c>
      <c r="T462" s="77">
        <v>1</v>
      </c>
      <c r="U462" s="77">
        <v>0</v>
      </c>
      <c r="V462" s="77"/>
      <c r="W462" s="81" t="s">
        <v>1800</v>
      </c>
      <c r="X462" s="77" t="s">
        <v>1963</v>
      </c>
      <c r="Y462" s="77" t="s">
        <v>2024</v>
      </c>
      <c r="Z462" s="77" t="s">
        <v>2090</v>
      </c>
      <c r="AA462" s="77" t="s">
        <v>2215</v>
      </c>
      <c r="AB462" s="77" t="s">
        <v>2696</v>
      </c>
      <c r="AC462" s="81" t="s">
        <v>2707</v>
      </c>
      <c r="AD462" s="77" t="s">
        <v>2751</v>
      </c>
      <c r="AE462" s="80" t="str">
        <f>HYPERLINK("https://twitter.com/topdevelopersco/status/1306540860897595392")</f>
        <v>https://twitter.com/topdevelopersco/status/1306540860897595392</v>
      </c>
      <c r="AF462" s="79">
        <v>44091.43738425926</v>
      </c>
      <c r="AG462" s="85">
        <v>44091</v>
      </c>
      <c r="AH462" s="81" t="s">
        <v>3105</v>
      </c>
      <c r="AI462" s="77" t="b">
        <v>0</v>
      </c>
      <c r="AJ462" s="77"/>
      <c r="AK462" s="77"/>
      <c r="AL462" s="77"/>
      <c r="AM462" s="77"/>
      <c r="AN462" s="77"/>
      <c r="AO462" s="77"/>
      <c r="AP462" s="77"/>
      <c r="AQ462" s="77" t="s">
        <v>4032</v>
      </c>
      <c r="AR462" s="77"/>
      <c r="AS462" s="77"/>
      <c r="AT462" s="77"/>
      <c r="AU462" s="77"/>
      <c r="AV462" s="80" t="str">
        <f>HYPERLINK("https://pbs.twimg.com/media/EiHCmP8VkAAnzKF.jpg")</f>
        <v>https://pbs.twimg.com/media/EiHCmP8VkAAnzKF.jpg</v>
      </c>
      <c r="AW462" s="81" t="s">
        <v>4851</v>
      </c>
      <c r="AX462" s="81" t="s">
        <v>4851</v>
      </c>
      <c r="AY462" s="77"/>
      <c r="AZ462" s="81" t="s">
        <v>5773</v>
      </c>
      <c r="BA462" s="81" t="s">
        <v>5773</v>
      </c>
      <c r="BB462" s="81" t="s">
        <v>5773</v>
      </c>
      <c r="BC462" s="81" t="s">
        <v>4851</v>
      </c>
      <c r="BD462" s="81" t="s">
        <v>5763</v>
      </c>
      <c r="BE462" s="77"/>
      <c r="BF462" s="77"/>
      <c r="BG462" s="77"/>
      <c r="BH462" s="77"/>
      <c r="BI462" s="77"/>
    </row>
    <row r="463" spans="1:61" ht="15">
      <c r="A463" s="62" t="s">
        <v>261</v>
      </c>
      <c r="B463" s="62" t="s">
        <v>359</v>
      </c>
      <c r="C463" s="63"/>
      <c r="D463" s="64"/>
      <c r="E463" s="65"/>
      <c r="F463" s="66"/>
      <c r="G463" s="63"/>
      <c r="H463" s="67"/>
      <c r="I463" s="68"/>
      <c r="J463" s="68"/>
      <c r="K463" s="32" t="s">
        <v>66</v>
      </c>
      <c r="L463" s="75">
        <v>463</v>
      </c>
      <c r="M463" s="75"/>
      <c r="N463" s="70"/>
      <c r="O463" s="77" t="s">
        <v>571</v>
      </c>
      <c r="P463" s="79">
        <v>44091.43738425926</v>
      </c>
      <c r="Q463" s="77" t="s">
        <v>915</v>
      </c>
      <c r="R463" s="77">
        <v>5</v>
      </c>
      <c r="S463" s="77">
        <v>8</v>
      </c>
      <c r="T463" s="77">
        <v>1</v>
      </c>
      <c r="U463" s="77">
        <v>0</v>
      </c>
      <c r="V463" s="77"/>
      <c r="W463" s="81" t="s">
        <v>1800</v>
      </c>
      <c r="X463" s="77" t="s">
        <v>1963</v>
      </c>
      <c r="Y463" s="77" t="s">
        <v>2024</v>
      </c>
      <c r="Z463" s="77" t="s">
        <v>2090</v>
      </c>
      <c r="AA463" s="77" t="s">
        <v>2215</v>
      </c>
      <c r="AB463" s="77" t="s">
        <v>2696</v>
      </c>
      <c r="AC463" s="81" t="s">
        <v>2707</v>
      </c>
      <c r="AD463" s="77" t="s">
        <v>2751</v>
      </c>
      <c r="AE463" s="80" t="str">
        <f>HYPERLINK("https://twitter.com/topdevelopersco/status/1306540860897595392")</f>
        <v>https://twitter.com/topdevelopersco/status/1306540860897595392</v>
      </c>
      <c r="AF463" s="79">
        <v>44091.43738425926</v>
      </c>
      <c r="AG463" s="85">
        <v>44091</v>
      </c>
      <c r="AH463" s="81" t="s">
        <v>3105</v>
      </c>
      <c r="AI463" s="77" t="b">
        <v>0</v>
      </c>
      <c r="AJ463" s="77"/>
      <c r="AK463" s="77"/>
      <c r="AL463" s="77"/>
      <c r="AM463" s="77"/>
      <c r="AN463" s="77"/>
      <c r="AO463" s="77"/>
      <c r="AP463" s="77"/>
      <c r="AQ463" s="77" t="s">
        <v>4032</v>
      </c>
      <c r="AR463" s="77"/>
      <c r="AS463" s="77"/>
      <c r="AT463" s="77"/>
      <c r="AU463" s="77"/>
      <c r="AV463" s="80" t="str">
        <f>HYPERLINK("https://pbs.twimg.com/media/EiHCmP8VkAAnzKF.jpg")</f>
        <v>https://pbs.twimg.com/media/EiHCmP8VkAAnzKF.jpg</v>
      </c>
      <c r="AW463" s="81" t="s">
        <v>4851</v>
      </c>
      <c r="AX463" s="81" t="s">
        <v>4851</v>
      </c>
      <c r="AY463" s="77"/>
      <c r="AZ463" s="81" t="s">
        <v>5773</v>
      </c>
      <c r="BA463" s="81" t="s">
        <v>5773</v>
      </c>
      <c r="BB463" s="81" t="s">
        <v>5773</v>
      </c>
      <c r="BC463" s="81" t="s">
        <v>4851</v>
      </c>
      <c r="BD463" s="81" t="s">
        <v>5763</v>
      </c>
      <c r="BE463" s="77"/>
      <c r="BF463" s="77"/>
      <c r="BG463" s="77"/>
      <c r="BH463" s="77"/>
      <c r="BI463" s="77"/>
    </row>
    <row r="464" spans="1:61" ht="15">
      <c r="A464" s="62" t="s">
        <v>261</v>
      </c>
      <c r="B464" s="62" t="s">
        <v>299</v>
      </c>
      <c r="C464" s="63"/>
      <c r="D464" s="64"/>
      <c r="E464" s="65"/>
      <c r="F464" s="66"/>
      <c r="G464" s="63"/>
      <c r="H464" s="67"/>
      <c r="I464" s="68"/>
      <c r="J464" s="68"/>
      <c r="K464" s="32" t="s">
        <v>65</v>
      </c>
      <c r="L464" s="75">
        <v>464</v>
      </c>
      <c r="M464" s="75"/>
      <c r="N464" s="70"/>
      <c r="O464" s="77" t="s">
        <v>571</v>
      </c>
      <c r="P464" s="79">
        <v>44048.45751157407</v>
      </c>
      <c r="Q464" s="77" t="s">
        <v>902</v>
      </c>
      <c r="R464" s="77">
        <v>0</v>
      </c>
      <c r="S464" s="77">
        <v>3</v>
      </c>
      <c r="T464" s="77">
        <v>2</v>
      </c>
      <c r="U464" s="77">
        <v>2</v>
      </c>
      <c r="V464" s="77"/>
      <c r="W464" s="81" t="s">
        <v>1799</v>
      </c>
      <c r="X464" s="80" t="str">
        <f>HYPERLINK("https://bit.ly/3fs59eV")</f>
        <v>https://bit.ly/3fs59eV</v>
      </c>
      <c r="Y464" s="77" t="s">
        <v>1984</v>
      </c>
      <c r="Z464" s="77" t="s">
        <v>2088</v>
      </c>
      <c r="AA464" s="77" t="s">
        <v>2213</v>
      </c>
      <c r="AB464" s="77" t="s">
        <v>2696</v>
      </c>
      <c r="AC464" s="81" t="s">
        <v>2707</v>
      </c>
      <c r="AD464" s="77" t="s">
        <v>2751</v>
      </c>
      <c r="AE464" s="80" t="str">
        <f>HYPERLINK("https://twitter.com/topdevelopersco/status/1290965478920208385")</f>
        <v>https://twitter.com/topdevelopersco/status/1290965478920208385</v>
      </c>
      <c r="AF464" s="79">
        <v>44048.45751157407</v>
      </c>
      <c r="AG464" s="85">
        <v>44048</v>
      </c>
      <c r="AH464" s="81" t="s">
        <v>3092</v>
      </c>
      <c r="AI464" s="77" t="b">
        <v>0</v>
      </c>
      <c r="AJ464" s="77"/>
      <c r="AK464" s="77"/>
      <c r="AL464" s="77"/>
      <c r="AM464" s="77"/>
      <c r="AN464" s="77"/>
      <c r="AO464" s="77"/>
      <c r="AP464" s="77"/>
      <c r="AQ464" s="77" t="s">
        <v>4030</v>
      </c>
      <c r="AR464" s="77"/>
      <c r="AS464" s="77"/>
      <c r="AT464" s="77"/>
      <c r="AU464" s="77"/>
      <c r="AV464" s="80" t="str">
        <f>HYPERLINK("https://pbs.twimg.com/media/EepuQKMUcAA5RXj.png")</f>
        <v>https://pbs.twimg.com/media/EepuQKMUcAA5RXj.png</v>
      </c>
      <c r="AW464" s="81" t="s">
        <v>4838</v>
      </c>
      <c r="AX464" s="81" t="s">
        <v>4838</v>
      </c>
      <c r="AY464" s="77"/>
      <c r="AZ464" s="81" t="s">
        <v>5773</v>
      </c>
      <c r="BA464" s="81" t="s">
        <v>5773</v>
      </c>
      <c r="BB464" s="81" t="s">
        <v>5773</v>
      </c>
      <c r="BC464" s="81" t="s">
        <v>4838</v>
      </c>
      <c r="BD464" s="81" t="s">
        <v>5763</v>
      </c>
      <c r="BE464" s="77"/>
      <c r="BF464" s="77"/>
      <c r="BG464" s="77"/>
      <c r="BH464" s="77"/>
      <c r="BI464" s="77"/>
    </row>
    <row r="465" spans="1:61" ht="15">
      <c r="A465" s="62" t="s">
        <v>359</v>
      </c>
      <c r="B465" s="62" t="s">
        <v>261</v>
      </c>
      <c r="C465" s="63"/>
      <c r="D465" s="64"/>
      <c r="E465" s="65"/>
      <c r="F465" s="66"/>
      <c r="G465" s="63"/>
      <c r="H465" s="67"/>
      <c r="I465" s="68"/>
      <c r="J465" s="68"/>
      <c r="K465" s="32" t="s">
        <v>66</v>
      </c>
      <c r="L465" s="75">
        <v>465</v>
      </c>
      <c r="M465" s="75"/>
      <c r="N465" s="70"/>
      <c r="O465" s="77" t="s">
        <v>573</v>
      </c>
      <c r="P465" s="79">
        <v>44091.45422453704</v>
      </c>
      <c r="Q465" s="77" t="s">
        <v>916</v>
      </c>
      <c r="R465" s="77">
        <v>0</v>
      </c>
      <c r="S465" s="77">
        <v>0</v>
      </c>
      <c r="T465" s="77">
        <v>0</v>
      </c>
      <c r="U465" s="77">
        <v>0</v>
      </c>
      <c r="V465" s="77"/>
      <c r="W465" s="81" t="s">
        <v>1801</v>
      </c>
      <c r="X465" s="77"/>
      <c r="Y465" s="77"/>
      <c r="Z465" s="77" t="s">
        <v>2091</v>
      </c>
      <c r="AA465" s="77"/>
      <c r="AB465" s="77"/>
      <c r="AC465" s="81" t="s">
        <v>2707</v>
      </c>
      <c r="AD465" s="77" t="s">
        <v>2751</v>
      </c>
      <c r="AE465" s="80" t="str">
        <f>HYPERLINK("https://twitter.com/evontech/status/1306546966155853824")</f>
        <v>https://twitter.com/evontech/status/1306546966155853824</v>
      </c>
      <c r="AF465" s="79">
        <v>44091.45422453704</v>
      </c>
      <c r="AG465" s="85">
        <v>44091</v>
      </c>
      <c r="AH465" s="81" t="s">
        <v>3106</v>
      </c>
      <c r="AI465" s="77"/>
      <c r="AJ465" s="77"/>
      <c r="AK465" s="77"/>
      <c r="AL465" s="77"/>
      <c r="AM465" s="77"/>
      <c r="AN465" s="77"/>
      <c r="AO465" s="77"/>
      <c r="AP465" s="77"/>
      <c r="AQ465" s="77"/>
      <c r="AR465" s="77"/>
      <c r="AS465" s="77"/>
      <c r="AT465" s="77"/>
      <c r="AU465" s="77"/>
      <c r="AV465" s="80" t="str">
        <f>HYPERLINK("https://pbs.twimg.com/profile_images/1634150200305414144/yRbuyQ62_normal.jpg")</f>
        <v>https://pbs.twimg.com/profile_images/1634150200305414144/yRbuyQ62_normal.jpg</v>
      </c>
      <c r="AW465" s="81" t="s">
        <v>4852</v>
      </c>
      <c r="AX465" s="81" t="s">
        <v>4851</v>
      </c>
      <c r="AY465" s="81" t="s">
        <v>5763</v>
      </c>
      <c r="AZ465" s="81" t="s">
        <v>4851</v>
      </c>
      <c r="BA465" s="81" t="s">
        <v>5773</v>
      </c>
      <c r="BB465" s="81" t="s">
        <v>5773</v>
      </c>
      <c r="BC465" s="81" t="s">
        <v>4851</v>
      </c>
      <c r="BD465" s="77">
        <v>164178163</v>
      </c>
      <c r="BE465" s="77"/>
      <c r="BF465" s="77"/>
      <c r="BG465" s="77"/>
      <c r="BH465" s="77"/>
      <c r="BI465" s="77"/>
    </row>
    <row r="466" spans="1:61" ht="15">
      <c r="A466" s="62" t="s">
        <v>359</v>
      </c>
      <c r="B466" s="62" t="s">
        <v>261</v>
      </c>
      <c r="C466" s="63"/>
      <c r="D466" s="64"/>
      <c r="E466" s="65"/>
      <c r="F466" s="66"/>
      <c r="G466" s="63"/>
      <c r="H466" s="67"/>
      <c r="I466" s="68"/>
      <c r="J466" s="68"/>
      <c r="K466" s="32" t="s">
        <v>66</v>
      </c>
      <c r="L466" s="75">
        <v>466</v>
      </c>
      <c r="M466" s="75"/>
      <c r="N466" s="70"/>
      <c r="O466" s="77" t="s">
        <v>572</v>
      </c>
      <c r="P466" s="79">
        <v>44091.45422453704</v>
      </c>
      <c r="Q466" s="77" t="s">
        <v>916</v>
      </c>
      <c r="R466" s="77">
        <v>0</v>
      </c>
      <c r="S466" s="77">
        <v>0</v>
      </c>
      <c r="T466" s="77">
        <v>0</v>
      </c>
      <c r="U466" s="77">
        <v>0</v>
      </c>
      <c r="V466" s="77"/>
      <c r="W466" s="81" t="s">
        <v>1801</v>
      </c>
      <c r="X466" s="77"/>
      <c r="Y466" s="77"/>
      <c r="Z466" s="77" t="s">
        <v>2091</v>
      </c>
      <c r="AA466" s="77"/>
      <c r="AB466" s="77"/>
      <c r="AC466" s="81" t="s">
        <v>2707</v>
      </c>
      <c r="AD466" s="77" t="s">
        <v>2751</v>
      </c>
      <c r="AE466" s="80" t="str">
        <f>HYPERLINK("https://twitter.com/evontech/status/1306546966155853824")</f>
        <v>https://twitter.com/evontech/status/1306546966155853824</v>
      </c>
      <c r="AF466" s="79">
        <v>44091.45422453704</v>
      </c>
      <c r="AG466" s="85">
        <v>44091</v>
      </c>
      <c r="AH466" s="81" t="s">
        <v>3106</v>
      </c>
      <c r="AI466" s="77"/>
      <c r="AJ466" s="77"/>
      <c r="AK466" s="77"/>
      <c r="AL466" s="77"/>
      <c r="AM466" s="77"/>
      <c r="AN466" s="77"/>
      <c r="AO466" s="77"/>
      <c r="AP466" s="77"/>
      <c r="AQ466" s="77"/>
      <c r="AR466" s="77"/>
      <c r="AS466" s="77"/>
      <c r="AT466" s="77"/>
      <c r="AU466" s="77"/>
      <c r="AV466" s="80" t="str">
        <f>HYPERLINK("https://pbs.twimg.com/profile_images/1634150200305414144/yRbuyQ62_normal.jpg")</f>
        <v>https://pbs.twimg.com/profile_images/1634150200305414144/yRbuyQ62_normal.jpg</v>
      </c>
      <c r="AW466" s="81" t="s">
        <v>4852</v>
      </c>
      <c r="AX466" s="81" t="s">
        <v>4851</v>
      </c>
      <c r="AY466" s="81" t="s">
        <v>5763</v>
      </c>
      <c r="AZ466" s="81" t="s">
        <v>4851</v>
      </c>
      <c r="BA466" s="81" t="s">
        <v>5773</v>
      </c>
      <c r="BB466" s="81" t="s">
        <v>5773</v>
      </c>
      <c r="BC466" s="81" t="s">
        <v>4851</v>
      </c>
      <c r="BD466" s="77">
        <v>164178163</v>
      </c>
      <c r="BE466" s="77"/>
      <c r="BF466" s="77"/>
      <c r="BG466" s="77"/>
      <c r="BH466" s="77"/>
      <c r="BI466" s="77"/>
    </row>
    <row r="467" spans="1:61" ht="15">
      <c r="A467" s="62" t="s">
        <v>359</v>
      </c>
      <c r="B467" s="62" t="s">
        <v>359</v>
      </c>
      <c r="C467" s="63"/>
      <c r="D467" s="64"/>
      <c r="E467" s="65"/>
      <c r="F467" s="66"/>
      <c r="G467" s="63"/>
      <c r="H467" s="67"/>
      <c r="I467" s="68"/>
      <c r="J467" s="68"/>
      <c r="K467" s="32" t="s">
        <v>65</v>
      </c>
      <c r="L467" s="75">
        <v>467</v>
      </c>
      <c r="M467" s="75"/>
      <c r="N467" s="70"/>
      <c r="O467" s="77" t="s">
        <v>573</v>
      </c>
      <c r="P467" s="79">
        <v>44091.45422453704</v>
      </c>
      <c r="Q467" s="77" t="s">
        <v>916</v>
      </c>
      <c r="R467" s="77">
        <v>0</v>
      </c>
      <c r="S467" s="77">
        <v>0</v>
      </c>
      <c r="T467" s="77">
        <v>0</v>
      </c>
      <c r="U467" s="77">
        <v>0</v>
      </c>
      <c r="V467" s="77"/>
      <c r="W467" s="81" t="s">
        <v>1801</v>
      </c>
      <c r="X467" s="77"/>
      <c r="Y467" s="77"/>
      <c r="Z467" s="77" t="s">
        <v>2091</v>
      </c>
      <c r="AA467" s="77"/>
      <c r="AB467" s="77"/>
      <c r="AC467" s="81" t="s">
        <v>2707</v>
      </c>
      <c r="AD467" s="77" t="s">
        <v>2751</v>
      </c>
      <c r="AE467" s="80" t="str">
        <f>HYPERLINK("https://twitter.com/evontech/status/1306546966155853824")</f>
        <v>https://twitter.com/evontech/status/1306546966155853824</v>
      </c>
      <c r="AF467" s="79">
        <v>44091.45422453704</v>
      </c>
      <c r="AG467" s="85">
        <v>44091</v>
      </c>
      <c r="AH467" s="81" t="s">
        <v>3106</v>
      </c>
      <c r="AI467" s="77"/>
      <c r="AJ467" s="77"/>
      <c r="AK467" s="77"/>
      <c r="AL467" s="77"/>
      <c r="AM467" s="77"/>
      <c r="AN467" s="77"/>
      <c r="AO467" s="77"/>
      <c r="AP467" s="77"/>
      <c r="AQ467" s="77"/>
      <c r="AR467" s="77"/>
      <c r="AS467" s="77"/>
      <c r="AT467" s="77"/>
      <c r="AU467" s="77"/>
      <c r="AV467" s="80" t="str">
        <f>HYPERLINK("https://pbs.twimg.com/profile_images/1634150200305414144/yRbuyQ62_normal.jpg")</f>
        <v>https://pbs.twimg.com/profile_images/1634150200305414144/yRbuyQ62_normal.jpg</v>
      </c>
      <c r="AW467" s="81" t="s">
        <v>4852</v>
      </c>
      <c r="AX467" s="81" t="s">
        <v>4851</v>
      </c>
      <c r="AY467" s="81" t="s">
        <v>5763</v>
      </c>
      <c r="AZ467" s="81" t="s">
        <v>4851</v>
      </c>
      <c r="BA467" s="81" t="s">
        <v>5773</v>
      </c>
      <c r="BB467" s="81" t="s">
        <v>5773</v>
      </c>
      <c r="BC467" s="81" t="s">
        <v>4851</v>
      </c>
      <c r="BD467" s="77">
        <v>164178163</v>
      </c>
      <c r="BE467" s="77"/>
      <c r="BF467" s="77"/>
      <c r="BG467" s="77"/>
      <c r="BH467" s="77"/>
      <c r="BI467" s="77"/>
    </row>
    <row r="468" spans="1:61" ht="15">
      <c r="A468" s="62" t="s">
        <v>359</v>
      </c>
      <c r="B468" s="62" t="s">
        <v>299</v>
      </c>
      <c r="C468" s="63"/>
      <c r="D468" s="64"/>
      <c r="E468" s="65"/>
      <c r="F468" s="66"/>
      <c r="G468" s="63"/>
      <c r="H468" s="67"/>
      <c r="I468" s="68"/>
      <c r="J468" s="68"/>
      <c r="K468" s="32" t="s">
        <v>65</v>
      </c>
      <c r="L468" s="75">
        <v>468</v>
      </c>
      <c r="M468" s="75"/>
      <c r="N468" s="70"/>
      <c r="O468" s="77" t="s">
        <v>573</v>
      </c>
      <c r="P468" s="79">
        <v>44091.45422453704</v>
      </c>
      <c r="Q468" s="77" t="s">
        <v>916</v>
      </c>
      <c r="R468" s="77">
        <v>0</v>
      </c>
      <c r="S468" s="77">
        <v>0</v>
      </c>
      <c r="T468" s="77">
        <v>0</v>
      </c>
      <c r="U468" s="77">
        <v>0</v>
      </c>
      <c r="V468" s="77"/>
      <c r="W468" s="81" t="s">
        <v>1801</v>
      </c>
      <c r="X468" s="77"/>
      <c r="Y468" s="77"/>
      <c r="Z468" s="77" t="s">
        <v>2091</v>
      </c>
      <c r="AA468" s="77"/>
      <c r="AB468" s="77"/>
      <c r="AC468" s="81" t="s">
        <v>2707</v>
      </c>
      <c r="AD468" s="77" t="s">
        <v>2751</v>
      </c>
      <c r="AE468" s="80" t="str">
        <f>HYPERLINK("https://twitter.com/evontech/status/1306546966155853824")</f>
        <v>https://twitter.com/evontech/status/1306546966155853824</v>
      </c>
      <c r="AF468" s="79">
        <v>44091.45422453704</v>
      </c>
      <c r="AG468" s="85">
        <v>44091</v>
      </c>
      <c r="AH468" s="81" t="s">
        <v>3106</v>
      </c>
      <c r="AI468" s="77"/>
      <c r="AJ468" s="77"/>
      <c r="AK468" s="77"/>
      <c r="AL468" s="77"/>
      <c r="AM468" s="77"/>
      <c r="AN468" s="77"/>
      <c r="AO468" s="77"/>
      <c r="AP468" s="77"/>
      <c r="AQ468" s="77"/>
      <c r="AR468" s="77"/>
      <c r="AS468" s="77"/>
      <c r="AT468" s="77"/>
      <c r="AU468" s="77"/>
      <c r="AV468" s="80" t="str">
        <f>HYPERLINK("https://pbs.twimg.com/profile_images/1634150200305414144/yRbuyQ62_normal.jpg")</f>
        <v>https://pbs.twimg.com/profile_images/1634150200305414144/yRbuyQ62_normal.jpg</v>
      </c>
      <c r="AW468" s="81" t="s">
        <v>4852</v>
      </c>
      <c r="AX468" s="81" t="s">
        <v>4851</v>
      </c>
      <c r="AY468" s="81" t="s">
        <v>5763</v>
      </c>
      <c r="AZ468" s="81" t="s">
        <v>4851</v>
      </c>
      <c r="BA468" s="81" t="s">
        <v>5773</v>
      </c>
      <c r="BB468" s="81" t="s">
        <v>5773</v>
      </c>
      <c r="BC468" s="81" t="s">
        <v>4851</v>
      </c>
      <c r="BD468" s="77">
        <v>164178163</v>
      </c>
      <c r="BE468" s="77"/>
      <c r="BF468" s="77"/>
      <c r="BG468" s="77"/>
      <c r="BH468" s="77"/>
      <c r="BI468" s="77"/>
    </row>
    <row r="469" spans="1:61" ht="15">
      <c r="A469" s="62" t="s">
        <v>360</v>
      </c>
      <c r="B469" s="62" t="s">
        <v>360</v>
      </c>
      <c r="C469" s="63"/>
      <c r="D469" s="64"/>
      <c r="E469" s="65"/>
      <c r="F469" s="66"/>
      <c r="G469" s="63"/>
      <c r="H469" s="67"/>
      <c r="I469" s="68"/>
      <c r="J469" s="68"/>
      <c r="K469" s="32" t="s">
        <v>65</v>
      </c>
      <c r="L469" s="75">
        <v>469</v>
      </c>
      <c r="M469" s="75"/>
      <c r="N469" s="70"/>
      <c r="O469" s="77" t="s">
        <v>179</v>
      </c>
      <c r="P469" s="79">
        <v>43178.51957175926</v>
      </c>
      <c r="Q469" s="77" t="s">
        <v>917</v>
      </c>
      <c r="R469" s="77">
        <v>0</v>
      </c>
      <c r="S469" s="77">
        <v>0</v>
      </c>
      <c r="T469" s="77">
        <v>0</v>
      </c>
      <c r="U469" s="77">
        <v>0</v>
      </c>
      <c r="V469" s="77"/>
      <c r="W469" s="81" t="s">
        <v>1802</v>
      </c>
      <c r="X469" s="80" t="str">
        <f>HYPERLINK("https://fb.me/NXevbXMG")</f>
        <v>https://fb.me/NXevbXMG</v>
      </c>
      <c r="Y469" s="77" t="s">
        <v>1988</v>
      </c>
      <c r="Z469" s="77"/>
      <c r="AA469" s="77"/>
      <c r="AB469" s="77"/>
      <c r="AC469" s="81" t="s">
        <v>2716</v>
      </c>
      <c r="AD469" s="77" t="s">
        <v>2751</v>
      </c>
      <c r="AE469" s="80" t="str">
        <f>HYPERLINK("https://twitter.com/indywoodfilm/status/975710524217454592")</f>
        <v>https://twitter.com/indywoodfilm/status/975710524217454592</v>
      </c>
      <c r="AF469" s="79">
        <v>43178.51957175926</v>
      </c>
      <c r="AG469" s="85">
        <v>43178</v>
      </c>
      <c r="AH469" s="81" t="s">
        <v>3107</v>
      </c>
      <c r="AI469" s="77" t="b">
        <v>0</v>
      </c>
      <c r="AJ469" s="77"/>
      <c r="AK469" s="77"/>
      <c r="AL469" s="77"/>
      <c r="AM469" s="77"/>
      <c r="AN469" s="77"/>
      <c r="AO469" s="77"/>
      <c r="AP469" s="77"/>
      <c r="AQ469" s="77"/>
      <c r="AR469" s="77"/>
      <c r="AS469" s="77"/>
      <c r="AT469" s="77"/>
      <c r="AU469" s="77"/>
      <c r="AV469" s="80" t="str">
        <f>HYPERLINK("https://pbs.twimg.com/profile_images/697345981919002624/cfMrzOt-_normal.jpg")</f>
        <v>https://pbs.twimg.com/profile_images/697345981919002624/cfMrzOt-_normal.jpg</v>
      </c>
      <c r="AW469" s="81" t="s">
        <v>4853</v>
      </c>
      <c r="AX469" s="81" t="s">
        <v>4853</v>
      </c>
      <c r="AY469" s="77"/>
      <c r="AZ469" s="81" t="s">
        <v>5773</v>
      </c>
      <c r="BA469" s="81" t="s">
        <v>5773</v>
      </c>
      <c r="BB469" s="81" t="s">
        <v>5773</v>
      </c>
      <c r="BC469" s="81" t="s">
        <v>4853</v>
      </c>
      <c r="BD469" s="77">
        <v>4887125172</v>
      </c>
      <c r="BE469" s="77"/>
      <c r="BF469" s="77"/>
      <c r="BG469" s="77"/>
      <c r="BH469" s="77"/>
      <c r="BI469" s="77"/>
    </row>
    <row r="470" spans="1:61" ht="15">
      <c r="A470" s="62" t="s">
        <v>361</v>
      </c>
      <c r="B470" s="62" t="s">
        <v>361</v>
      </c>
      <c r="C470" s="63"/>
      <c r="D470" s="64"/>
      <c r="E470" s="65"/>
      <c r="F470" s="66"/>
      <c r="G470" s="63"/>
      <c r="H470" s="67"/>
      <c r="I470" s="68"/>
      <c r="J470" s="68"/>
      <c r="K470" s="32" t="s">
        <v>65</v>
      </c>
      <c r="L470" s="75">
        <v>470</v>
      </c>
      <c r="M470" s="75"/>
      <c r="N470" s="70"/>
      <c r="O470" s="77" t="s">
        <v>179</v>
      </c>
      <c r="P470" s="79">
        <v>40666.32728009259</v>
      </c>
      <c r="Q470" s="77" t="s">
        <v>918</v>
      </c>
      <c r="R470" s="77">
        <v>0</v>
      </c>
      <c r="S470" s="77">
        <v>0</v>
      </c>
      <c r="T470" s="77">
        <v>0</v>
      </c>
      <c r="U470" s="77">
        <v>0</v>
      </c>
      <c r="V470" s="77"/>
      <c r="W470" s="77"/>
      <c r="X470" s="77"/>
      <c r="Y470" s="77"/>
      <c r="Z470" s="77"/>
      <c r="AA470" s="77"/>
      <c r="AB470" s="77"/>
      <c r="AC470" s="81" t="s">
        <v>2722</v>
      </c>
      <c r="AD470" s="77" t="s">
        <v>2751</v>
      </c>
      <c r="AE470" s="80" t="str">
        <f>HYPERLINK("https://twitter.com/vfreshers/status/65322520580071424")</f>
        <v>https://twitter.com/vfreshers/status/65322520580071424</v>
      </c>
      <c r="AF470" s="79">
        <v>40666.32728009259</v>
      </c>
      <c r="AG470" s="85">
        <v>40666</v>
      </c>
      <c r="AH470" s="81" t="s">
        <v>3108</v>
      </c>
      <c r="AI470" s="77"/>
      <c r="AJ470" s="77"/>
      <c r="AK470" s="77"/>
      <c r="AL470" s="77"/>
      <c r="AM470" s="77"/>
      <c r="AN470" s="77"/>
      <c r="AO470" s="77"/>
      <c r="AP470" s="77"/>
      <c r="AQ470" s="77"/>
      <c r="AR470" s="77"/>
      <c r="AS470" s="77"/>
      <c r="AT470" s="77"/>
      <c r="AU470" s="77"/>
      <c r="AV470" s="80" t="str">
        <f>HYPERLINK("https://pbs.twimg.com/profile_images/71193460/vfreshers_normal.png")</f>
        <v>https://pbs.twimg.com/profile_images/71193460/vfreshers_normal.png</v>
      </c>
      <c r="AW470" s="81" t="s">
        <v>4854</v>
      </c>
      <c r="AX470" s="81" t="s">
        <v>4854</v>
      </c>
      <c r="AY470" s="77"/>
      <c r="AZ470" s="81" t="s">
        <v>5773</v>
      </c>
      <c r="BA470" s="81" t="s">
        <v>5773</v>
      </c>
      <c r="BB470" s="81" t="s">
        <v>5773</v>
      </c>
      <c r="BC470" s="81" t="s">
        <v>4854</v>
      </c>
      <c r="BD470" s="77">
        <v>19003873</v>
      </c>
      <c r="BE470" s="77"/>
      <c r="BF470" s="77"/>
      <c r="BG470" s="77"/>
      <c r="BH470" s="77"/>
      <c r="BI470" s="77"/>
    </row>
    <row r="471" spans="1:61" ht="15">
      <c r="A471" s="62" t="s">
        <v>361</v>
      </c>
      <c r="B471" s="62" t="s">
        <v>361</v>
      </c>
      <c r="C471" s="63"/>
      <c r="D471" s="64"/>
      <c r="E471" s="65"/>
      <c r="F471" s="66"/>
      <c r="G471" s="63"/>
      <c r="H471" s="67"/>
      <c r="I471" s="68"/>
      <c r="J471" s="68"/>
      <c r="K471" s="32" t="s">
        <v>65</v>
      </c>
      <c r="L471" s="75">
        <v>471</v>
      </c>
      <c r="M471" s="75"/>
      <c r="N471" s="70"/>
      <c r="O471" s="77" t="s">
        <v>179</v>
      </c>
      <c r="P471" s="79">
        <v>40580.39130787037</v>
      </c>
      <c r="Q471" s="77" t="s">
        <v>919</v>
      </c>
      <c r="R471" s="77">
        <v>0</v>
      </c>
      <c r="S471" s="77">
        <v>0</v>
      </c>
      <c r="T471" s="77">
        <v>0</v>
      </c>
      <c r="U471" s="77">
        <v>0</v>
      </c>
      <c r="V471" s="77"/>
      <c r="W471" s="77"/>
      <c r="X471" s="77"/>
      <c r="Y471" s="77"/>
      <c r="Z471" s="77"/>
      <c r="AA471" s="77"/>
      <c r="AB471" s="77"/>
      <c r="AC471" s="81" t="s">
        <v>2722</v>
      </c>
      <c r="AD471" s="77" t="s">
        <v>2751</v>
      </c>
      <c r="AE471" s="80" t="str">
        <f>HYPERLINK("https://twitter.com/vfreshers/status/34180366751240192")</f>
        <v>https://twitter.com/vfreshers/status/34180366751240192</v>
      </c>
      <c r="AF471" s="79">
        <v>40580.39130787037</v>
      </c>
      <c r="AG471" s="85">
        <v>40580</v>
      </c>
      <c r="AH471" s="81" t="s">
        <v>3109</v>
      </c>
      <c r="AI471" s="77"/>
      <c r="AJ471" s="77"/>
      <c r="AK471" s="77"/>
      <c r="AL471" s="77"/>
      <c r="AM471" s="77"/>
      <c r="AN471" s="77"/>
      <c r="AO471" s="77"/>
      <c r="AP471" s="77"/>
      <c r="AQ471" s="77"/>
      <c r="AR471" s="77"/>
      <c r="AS471" s="77"/>
      <c r="AT471" s="77"/>
      <c r="AU471" s="77"/>
      <c r="AV471" s="80" t="str">
        <f>HYPERLINK("https://pbs.twimg.com/profile_images/71193460/vfreshers_normal.png")</f>
        <v>https://pbs.twimg.com/profile_images/71193460/vfreshers_normal.png</v>
      </c>
      <c r="AW471" s="81" t="s">
        <v>4855</v>
      </c>
      <c r="AX471" s="81" t="s">
        <v>4855</v>
      </c>
      <c r="AY471" s="77"/>
      <c r="AZ471" s="81" t="s">
        <v>5773</v>
      </c>
      <c r="BA471" s="81" t="s">
        <v>5773</v>
      </c>
      <c r="BB471" s="81" t="s">
        <v>5773</v>
      </c>
      <c r="BC471" s="81" t="s">
        <v>4855</v>
      </c>
      <c r="BD471" s="77">
        <v>19003873</v>
      </c>
      <c r="BE471" s="77"/>
      <c r="BF471" s="77"/>
      <c r="BG471" s="77"/>
      <c r="BH471" s="77"/>
      <c r="BI471" s="77"/>
    </row>
    <row r="472" spans="1:61" ht="15">
      <c r="A472" s="62" t="s">
        <v>362</v>
      </c>
      <c r="B472" s="62" t="s">
        <v>541</v>
      </c>
      <c r="C472" s="63"/>
      <c r="D472" s="64"/>
      <c r="E472" s="65"/>
      <c r="F472" s="66"/>
      <c r="G472" s="63"/>
      <c r="H472" s="67"/>
      <c r="I472" s="68"/>
      <c r="J472" s="68"/>
      <c r="K472" s="32" t="s">
        <v>65</v>
      </c>
      <c r="L472" s="75">
        <v>472</v>
      </c>
      <c r="M472" s="75"/>
      <c r="N472" s="70"/>
      <c r="O472" s="77" t="s">
        <v>571</v>
      </c>
      <c r="P472" s="79">
        <v>42877.84070601852</v>
      </c>
      <c r="Q472" s="77" t="s">
        <v>920</v>
      </c>
      <c r="R472" s="77">
        <v>0</v>
      </c>
      <c r="S472" s="77">
        <v>0</v>
      </c>
      <c r="T472" s="77">
        <v>0</v>
      </c>
      <c r="U472" s="77">
        <v>0</v>
      </c>
      <c r="V472" s="77"/>
      <c r="W472" s="77"/>
      <c r="X472" s="77"/>
      <c r="Y472" s="77"/>
      <c r="Z472" s="77" t="s">
        <v>2092</v>
      </c>
      <c r="AA472" s="77"/>
      <c r="AB472" s="77"/>
      <c r="AC472" s="81" t="s">
        <v>2703</v>
      </c>
      <c r="AD472" s="77" t="s">
        <v>2751</v>
      </c>
      <c r="AE472" s="80" t="str">
        <f>HYPERLINK("https://twitter.com/brainleafit/status/866748152975634432")</f>
        <v>https://twitter.com/brainleafit/status/866748152975634432</v>
      </c>
      <c r="AF472" s="79">
        <v>42877.84070601852</v>
      </c>
      <c r="AG472" s="85">
        <v>42877</v>
      </c>
      <c r="AH472" s="81" t="s">
        <v>3110</v>
      </c>
      <c r="AI472" s="77"/>
      <c r="AJ472" s="77"/>
      <c r="AK472" s="77"/>
      <c r="AL472" s="77"/>
      <c r="AM472" s="77"/>
      <c r="AN472" s="77"/>
      <c r="AO472" s="77"/>
      <c r="AP472" s="77"/>
      <c r="AQ472" s="77"/>
      <c r="AR472" s="77"/>
      <c r="AS472" s="77"/>
      <c r="AT472" s="77"/>
      <c r="AU472" s="77"/>
      <c r="AV472" s="80" t="str">
        <f>HYPERLINK("https://pbs.twimg.com/profile_images/479293326550503424/YE_vYBAz_normal.png")</f>
        <v>https://pbs.twimg.com/profile_images/479293326550503424/YE_vYBAz_normal.png</v>
      </c>
      <c r="AW472" s="81" t="s">
        <v>4856</v>
      </c>
      <c r="AX472" s="81" t="s">
        <v>4856</v>
      </c>
      <c r="AY472" s="77"/>
      <c r="AZ472" s="81" t="s">
        <v>5773</v>
      </c>
      <c r="BA472" s="81" t="s">
        <v>5773</v>
      </c>
      <c r="BB472" s="81" t="s">
        <v>5773</v>
      </c>
      <c r="BC472" s="81" t="s">
        <v>4856</v>
      </c>
      <c r="BD472" s="77">
        <v>2574963420</v>
      </c>
      <c r="BE472" s="77"/>
      <c r="BF472" s="77"/>
      <c r="BG472" s="77"/>
      <c r="BH472" s="77"/>
      <c r="BI472" s="77"/>
    </row>
    <row r="473" spans="1:61" ht="15">
      <c r="A473" s="62" t="s">
        <v>362</v>
      </c>
      <c r="B473" s="62" t="s">
        <v>542</v>
      </c>
      <c r="C473" s="63"/>
      <c r="D473" s="64"/>
      <c r="E473" s="65"/>
      <c r="F473" s="66"/>
      <c r="G473" s="63"/>
      <c r="H473" s="67"/>
      <c r="I473" s="68"/>
      <c r="J473" s="68"/>
      <c r="K473" s="32" t="s">
        <v>65</v>
      </c>
      <c r="L473" s="75">
        <v>473</v>
      </c>
      <c r="M473" s="75"/>
      <c r="N473" s="70"/>
      <c r="O473" s="77" t="s">
        <v>571</v>
      </c>
      <c r="P473" s="79">
        <v>42877.83513888889</v>
      </c>
      <c r="Q473" s="77" t="s">
        <v>921</v>
      </c>
      <c r="R473" s="77">
        <v>0</v>
      </c>
      <c r="S473" s="77">
        <v>0</v>
      </c>
      <c r="T473" s="77">
        <v>0</v>
      </c>
      <c r="U473" s="77">
        <v>0</v>
      </c>
      <c r="V473" s="77"/>
      <c r="W473" s="81" t="s">
        <v>1792</v>
      </c>
      <c r="X473" s="77"/>
      <c r="Y473" s="77"/>
      <c r="Z473" s="77" t="s">
        <v>2093</v>
      </c>
      <c r="AA473" s="77"/>
      <c r="AB473" s="77"/>
      <c r="AC473" s="81" t="s">
        <v>2703</v>
      </c>
      <c r="AD473" s="77" t="s">
        <v>2751</v>
      </c>
      <c r="AE473" s="80" t="str">
        <f>HYPERLINK("https://twitter.com/brainleafit/status/866746134160699394")</f>
        <v>https://twitter.com/brainleafit/status/866746134160699394</v>
      </c>
      <c r="AF473" s="79">
        <v>42877.83513888889</v>
      </c>
      <c r="AG473" s="85">
        <v>42877</v>
      </c>
      <c r="AH473" s="81" t="s">
        <v>3111</v>
      </c>
      <c r="AI473" s="77"/>
      <c r="AJ473" s="77"/>
      <c r="AK473" s="77"/>
      <c r="AL473" s="77"/>
      <c r="AM473" s="77"/>
      <c r="AN473" s="77"/>
      <c r="AO473" s="77"/>
      <c r="AP473" s="77"/>
      <c r="AQ473" s="77"/>
      <c r="AR473" s="77"/>
      <c r="AS473" s="77"/>
      <c r="AT473" s="77"/>
      <c r="AU473" s="77"/>
      <c r="AV473" s="80" t="str">
        <f>HYPERLINK("https://pbs.twimg.com/profile_images/479293326550503424/YE_vYBAz_normal.png")</f>
        <v>https://pbs.twimg.com/profile_images/479293326550503424/YE_vYBAz_normal.png</v>
      </c>
      <c r="AW473" s="81" t="s">
        <v>4857</v>
      </c>
      <c r="AX473" s="81" t="s">
        <v>4857</v>
      </c>
      <c r="AY473" s="77"/>
      <c r="AZ473" s="81" t="s">
        <v>5773</v>
      </c>
      <c r="BA473" s="81" t="s">
        <v>5773</v>
      </c>
      <c r="BB473" s="81" t="s">
        <v>5773</v>
      </c>
      <c r="BC473" s="81" t="s">
        <v>4857</v>
      </c>
      <c r="BD473" s="77">
        <v>2574963420</v>
      </c>
      <c r="BE473" s="77"/>
      <c r="BF473" s="77"/>
      <c r="BG473" s="77"/>
      <c r="BH473" s="77"/>
      <c r="BI473" s="77"/>
    </row>
    <row r="474" spans="1:61" ht="15">
      <c r="A474" s="62" t="s">
        <v>362</v>
      </c>
      <c r="B474" s="62" t="s">
        <v>543</v>
      </c>
      <c r="C474" s="63"/>
      <c r="D474" s="64"/>
      <c r="E474" s="65"/>
      <c r="F474" s="66"/>
      <c r="G474" s="63"/>
      <c r="H474" s="67"/>
      <c r="I474" s="68"/>
      <c r="J474" s="68"/>
      <c r="K474" s="32" t="s">
        <v>65</v>
      </c>
      <c r="L474" s="75">
        <v>474</v>
      </c>
      <c r="M474" s="75"/>
      <c r="N474" s="70"/>
      <c r="O474" s="77" t="s">
        <v>571</v>
      </c>
      <c r="P474" s="79">
        <v>42877.84070601852</v>
      </c>
      <c r="Q474" s="77" t="s">
        <v>920</v>
      </c>
      <c r="R474" s="77">
        <v>0</v>
      </c>
      <c r="S474" s="77">
        <v>0</v>
      </c>
      <c r="T474" s="77">
        <v>0</v>
      </c>
      <c r="U474" s="77">
        <v>0</v>
      </c>
      <c r="V474" s="77"/>
      <c r="W474" s="77"/>
      <c r="X474" s="77"/>
      <c r="Y474" s="77"/>
      <c r="Z474" s="77" t="s">
        <v>2092</v>
      </c>
      <c r="AA474" s="77"/>
      <c r="AB474" s="77"/>
      <c r="AC474" s="81" t="s">
        <v>2703</v>
      </c>
      <c r="AD474" s="77" t="s">
        <v>2751</v>
      </c>
      <c r="AE474" s="80" t="str">
        <f>HYPERLINK("https://twitter.com/brainleafit/status/866748152975634432")</f>
        <v>https://twitter.com/brainleafit/status/866748152975634432</v>
      </c>
      <c r="AF474" s="79">
        <v>42877.84070601852</v>
      </c>
      <c r="AG474" s="85">
        <v>42877</v>
      </c>
      <c r="AH474" s="81" t="s">
        <v>3110</v>
      </c>
      <c r="AI474" s="77"/>
      <c r="AJ474" s="77"/>
      <c r="AK474" s="77"/>
      <c r="AL474" s="77"/>
      <c r="AM474" s="77"/>
      <c r="AN474" s="77"/>
      <c r="AO474" s="77"/>
      <c r="AP474" s="77"/>
      <c r="AQ474" s="77"/>
      <c r="AR474" s="77"/>
      <c r="AS474" s="77"/>
      <c r="AT474" s="77"/>
      <c r="AU474" s="77"/>
      <c r="AV474" s="80" t="str">
        <f>HYPERLINK("https://pbs.twimg.com/profile_images/479293326550503424/YE_vYBAz_normal.png")</f>
        <v>https://pbs.twimg.com/profile_images/479293326550503424/YE_vYBAz_normal.png</v>
      </c>
      <c r="AW474" s="81" t="s">
        <v>4856</v>
      </c>
      <c r="AX474" s="81" t="s">
        <v>4856</v>
      </c>
      <c r="AY474" s="77"/>
      <c r="AZ474" s="81" t="s">
        <v>5773</v>
      </c>
      <c r="BA474" s="81" t="s">
        <v>5773</v>
      </c>
      <c r="BB474" s="81" t="s">
        <v>5773</v>
      </c>
      <c r="BC474" s="81" t="s">
        <v>4856</v>
      </c>
      <c r="BD474" s="77">
        <v>2574963420</v>
      </c>
      <c r="BE474" s="77"/>
      <c r="BF474" s="77"/>
      <c r="BG474" s="77"/>
      <c r="BH474" s="77"/>
      <c r="BI474" s="77"/>
    </row>
    <row r="475" spans="1:61" ht="15">
      <c r="A475" s="62" t="s">
        <v>362</v>
      </c>
      <c r="B475" s="62" t="s">
        <v>543</v>
      </c>
      <c r="C475" s="63"/>
      <c r="D475" s="64"/>
      <c r="E475" s="65"/>
      <c r="F475" s="66"/>
      <c r="G475" s="63"/>
      <c r="H475" s="67"/>
      <c r="I475" s="68"/>
      <c r="J475" s="68"/>
      <c r="K475" s="32" t="s">
        <v>65</v>
      </c>
      <c r="L475" s="75">
        <v>475</v>
      </c>
      <c r="M475" s="75"/>
      <c r="N475" s="70"/>
      <c r="O475" s="77" t="s">
        <v>571</v>
      </c>
      <c r="P475" s="79">
        <v>42877.83513888889</v>
      </c>
      <c r="Q475" s="77" t="s">
        <v>921</v>
      </c>
      <c r="R475" s="77">
        <v>0</v>
      </c>
      <c r="S475" s="77">
        <v>0</v>
      </c>
      <c r="T475" s="77">
        <v>0</v>
      </c>
      <c r="U475" s="77">
        <v>0</v>
      </c>
      <c r="V475" s="77"/>
      <c r="W475" s="81" t="s">
        <v>1792</v>
      </c>
      <c r="X475" s="77"/>
      <c r="Y475" s="77"/>
      <c r="Z475" s="77" t="s">
        <v>2093</v>
      </c>
      <c r="AA475" s="77"/>
      <c r="AB475" s="77"/>
      <c r="AC475" s="81" t="s">
        <v>2703</v>
      </c>
      <c r="AD475" s="77" t="s">
        <v>2751</v>
      </c>
      <c r="AE475" s="80" t="str">
        <f>HYPERLINK("https://twitter.com/brainleafit/status/866746134160699394")</f>
        <v>https://twitter.com/brainleafit/status/866746134160699394</v>
      </c>
      <c r="AF475" s="79">
        <v>42877.83513888889</v>
      </c>
      <c r="AG475" s="85">
        <v>42877</v>
      </c>
      <c r="AH475" s="81" t="s">
        <v>3111</v>
      </c>
      <c r="AI475" s="77"/>
      <c r="AJ475" s="77"/>
      <c r="AK475" s="77"/>
      <c r="AL475" s="77"/>
      <c r="AM475" s="77"/>
      <c r="AN475" s="77"/>
      <c r="AO475" s="77"/>
      <c r="AP475" s="77"/>
      <c r="AQ475" s="77"/>
      <c r="AR475" s="77"/>
      <c r="AS475" s="77"/>
      <c r="AT475" s="77"/>
      <c r="AU475" s="77"/>
      <c r="AV475" s="80" t="str">
        <f>HYPERLINK("https://pbs.twimg.com/profile_images/479293326550503424/YE_vYBAz_normal.png")</f>
        <v>https://pbs.twimg.com/profile_images/479293326550503424/YE_vYBAz_normal.png</v>
      </c>
      <c r="AW475" s="81" t="s">
        <v>4857</v>
      </c>
      <c r="AX475" s="81" t="s">
        <v>4857</v>
      </c>
      <c r="AY475" s="77"/>
      <c r="AZ475" s="81" t="s">
        <v>5773</v>
      </c>
      <c r="BA475" s="81" t="s">
        <v>5773</v>
      </c>
      <c r="BB475" s="81" t="s">
        <v>5773</v>
      </c>
      <c r="BC475" s="81" t="s">
        <v>4857</v>
      </c>
      <c r="BD475" s="77">
        <v>2574963420</v>
      </c>
      <c r="BE475" s="77"/>
      <c r="BF475" s="77"/>
      <c r="BG475" s="77"/>
      <c r="BH475" s="77"/>
      <c r="BI475" s="77"/>
    </row>
    <row r="476" spans="1:61" ht="15">
      <c r="A476" s="62" t="s">
        <v>362</v>
      </c>
      <c r="B476" s="62" t="s">
        <v>299</v>
      </c>
      <c r="C476" s="63"/>
      <c r="D476" s="64"/>
      <c r="E476" s="65"/>
      <c r="F476" s="66"/>
      <c r="G476" s="63"/>
      <c r="H476" s="67"/>
      <c r="I476" s="68"/>
      <c r="J476" s="68"/>
      <c r="K476" s="32" t="s">
        <v>65</v>
      </c>
      <c r="L476" s="75">
        <v>476</v>
      </c>
      <c r="M476" s="75"/>
      <c r="N476" s="70"/>
      <c r="O476" s="77" t="s">
        <v>571</v>
      </c>
      <c r="P476" s="79">
        <v>42877.84070601852</v>
      </c>
      <c r="Q476" s="77" t="s">
        <v>920</v>
      </c>
      <c r="R476" s="77">
        <v>0</v>
      </c>
      <c r="S476" s="77">
        <v>0</v>
      </c>
      <c r="T476" s="77">
        <v>0</v>
      </c>
      <c r="U476" s="77">
        <v>0</v>
      </c>
      <c r="V476" s="77"/>
      <c r="W476" s="77"/>
      <c r="X476" s="77"/>
      <c r="Y476" s="77"/>
      <c r="Z476" s="77" t="s">
        <v>2092</v>
      </c>
      <c r="AA476" s="77"/>
      <c r="AB476" s="77"/>
      <c r="AC476" s="81" t="s">
        <v>2703</v>
      </c>
      <c r="AD476" s="77" t="s">
        <v>2751</v>
      </c>
      <c r="AE476" s="80" t="str">
        <f>HYPERLINK("https://twitter.com/brainleafit/status/866748152975634432")</f>
        <v>https://twitter.com/brainleafit/status/866748152975634432</v>
      </c>
      <c r="AF476" s="79">
        <v>42877.84070601852</v>
      </c>
      <c r="AG476" s="85">
        <v>42877</v>
      </c>
      <c r="AH476" s="81" t="s">
        <v>3110</v>
      </c>
      <c r="AI476" s="77"/>
      <c r="AJ476" s="77"/>
      <c r="AK476" s="77"/>
      <c r="AL476" s="77"/>
      <c r="AM476" s="77"/>
      <c r="AN476" s="77"/>
      <c r="AO476" s="77"/>
      <c r="AP476" s="77"/>
      <c r="AQ476" s="77"/>
      <c r="AR476" s="77"/>
      <c r="AS476" s="77"/>
      <c r="AT476" s="77"/>
      <c r="AU476" s="77"/>
      <c r="AV476" s="80" t="str">
        <f>HYPERLINK("https://pbs.twimg.com/profile_images/479293326550503424/YE_vYBAz_normal.png")</f>
        <v>https://pbs.twimg.com/profile_images/479293326550503424/YE_vYBAz_normal.png</v>
      </c>
      <c r="AW476" s="81" t="s">
        <v>4856</v>
      </c>
      <c r="AX476" s="81" t="s">
        <v>4856</v>
      </c>
      <c r="AY476" s="77"/>
      <c r="AZ476" s="81" t="s">
        <v>5773</v>
      </c>
      <c r="BA476" s="81" t="s">
        <v>5773</v>
      </c>
      <c r="BB476" s="81" t="s">
        <v>5773</v>
      </c>
      <c r="BC476" s="81" t="s">
        <v>4856</v>
      </c>
      <c r="BD476" s="77">
        <v>2574963420</v>
      </c>
      <c r="BE476" s="77"/>
      <c r="BF476" s="77"/>
      <c r="BG476" s="77"/>
      <c r="BH476" s="77"/>
      <c r="BI476" s="77"/>
    </row>
    <row r="477" spans="1:61" ht="15">
      <c r="A477" s="62" t="s">
        <v>362</v>
      </c>
      <c r="B477" s="62" t="s">
        <v>299</v>
      </c>
      <c r="C477" s="63"/>
      <c r="D477" s="64"/>
      <c r="E477" s="65"/>
      <c r="F477" s="66"/>
      <c r="G477" s="63"/>
      <c r="H477" s="67"/>
      <c r="I477" s="68"/>
      <c r="J477" s="68"/>
      <c r="K477" s="32" t="s">
        <v>65</v>
      </c>
      <c r="L477" s="75">
        <v>477</v>
      </c>
      <c r="M477" s="75"/>
      <c r="N477" s="70"/>
      <c r="O477" s="77" t="s">
        <v>571</v>
      </c>
      <c r="P477" s="79">
        <v>42877.83513888889</v>
      </c>
      <c r="Q477" s="77" t="s">
        <v>921</v>
      </c>
      <c r="R477" s="77">
        <v>0</v>
      </c>
      <c r="S477" s="77">
        <v>0</v>
      </c>
      <c r="T477" s="77">
        <v>0</v>
      </c>
      <c r="U477" s="77">
        <v>0</v>
      </c>
      <c r="V477" s="77"/>
      <c r="W477" s="81" t="s">
        <v>1792</v>
      </c>
      <c r="X477" s="77"/>
      <c r="Y477" s="77"/>
      <c r="Z477" s="77" t="s">
        <v>2093</v>
      </c>
      <c r="AA477" s="77"/>
      <c r="AB477" s="77"/>
      <c r="AC477" s="81" t="s">
        <v>2703</v>
      </c>
      <c r="AD477" s="77" t="s">
        <v>2751</v>
      </c>
      <c r="AE477" s="80" t="str">
        <f>HYPERLINK("https://twitter.com/brainleafit/status/866746134160699394")</f>
        <v>https://twitter.com/brainleafit/status/866746134160699394</v>
      </c>
      <c r="AF477" s="79">
        <v>42877.83513888889</v>
      </c>
      <c r="AG477" s="85">
        <v>42877</v>
      </c>
      <c r="AH477" s="81" t="s">
        <v>3111</v>
      </c>
      <c r="AI477" s="77"/>
      <c r="AJ477" s="77"/>
      <c r="AK477" s="77"/>
      <c r="AL477" s="77"/>
      <c r="AM477" s="77"/>
      <c r="AN477" s="77"/>
      <c r="AO477" s="77"/>
      <c r="AP477" s="77"/>
      <c r="AQ477" s="77"/>
      <c r="AR477" s="77"/>
      <c r="AS477" s="77"/>
      <c r="AT477" s="77"/>
      <c r="AU477" s="77"/>
      <c r="AV477" s="80" t="str">
        <f>HYPERLINK("https://pbs.twimg.com/profile_images/479293326550503424/YE_vYBAz_normal.png")</f>
        <v>https://pbs.twimg.com/profile_images/479293326550503424/YE_vYBAz_normal.png</v>
      </c>
      <c r="AW477" s="81" t="s">
        <v>4857</v>
      </c>
      <c r="AX477" s="81" t="s">
        <v>4857</v>
      </c>
      <c r="AY477" s="77"/>
      <c r="AZ477" s="81" t="s">
        <v>5773</v>
      </c>
      <c r="BA477" s="81" t="s">
        <v>5773</v>
      </c>
      <c r="BB477" s="81" t="s">
        <v>5773</v>
      </c>
      <c r="BC477" s="81" t="s">
        <v>4857</v>
      </c>
      <c r="BD477" s="77">
        <v>2574963420</v>
      </c>
      <c r="BE477" s="77"/>
      <c r="BF477" s="77"/>
      <c r="BG477" s="77"/>
      <c r="BH477" s="77"/>
      <c r="BI477" s="77"/>
    </row>
    <row r="478" spans="1:61" ht="15">
      <c r="A478" s="62" t="s">
        <v>363</v>
      </c>
      <c r="B478" s="62" t="s">
        <v>363</v>
      </c>
      <c r="C478" s="63"/>
      <c r="D478" s="64"/>
      <c r="E478" s="65"/>
      <c r="F478" s="66"/>
      <c r="G478" s="63"/>
      <c r="H478" s="67"/>
      <c r="I478" s="68"/>
      <c r="J478" s="68"/>
      <c r="K478" s="32" t="s">
        <v>65</v>
      </c>
      <c r="L478" s="75">
        <v>478</v>
      </c>
      <c r="M478" s="75"/>
      <c r="N478" s="70"/>
      <c r="O478" s="77" t="s">
        <v>179</v>
      </c>
      <c r="P478" s="79">
        <v>42169.22703703704</v>
      </c>
      <c r="Q478" s="77" t="s">
        <v>922</v>
      </c>
      <c r="R478" s="77">
        <v>0</v>
      </c>
      <c r="S478" s="77">
        <v>0</v>
      </c>
      <c r="T478" s="77">
        <v>0</v>
      </c>
      <c r="U478" s="77">
        <v>0</v>
      </c>
      <c r="V478" s="77"/>
      <c r="W478" s="77"/>
      <c r="X478" s="80" t="str">
        <f>HYPERLINK("http://goo.gl/fb/mFntkz")</f>
        <v>http://goo.gl/fb/mFntkz</v>
      </c>
      <c r="Y478" s="77" t="s">
        <v>1975</v>
      </c>
      <c r="Z478" s="77"/>
      <c r="AA478" s="77"/>
      <c r="AB478" s="77"/>
      <c r="AC478" s="81" t="s">
        <v>2702</v>
      </c>
      <c r="AD478" s="77" t="s">
        <v>2751</v>
      </c>
      <c r="AE478" s="80" t="str">
        <f>HYPERLINK("https://twitter.com/jobpatrika/status/609955158387200000")</f>
        <v>https://twitter.com/jobpatrika/status/609955158387200000</v>
      </c>
      <c r="AF478" s="79">
        <v>42169.22703703704</v>
      </c>
      <c r="AG478" s="85">
        <v>42169</v>
      </c>
      <c r="AH478" s="81" t="s">
        <v>3112</v>
      </c>
      <c r="AI478" s="77" t="b">
        <v>0</v>
      </c>
      <c r="AJ478" s="77"/>
      <c r="AK478" s="77"/>
      <c r="AL478" s="77"/>
      <c r="AM478" s="77"/>
      <c r="AN478" s="77"/>
      <c r="AO478" s="77"/>
      <c r="AP478" s="77"/>
      <c r="AQ478" s="77"/>
      <c r="AR478" s="77"/>
      <c r="AS478" s="77"/>
      <c r="AT478" s="77"/>
      <c r="AU478" s="77"/>
      <c r="AV478" s="80" t="str">
        <f>HYPERLINK("https://pbs.twimg.com/profile_images/590809716487430144/P25DB95e_normal.png")</f>
        <v>https://pbs.twimg.com/profile_images/590809716487430144/P25DB95e_normal.png</v>
      </c>
      <c r="AW478" s="81" t="s">
        <v>4858</v>
      </c>
      <c r="AX478" s="81" t="s">
        <v>4858</v>
      </c>
      <c r="AY478" s="77"/>
      <c r="AZ478" s="81" t="s">
        <v>5773</v>
      </c>
      <c r="BA478" s="81" t="s">
        <v>5773</v>
      </c>
      <c r="BB478" s="81" t="s">
        <v>5773</v>
      </c>
      <c r="BC478" s="81" t="s">
        <v>4858</v>
      </c>
      <c r="BD478" s="77">
        <v>3167130283</v>
      </c>
      <c r="BE478" s="77"/>
      <c r="BF478" s="77"/>
      <c r="BG478" s="77"/>
      <c r="BH478" s="77"/>
      <c r="BI478" s="77"/>
    </row>
    <row r="479" spans="1:61" ht="15">
      <c r="A479" s="62" t="s">
        <v>364</v>
      </c>
      <c r="B479" s="62" t="s">
        <v>299</v>
      </c>
      <c r="C479" s="63"/>
      <c r="D479" s="64"/>
      <c r="E479" s="65"/>
      <c r="F479" s="66"/>
      <c r="G479" s="63"/>
      <c r="H479" s="67"/>
      <c r="I479" s="68"/>
      <c r="J479" s="68"/>
      <c r="K479" s="32" t="s">
        <v>65</v>
      </c>
      <c r="L479" s="75">
        <v>479</v>
      </c>
      <c r="M479" s="75"/>
      <c r="N479" s="70"/>
      <c r="O479" s="77" t="s">
        <v>574</v>
      </c>
      <c r="P479" s="79">
        <v>43076.30704861111</v>
      </c>
      <c r="Q479" s="77" t="s">
        <v>923</v>
      </c>
      <c r="R479" s="77">
        <v>0</v>
      </c>
      <c r="S479" s="77">
        <v>0</v>
      </c>
      <c r="T479" s="77">
        <v>0</v>
      </c>
      <c r="U479" s="77">
        <v>0</v>
      </c>
      <c r="V479" s="77"/>
      <c r="W479" s="81" t="s">
        <v>1715</v>
      </c>
      <c r="X479" s="77" t="s">
        <v>1957</v>
      </c>
      <c r="Y479" s="77" t="s">
        <v>1980</v>
      </c>
      <c r="Z479" s="77" t="s">
        <v>299</v>
      </c>
      <c r="AA479" s="77" t="s">
        <v>2216</v>
      </c>
      <c r="AB479" s="77" t="s">
        <v>2696</v>
      </c>
      <c r="AC479" s="81" t="s">
        <v>2710</v>
      </c>
      <c r="AD479" s="77" t="s">
        <v>2751</v>
      </c>
      <c r="AE479" s="80" t="str">
        <f>HYPERLINK("https://twitter.com/dbmwebmarketing/status/938669947269545986")</f>
        <v>https://twitter.com/dbmwebmarketing/status/938669947269545986</v>
      </c>
      <c r="AF479" s="79">
        <v>43076.30704861111</v>
      </c>
      <c r="AG479" s="85">
        <v>43076</v>
      </c>
      <c r="AH479" s="81" t="s">
        <v>3113</v>
      </c>
      <c r="AI479" s="77" t="b">
        <v>0</v>
      </c>
      <c r="AJ479" s="77"/>
      <c r="AK479" s="77"/>
      <c r="AL479" s="77"/>
      <c r="AM479" s="77"/>
      <c r="AN479" s="77"/>
      <c r="AO479" s="77"/>
      <c r="AP479" s="77"/>
      <c r="AQ479" s="77" t="s">
        <v>3923</v>
      </c>
      <c r="AR479" s="77"/>
      <c r="AS479" s="77"/>
      <c r="AT479" s="77"/>
      <c r="AU479" s="77"/>
      <c r="AV479" s="80" t="str">
        <f>HYPERLINK("https://pbs.twimg.com/media/DQbRJ0UUQAYtAx5.jpg")</f>
        <v>https://pbs.twimg.com/media/DQbRJ0UUQAYtAx5.jpg</v>
      </c>
      <c r="AW479" s="81" t="s">
        <v>4859</v>
      </c>
      <c r="AX479" s="81" t="s">
        <v>4859</v>
      </c>
      <c r="AY479" s="77"/>
      <c r="AZ479" s="81" t="s">
        <v>5773</v>
      </c>
      <c r="BA479" s="81" t="s">
        <v>4869</v>
      </c>
      <c r="BB479" s="81" t="s">
        <v>5773</v>
      </c>
      <c r="BC479" s="81" t="s">
        <v>4869</v>
      </c>
      <c r="BD479" s="77">
        <v>920365416</v>
      </c>
      <c r="BE479" s="77"/>
      <c r="BF479" s="77"/>
      <c r="BG479" s="77"/>
      <c r="BH479" s="77"/>
      <c r="BI479" s="77"/>
    </row>
    <row r="480" spans="1:61" ht="15">
      <c r="A480" s="62" t="s">
        <v>364</v>
      </c>
      <c r="B480" s="62" t="s">
        <v>369</v>
      </c>
      <c r="C480" s="63"/>
      <c r="D480" s="64"/>
      <c r="E480" s="65"/>
      <c r="F480" s="66"/>
      <c r="G480" s="63"/>
      <c r="H480" s="67"/>
      <c r="I480" s="68"/>
      <c r="J480" s="68"/>
      <c r="K480" s="32" t="s">
        <v>65</v>
      </c>
      <c r="L480" s="75">
        <v>480</v>
      </c>
      <c r="M480" s="75"/>
      <c r="N480" s="70"/>
      <c r="O480" s="77" t="s">
        <v>575</v>
      </c>
      <c r="P480" s="79">
        <v>43076.30704861111</v>
      </c>
      <c r="Q480" s="77" t="s">
        <v>923</v>
      </c>
      <c r="R480" s="77">
        <v>0</v>
      </c>
      <c r="S480" s="77">
        <v>0</v>
      </c>
      <c r="T480" s="77">
        <v>0</v>
      </c>
      <c r="U480" s="77">
        <v>0</v>
      </c>
      <c r="V480" s="77"/>
      <c r="W480" s="81" t="s">
        <v>1715</v>
      </c>
      <c r="X480" s="77" t="s">
        <v>1957</v>
      </c>
      <c r="Y480" s="77" t="s">
        <v>1980</v>
      </c>
      <c r="Z480" s="77" t="s">
        <v>299</v>
      </c>
      <c r="AA480" s="77" t="s">
        <v>2216</v>
      </c>
      <c r="AB480" s="77" t="s">
        <v>2696</v>
      </c>
      <c r="AC480" s="81" t="s">
        <v>2710</v>
      </c>
      <c r="AD480" s="77" t="s">
        <v>2751</v>
      </c>
      <c r="AE480" s="80" t="str">
        <f>HYPERLINK("https://twitter.com/dbmwebmarketing/status/938669947269545986")</f>
        <v>https://twitter.com/dbmwebmarketing/status/938669947269545986</v>
      </c>
      <c r="AF480" s="79">
        <v>43076.30704861111</v>
      </c>
      <c r="AG480" s="85">
        <v>43076</v>
      </c>
      <c r="AH480" s="81" t="s">
        <v>3113</v>
      </c>
      <c r="AI480" s="77" t="b">
        <v>0</v>
      </c>
      <c r="AJ480" s="77"/>
      <c r="AK480" s="77"/>
      <c r="AL480" s="77"/>
      <c r="AM480" s="77"/>
      <c r="AN480" s="77"/>
      <c r="AO480" s="77"/>
      <c r="AP480" s="77"/>
      <c r="AQ480" s="77" t="s">
        <v>3923</v>
      </c>
      <c r="AR480" s="77"/>
      <c r="AS480" s="77"/>
      <c r="AT480" s="77"/>
      <c r="AU480" s="77"/>
      <c r="AV480" s="80" t="str">
        <f>HYPERLINK("https://pbs.twimg.com/media/DQbRJ0UUQAYtAx5.jpg")</f>
        <v>https://pbs.twimg.com/media/DQbRJ0UUQAYtAx5.jpg</v>
      </c>
      <c r="AW480" s="81" t="s">
        <v>4859</v>
      </c>
      <c r="AX480" s="81" t="s">
        <v>4859</v>
      </c>
      <c r="AY480" s="77"/>
      <c r="AZ480" s="81" t="s">
        <v>5773</v>
      </c>
      <c r="BA480" s="81" t="s">
        <v>4869</v>
      </c>
      <c r="BB480" s="81" t="s">
        <v>5773</v>
      </c>
      <c r="BC480" s="81" t="s">
        <v>4869</v>
      </c>
      <c r="BD480" s="77">
        <v>920365416</v>
      </c>
      <c r="BE480" s="77"/>
      <c r="BF480" s="77"/>
      <c r="BG480" s="77"/>
      <c r="BH480" s="77"/>
      <c r="BI480" s="77"/>
    </row>
    <row r="481" spans="1:61" ht="15">
      <c r="A481" s="62" t="s">
        <v>365</v>
      </c>
      <c r="B481" s="62" t="s">
        <v>299</v>
      </c>
      <c r="C481" s="63"/>
      <c r="D481" s="64"/>
      <c r="E481" s="65"/>
      <c r="F481" s="66"/>
      <c r="G481" s="63"/>
      <c r="H481" s="67"/>
      <c r="I481" s="68"/>
      <c r="J481" s="68"/>
      <c r="K481" s="32" t="s">
        <v>65</v>
      </c>
      <c r="L481" s="75">
        <v>481</v>
      </c>
      <c r="M481" s="75"/>
      <c r="N481" s="70"/>
      <c r="O481" s="77" t="s">
        <v>571</v>
      </c>
      <c r="P481" s="79">
        <v>42956.37265046296</v>
      </c>
      <c r="Q481" s="77" t="s">
        <v>924</v>
      </c>
      <c r="R481" s="77">
        <v>0</v>
      </c>
      <c r="S481" s="77">
        <v>0</v>
      </c>
      <c r="T481" s="77">
        <v>0</v>
      </c>
      <c r="U481" s="77">
        <v>0</v>
      </c>
      <c r="V481" s="77"/>
      <c r="W481" s="77"/>
      <c r="X481" s="80" t="str">
        <f>HYPERLINK("http://www.geekrelief.com/business-analytics-website-maintenance-checklist-part-2/")</f>
        <v>http://www.geekrelief.com/business-analytics-website-maintenance-checklist-part-2/</v>
      </c>
      <c r="Y481" s="77" t="s">
        <v>2025</v>
      </c>
      <c r="Z481" s="77" t="s">
        <v>299</v>
      </c>
      <c r="AA481" s="77"/>
      <c r="AB481" s="77"/>
      <c r="AC481" s="81" t="s">
        <v>2709</v>
      </c>
      <c r="AD481" s="77" t="s">
        <v>2751</v>
      </c>
      <c r="AE481" s="80" t="str">
        <f>HYPERLINK("https://twitter.com/getgeekrelief/status/895207175567618048")</f>
        <v>https://twitter.com/getgeekrelief/status/895207175567618048</v>
      </c>
      <c r="AF481" s="79">
        <v>42956.37265046296</v>
      </c>
      <c r="AG481" s="85">
        <v>42956</v>
      </c>
      <c r="AH481" s="81" t="s">
        <v>3114</v>
      </c>
      <c r="AI481" s="77" t="b">
        <v>0</v>
      </c>
      <c r="AJ481" s="77"/>
      <c r="AK481" s="77"/>
      <c r="AL481" s="77"/>
      <c r="AM481" s="77"/>
      <c r="AN481" s="77"/>
      <c r="AO481" s="77"/>
      <c r="AP481" s="77"/>
      <c r="AQ481" s="77"/>
      <c r="AR481" s="77"/>
      <c r="AS481" s="77"/>
      <c r="AT481" s="77"/>
      <c r="AU481" s="77"/>
      <c r="AV481" s="80" t="str">
        <f>HYPERLINK("https://pbs.twimg.com/profile_images/818840593480585216/ZT0mmvMd_normal.jpg")</f>
        <v>https://pbs.twimg.com/profile_images/818840593480585216/ZT0mmvMd_normal.jpg</v>
      </c>
      <c r="AW481" s="81" t="s">
        <v>4860</v>
      </c>
      <c r="AX481" s="81" t="s">
        <v>4860</v>
      </c>
      <c r="AY481" s="81" t="s">
        <v>5721</v>
      </c>
      <c r="AZ481" s="81" t="s">
        <v>5773</v>
      </c>
      <c r="BA481" s="81" t="s">
        <v>5773</v>
      </c>
      <c r="BB481" s="81" t="s">
        <v>5773</v>
      </c>
      <c r="BC481" s="81" t="s">
        <v>4860</v>
      </c>
      <c r="BD481" s="81" t="s">
        <v>5817</v>
      </c>
      <c r="BE481" s="77"/>
      <c r="BF481" s="77"/>
      <c r="BG481" s="77"/>
      <c r="BH481" s="77"/>
      <c r="BI481" s="77"/>
    </row>
    <row r="482" spans="1:61" ht="15">
      <c r="A482" s="62" t="s">
        <v>299</v>
      </c>
      <c r="B482" s="62" t="s">
        <v>544</v>
      </c>
      <c r="C482" s="63"/>
      <c r="D482" s="64"/>
      <c r="E482" s="65"/>
      <c r="F482" s="66"/>
      <c r="G482" s="63"/>
      <c r="H482" s="67"/>
      <c r="I482" s="68"/>
      <c r="J482" s="68"/>
      <c r="K482" s="32" t="s">
        <v>65</v>
      </c>
      <c r="L482" s="75">
        <v>482</v>
      </c>
      <c r="M482" s="75"/>
      <c r="N482" s="70"/>
      <c r="O482" s="77" t="s">
        <v>576</v>
      </c>
      <c r="P482" s="79">
        <v>44357.163773148146</v>
      </c>
      <c r="Q482" s="77" t="s">
        <v>828</v>
      </c>
      <c r="R482" s="77">
        <v>0</v>
      </c>
      <c r="S482" s="77">
        <v>0</v>
      </c>
      <c r="T482" s="77">
        <v>0</v>
      </c>
      <c r="U482" s="77">
        <v>0</v>
      </c>
      <c r="V482" s="77"/>
      <c r="W482" s="77"/>
      <c r="X482" s="80" t="str">
        <f>HYPERLINK("https://twitter.com/Inovies/status/1402693044516757504")</f>
        <v>https://twitter.com/Inovies/status/1402693044516757504</v>
      </c>
      <c r="Y482" s="77" t="s">
        <v>2000</v>
      </c>
      <c r="Z482" s="77" t="s">
        <v>544</v>
      </c>
      <c r="AA482" s="77"/>
      <c r="AB482" s="77"/>
      <c r="AC482" s="81" t="s">
        <v>2707</v>
      </c>
      <c r="AD482" s="77" t="s">
        <v>2752</v>
      </c>
      <c r="AE482" s="80" t="str">
        <f>HYPERLINK("https://twitter.com/inovies/status/1402836880370987011")</f>
        <v>https://twitter.com/inovies/status/1402836880370987011</v>
      </c>
      <c r="AF482" s="79">
        <v>44357.163773148146</v>
      </c>
      <c r="AG482" s="85">
        <v>44357</v>
      </c>
      <c r="AH482" s="81" t="s">
        <v>3017</v>
      </c>
      <c r="AI482" s="77" t="b">
        <v>0</v>
      </c>
      <c r="AJ482" s="77"/>
      <c r="AK482" s="77"/>
      <c r="AL482" s="77"/>
      <c r="AM482" s="77"/>
      <c r="AN482" s="77"/>
      <c r="AO482" s="77"/>
      <c r="AP482" s="77"/>
      <c r="AQ482" s="77"/>
      <c r="AR482" s="77"/>
      <c r="AS482" s="77"/>
      <c r="AT482" s="77"/>
      <c r="AU482" s="77"/>
      <c r="AV482" s="80" t="str">
        <f>HYPERLINK("https://pbs.twimg.com/profile_images/833576943677214720/5ZyUgpEJ_normal.jpg")</f>
        <v>https://pbs.twimg.com/profile_images/833576943677214720/5ZyUgpEJ_normal.jpg</v>
      </c>
      <c r="AW482" s="81" t="s">
        <v>4763</v>
      </c>
      <c r="AX482" s="81" t="s">
        <v>5697</v>
      </c>
      <c r="AY482" s="81" t="s">
        <v>5748</v>
      </c>
      <c r="AZ482" s="81" t="s">
        <v>5780</v>
      </c>
      <c r="BA482" s="81" t="s">
        <v>5168</v>
      </c>
      <c r="BB482" s="81" t="s">
        <v>5773</v>
      </c>
      <c r="BC482" s="81" t="s">
        <v>5780</v>
      </c>
      <c r="BD482" s="77">
        <v>297885438</v>
      </c>
      <c r="BE482" s="77"/>
      <c r="BF482" s="77"/>
      <c r="BG482" s="77"/>
      <c r="BH482" s="77"/>
      <c r="BI482" s="77"/>
    </row>
    <row r="483" spans="1:61" ht="15">
      <c r="A483" s="62" t="s">
        <v>299</v>
      </c>
      <c r="B483" s="62" t="s">
        <v>544</v>
      </c>
      <c r="C483" s="63"/>
      <c r="D483" s="64"/>
      <c r="E483" s="65"/>
      <c r="F483" s="66"/>
      <c r="G483" s="63"/>
      <c r="H483" s="67"/>
      <c r="I483" s="68"/>
      <c r="J483" s="68"/>
      <c r="K483" s="32" t="s">
        <v>65</v>
      </c>
      <c r="L483" s="75">
        <v>483</v>
      </c>
      <c r="M483" s="75"/>
      <c r="N483" s="70"/>
      <c r="O483" s="77" t="s">
        <v>576</v>
      </c>
      <c r="P483" s="79">
        <v>44357.101319444446</v>
      </c>
      <c r="Q483" s="77" t="s">
        <v>925</v>
      </c>
      <c r="R483" s="77">
        <v>0</v>
      </c>
      <c r="S483" s="77">
        <v>0</v>
      </c>
      <c r="T483" s="77">
        <v>0</v>
      </c>
      <c r="U483" s="77">
        <v>0</v>
      </c>
      <c r="V483" s="77"/>
      <c r="W483" s="77"/>
      <c r="X483" s="80" t="str">
        <f>HYPERLINK("https://twitter.com/inovies/status/1402693044516757504")</f>
        <v>https://twitter.com/inovies/status/1402693044516757504</v>
      </c>
      <c r="Y483" s="77" t="s">
        <v>2000</v>
      </c>
      <c r="Z483" s="77" t="s">
        <v>544</v>
      </c>
      <c r="AA483" s="77"/>
      <c r="AB483" s="77"/>
      <c r="AC483" s="81" t="s">
        <v>2704</v>
      </c>
      <c r="AD483" s="77" t="s">
        <v>2752</v>
      </c>
      <c r="AE483" s="80" t="str">
        <f>HYPERLINK("https://twitter.com/inovies/status/1402814249479512064")</f>
        <v>https://twitter.com/inovies/status/1402814249479512064</v>
      </c>
      <c r="AF483" s="79">
        <v>44357.101319444446</v>
      </c>
      <c r="AG483" s="85">
        <v>44357</v>
      </c>
      <c r="AH483" s="81" t="s">
        <v>3115</v>
      </c>
      <c r="AI483" s="77" t="b">
        <v>0</v>
      </c>
      <c r="AJ483" s="77"/>
      <c r="AK483" s="77"/>
      <c r="AL483" s="77"/>
      <c r="AM483" s="77"/>
      <c r="AN483" s="77"/>
      <c r="AO483" s="77"/>
      <c r="AP483" s="77"/>
      <c r="AQ483" s="77"/>
      <c r="AR483" s="77"/>
      <c r="AS483" s="77"/>
      <c r="AT483" s="77"/>
      <c r="AU483" s="77"/>
      <c r="AV483" s="80" t="str">
        <f>HYPERLINK("https://pbs.twimg.com/profile_images/833576943677214720/5ZyUgpEJ_normal.jpg")</f>
        <v>https://pbs.twimg.com/profile_images/833576943677214720/5ZyUgpEJ_normal.jpg</v>
      </c>
      <c r="AW483" s="81" t="s">
        <v>4861</v>
      </c>
      <c r="AX483" s="81" t="s">
        <v>5697</v>
      </c>
      <c r="AY483" s="81" t="s">
        <v>5766</v>
      </c>
      <c r="AZ483" s="81" t="s">
        <v>5697</v>
      </c>
      <c r="BA483" s="81" t="s">
        <v>5168</v>
      </c>
      <c r="BB483" s="81" t="s">
        <v>5773</v>
      </c>
      <c r="BC483" s="81" t="s">
        <v>5697</v>
      </c>
      <c r="BD483" s="77">
        <v>297885438</v>
      </c>
      <c r="BE483" s="77"/>
      <c r="BF483" s="77"/>
      <c r="BG483" s="77"/>
      <c r="BH483" s="77"/>
      <c r="BI483" s="77"/>
    </row>
    <row r="484" spans="1:61" ht="15">
      <c r="A484" s="62" t="s">
        <v>299</v>
      </c>
      <c r="B484" s="62" t="s">
        <v>544</v>
      </c>
      <c r="C484" s="63"/>
      <c r="D484" s="64"/>
      <c r="E484" s="65"/>
      <c r="F484" s="66"/>
      <c r="G484" s="63"/>
      <c r="H484" s="67"/>
      <c r="I484" s="68"/>
      <c r="J484" s="68"/>
      <c r="K484" s="32" t="s">
        <v>65</v>
      </c>
      <c r="L484" s="75">
        <v>484</v>
      </c>
      <c r="M484" s="75"/>
      <c r="N484" s="70"/>
      <c r="O484" s="77" t="s">
        <v>572</v>
      </c>
      <c r="P484" s="79">
        <v>44357.101319444446</v>
      </c>
      <c r="Q484" s="77" t="s">
        <v>925</v>
      </c>
      <c r="R484" s="77">
        <v>0</v>
      </c>
      <c r="S484" s="77">
        <v>0</v>
      </c>
      <c r="T484" s="77">
        <v>0</v>
      </c>
      <c r="U484" s="77">
        <v>0</v>
      </c>
      <c r="V484" s="77"/>
      <c r="W484" s="77"/>
      <c r="X484" s="80" t="str">
        <f>HYPERLINK("https://twitter.com/inovies/status/1402693044516757504")</f>
        <v>https://twitter.com/inovies/status/1402693044516757504</v>
      </c>
      <c r="Y484" s="77" t="s">
        <v>2000</v>
      </c>
      <c r="Z484" s="77" t="s">
        <v>544</v>
      </c>
      <c r="AA484" s="77"/>
      <c r="AB484" s="77"/>
      <c r="AC484" s="81" t="s">
        <v>2704</v>
      </c>
      <c r="AD484" s="77" t="s">
        <v>2752</v>
      </c>
      <c r="AE484" s="80" t="str">
        <f>HYPERLINK("https://twitter.com/inovies/status/1402814249479512064")</f>
        <v>https://twitter.com/inovies/status/1402814249479512064</v>
      </c>
      <c r="AF484" s="79">
        <v>44357.101319444446</v>
      </c>
      <c r="AG484" s="85">
        <v>44357</v>
      </c>
      <c r="AH484" s="81" t="s">
        <v>3115</v>
      </c>
      <c r="AI484" s="77" t="b">
        <v>0</v>
      </c>
      <c r="AJ484" s="77"/>
      <c r="AK484" s="77"/>
      <c r="AL484" s="77"/>
      <c r="AM484" s="77"/>
      <c r="AN484" s="77"/>
      <c r="AO484" s="77"/>
      <c r="AP484" s="77"/>
      <c r="AQ484" s="77"/>
      <c r="AR484" s="77"/>
      <c r="AS484" s="77"/>
      <c r="AT484" s="77"/>
      <c r="AU484" s="77"/>
      <c r="AV484" s="80" t="str">
        <f>HYPERLINK("https://pbs.twimg.com/profile_images/833576943677214720/5ZyUgpEJ_normal.jpg")</f>
        <v>https://pbs.twimg.com/profile_images/833576943677214720/5ZyUgpEJ_normal.jpg</v>
      </c>
      <c r="AW484" s="81" t="s">
        <v>4861</v>
      </c>
      <c r="AX484" s="81" t="s">
        <v>5697</v>
      </c>
      <c r="AY484" s="81" t="s">
        <v>5766</v>
      </c>
      <c r="AZ484" s="81" t="s">
        <v>5697</v>
      </c>
      <c r="BA484" s="81" t="s">
        <v>5168</v>
      </c>
      <c r="BB484" s="81" t="s">
        <v>5773</v>
      </c>
      <c r="BC484" s="81" t="s">
        <v>5697</v>
      </c>
      <c r="BD484" s="77">
        <v>297885438</v>
      </c>
      <c r="BE484" s="77"/>
      <c r="BF484" s="77"/>
      <c r="BG484" s="77"/>
      <c r="BH484" s="77"/>
      <c r="BI484" s="77"/>
    </row>
    <row r="485" spans="1:61" ht="15">
      <c r="A485" s="62" t="s">
        <v>366</v>
      </c>
      <c r="B485" s="62" t="s">
        <v>544</v>
      </c>
      <c r="C485" s="63"/>
      <c r="D485" s="64"/>
      <c r="E485" s="65"/>
      <c r="F485" s="66"/>
      <c r="G485" s="63"/>
      <c r="H485" s="67"/>
      <c r="I485" s="68"/>
      <c r="J485" s="68"/>
      <c r="K485" s="32" t="s">
        <v>65</v>
      </c>
      <c r="L485" s="75">
        <v>485</v>
      </c>
      <c r="M485" s="75"/>
      <c r="N485" s="70"/>
      <c r="O485" s="77" t="s">
        <v>572</v>
      </c>
      <c r="P485" s="79">
        <v>44356.70527777778</v>
      </c>
      <c r="Q485" s="77" t="s">
        <v>926</v>
      </c>
      <c r="R485" s="77">
        <v>5</v>
      </c>
      <c r="S485" s="77">
        <v>6</v>
      </c>
      <c r="T485" s="77">
        <v>0</v>
      </c>
      <c r="U485" s="77">
        <v>0</v>
      </c>
      <c r="V485" s="77"/>
      <c r="W485" s="81" t="s">
        <v>1803</v>
      </c>
      <c r="X485" s="77"/>
      <c r="Y485" s="77"/>
      <c r="Z485" s="77" t="s">
        <v>2094</v>
      </c>
      <c r="AA485" s="77"/>
      <c r="AB485" s="77"/>
      <c r="AC485" s="81" t="s">
        <v>2701</v>
      </c>
      <c r="AD485" s="77" t="s">
        <v>2752</v>
      </c>
      <c r="AE485" s="80" t="str">
        <f>HYPERLINK("https://twitter.com/narenadarswaero/status/1402670725761167362")</f>
        <v>https://twitter.com/narenadarswaero/status/1402670725761167362</v>
      </c>
      <c r="AF485" s="79">
        <v>44356.70527777778</v>
      </c>
      <c r="AG485" s="85">
        <v>44356</v>
      </c>
      <c r="AH485" s="81" t="s">
        <v>3116</v>
      </c>
      <c r="AI485" s="77"/>
      <c r="AJ485" s="77"/>
      <c r="AK485" s="77"/>
      <c r="AL485" s="77"/>
      <c r="AM485" s="77"/>
      <c r="AN485" s="77"/>
      <c r="AO485" s="77"/>
      <c r="AP485" s="77"/>
      <c r="AQ485" s="77"/>
      <c r="AR485" s="77"/>
      <c r="AS485" s="77"/>
      <c r="AT485" s="77"/>
      <c r="AU485" s="77"/>
      <c r="AV485" s="80" t="str">
        <f>HYPERLINK("https://pbs.twimg.com/profile_images/1681728559948374016/_t3jmHTd_normal.jpg")</f>
        <v>https://pbs.twimg.com/profile_images/1681728559948374016/_t3jmHTd_normal.jpg</v>
      </c>
      <c r="AW485" s="81" t="s">
        <v>4862</v>
      </c>
      <c r="AX485" s="81" t="s">
        <v>5697</v>
      </c>
      <c r="AY485" s="81" t="s">
        <v>5766</v>
      </c>
      <c r="AZ485" s="81" t="s">
        <v>5697</v>
      </c>
      <c r="BA485" s="81" t="s">
        <v>5773</v>
      </c>
      <c r="BB485" s="81" t="s">
        <v>5773</v>
      </c>
      <c r="BC485" s="81" t="s">
        <v>5697</v>
      </c>
      <c r="BD485" s="81" t="s">
        <v>5818</v>
      </c>
      <c r="BE485" s="77"/>
      <c r="BF485" s="77"/>
      <c r="BG485" s="77"/>
      <c r="BH485" s="77"/>
      <c r="BI485" s="77"/>
    </row>
    <row r="486" spans="1:61" ht="15">
      <c r="A486" s="62" t="s">
        <v>366</v>
      </c>
      <c r="B486" s="62" t="s">
        <v>299</v>
      </c>
      <c r="C486" s="63"/>
      <c r="D486" s="64"/>
      <c r="E486" s="65"/>
      <c r="F486" s="66"/>
      <c r="G486" s="63"/>
      <c r="H486" s="67"/>
      <c r="I486" s="68"/>
      <c r="J486" s="68"/>
      <c r="K486" s="32" t="s">
        <v>65</v>
      </c>
      <c r="L486" s="75">
        <v>486</v>
      </c>
      <c r="M486" s="75"/>
      <c r="N486" s="70"/>
      <c r="O486" s="77" t="s">
        <v>573</v>
      </c>
      <c r="P486" s="79">
        <v>44356.70527777778</v>
      </c>
      <c r="Q486" s="77" t="s">
        <v>926</v>
      </c>
      <c r="R486" s="77">
        <v>5</v>
      </c>
      <c r="S486" s="77">
        <v>6</v>
      </c>
      <c r="T486" s="77">
        <v>0</v>
      </c>
      <c r="U486" s="77">
        <v>0</v>
      </c>
      <c r="V486" s="77"/>
      <c r="W486" s="81" t="s">
        <v>1803</v>
      </c>
      <c r="X486" s="77"/>
      <c r="Y486" s="77"/>
      <c r="Z486" s="77" t="s">
        <v>2094</v>
      </c>
      <c r="AA486" s="77"/>
      <c r="AB486" s="77"/>
      <c r="AC486" s="81" t="s">
        <v>2701</v>
      </c>
      <c r="AD486" s="77" t="s">
        <v>2752</v>
      </c>
      <c r="AE486" s="80" t="str">
        <f>HYPERLINK("https://twitter.com/narenadarswaero/status/1402670725761167362")</f>
        <v>https://twitter.com/narenadarswaero/status/1402670725761167362</v>
      </c>
      <c r="AF486" s="79">
        <v>44356.70527777778</v>
      </c>
      <c r="AG486" s="85">
        <v>44356</v>
      </c>
      <c r="AH486" s="81" t="s">
        <v>3116</v>
      </c>
      <c r="AI486" s="77"/>
      <c r="AJ486" s="77"/>
      <c r="AK486" s="77"/>
      <c r="AL486" s="77"/>
      <c r="AM486" s="77"/>
      <c r="AN486" s="77"/>
      <c r="AO486" s="77"/>
      <c r="AP486" s="77"/>
      <c r="AQ486" s="77"/>
      <c r="AR486" s="77"/>
      <c r="AS486" s="77"/>
      <c r="AT486" s="77"/>
      <c r="AU486" s="77"/>
      <c r="AV486" s="80" t="str">
        <f>HYPERLINK("https://pbs.twimg.com/profile_images/1681728559948374016/_t3jmHTd_normal.jpg")</f>
        <v>https://pbs.twimg.com/profile_images/1681728559948374016/_t3jmHTd_normal.jpg</v>
      </c>
      <c r="AW486" s="81" t="s">
        <v>4862</v>
      </c>
      <c r="AX486" s="81" t="s">
        <v>5697</v>
      </c>
      <c r="AY486" s="81" t="s">
        <v>5766</v>
      </c>
      <c r="AZ486" s="81" t="s">
        <v>5697</v>
      </c>
      <c r="BA486" s="81" t="s">
        <v>5773</v>
      </c>
      <c r="BB486" s="81" t="s">
        <v>5773</v>
      </c>
      <c r="BC486" s="81" t="s">
        <v>5697</v>
      </c>
      <c r="BD486" s="81" t="s">
        <v>5818</v>
      </c>
      <c r="BE486" s="77"/>
      <c r="BF486" s="77"/>
      <c r="BG486" s="77"/>
      <c r="BH486" s="77"/>
      <c r="BI486" s="77"/>
    </row>
    <row r="487" spans="1:61" ht="15">
      <c r="A487" s="62" t="s">
        <v>366</v>
      </c>
      <c r="B487" s="62" t="s">
        <v>299</v>
      </c>
      <c r="C487" s="63"/>
      <c r="D487" s="64"/>
      <c r="E487" s="65"/>
      <c r="F487" s="66"/>
      <c r="G487" s="63"/>
      <c r="H487" s="67"/>
      <c r="I487" s="68"/>
      <c r="J487" s="68"/>
      <c r="K487" s="32" t="s">
        <v>65</v>
      </c>
      <c r="L487" s="75">
        <v>487</v>
      </c>
      <c r="M487" s="75"/>
      <c r="N487" s="70"/>
      <c r="O487" s="77" t="s">
        <v>572</v>
      </c>
      <c r="P487" s="79">
        <v>44356.70518518519</v>
      </c>
      <c r="Q487" s="77" t="s">
        <v>927</v>
      </c>
      <c r="R487" s="77">
        <v>2</v>
      </c>
      <c r="S487" s="77">
        <v>2</v>
      </c>
      <c r="T487" s="77">
        <v>0</v>
      </c>
      <c r="U487" s="77">
        <v>0</v>
      </c>
      <c r="V487" s="77"/>
      <c r="W487" s="81" t="s">
        <v>1803</v>
      </c>
      <c r="X487" s="77"/>
      <c r="Y487" s="77"/>
      <c r="Z487" s="77" t="s">
        <v>299</v>
      </c>
      <c r="AA487" s="77"/>
      <c r="AB487" s="77"/>
      <c r="AC487" s="81" t="s">
        <v>2701</v>
      </c>
      <c r="AD487" s="77" t="s">
        <v>2752</v>
      </c>
      <c r="AE487" s="80" t="str">
        <f>HYPERLINK("https://twitter.com/narenadarswaero/status/1402670694723244038")</f>
        <v>https://twitter.com/narenadarswaero/status/1402670694723244038</v>
      </c>
      <c r="AF487" s="79">
        <v>44356.70518518519</v>
      </c>
      <c r="AG487" s="85">
        <v>44356</v>
      </c>
      <c r="AH487" s="81" t="s">
        <v>3117</v>
      </c>
      <c r="AI487" s="77"/>
      <c r="AJ487" s="77"/>
      <c r="AK487" s="77"/>
      <c r="AL487" s="77"/>
      <c r="AM487" s="77"/>
      <c r="AN487" s="77"/>
      <c r="AO487" s="77"/>
      <c r="AP487" s="77"/>
      <c r="AQ487" s="77"/>
      <c r="AR487" s="77"/>
      <c r="AS487" s="77"/>
      <c r="AT487" s="77"/>
      <c r="AU487" s="77"/>
      <c r="AV487" s="80" t="str">
        <f>HYPERLINK("https://pbs.twimg.com/profile_images/1681728559948374016/_t3jmHTd_normal.jpg")</f>
        <v>https://pbs.twimg.com/profile_images/1681728559948374016/_t3jmHTd_normal.jpg</v>
      </c>
      <c r="AW487" s="81" t="s">
        <v>4863</v>
      </c>
      <c r="AX487" s="81" t="s">
        <v>5578</v>
      </c>
      <c r="AY487" s="81" t="s">
        <v>5721</v>
      </c>
      <c r="AZ487" s="81" t="s">
        <v>5578</v>
      </c>
      <c r="BA487" s="81" t="s">
        <v>5773</v>
      </c>
      <c r="BB487" s="81" t="s">
        <v>5773</v>
      </c>
      <c r="BC487" s="81" t="s">
        <v>5578</v>
      </c>
      <c r="BD487" s="81" t="s">
        <v>5818</v>
      </c>
      <c r="BE487" s="77"/>
      <c r="BF487" s="77"/>
      <c r="BG487" s="77"/>
      <c r="BH487" s="77"/>
      <c r="BI487" s="77"/>
    </row>
    <row r="488" spans="1:61" ht="15">
      <c r="A488" s="62" t="s">
        <v>367</v>
      </c>
      <c r="B488" s="62" t="s">
        <v>299</v>
      </c>
      <c r="C488" s="63"/>
      <c r="D488" s="64"/>
      <c r="E488" s="65"/>
      <c r="F488" s="66"/>
      <c r="G488" s="63"/>
      <c r="H488" s="67"/>
      <c r="I488" s="68"/>
      <c r="J488" s="68"/>
      <c r="K488" s="32" t="s">
        <v>65</v>
      </c>
      <c r="L488" s="75">
        <v>488</v>
      </c>
      <c r="M488" s="75"/>
      <c r="N488" s="70"/>
      <c r="O488" s="77" t="s">
        <v>577</v>
      </c>
      <c r="P488" s="79">
        <v>45278.008622685185</v>
      </c>
      <c r="Q488" s="77" t="s">
        <v>928</v>
      </c>
      <c r="R488" s="77">
        <v>1</v>
      </c>
      <c r="S488" s="77">
        <v>0</v>
      </c>
      <c r="T488" s="77">
        <v>0</v>
      </c>
      <c r="U488" s="77">
        <v>0</v>
      </c>
      <c r="V488" s="77"/>
      <c r="W488" s="81" t="s">
        <v>1804</v>
      </c>
      <c r="X488" s="77"/>
      <c r="Y488" s="77"/>
      <c r="Z488" s="77" t="s">
        <v>299</v>
      </c>
      <c r="AA488" s="77"/>
      <c r="AB488" s="77"/>
      <c r="AC488" s="81" t="s">
        <v>2704</v>
      </c>
      <c r="AD488" s="77" t="s">
        <v>2751</v>
      </c>
      <c r="AE488" s="80" t="str">
        <f>HYPERLINK("https://twitter.com/saitelugumovies/status/1736539879893266667")</f>
        <v>https://twitter.com/saitelugumovies/status/1736539879893266667</v>
      </c>
      <c r="AF488" s="79">
        <v>45278.008622685185</v>
      </c>
      <c r="AG488" s="85">
        <v>45278</v>
      </c>
      <c r="AH488" s="81" t="s">
        <v>3118</v>
      </c>
      <c r="AI488" s="77"/>
      <c r="AJ488" s="77"/>
      <c r="AK488" s="77"/>
      <c r="AL488" s="77"/>
      <c r="AM488" s="77"/>
      <c r="AN488" s="77"/>
      <c r="AO488" s="77"/>
      <c r="AP488" s="77"/>
      <c r="AQ488" s="77"/>
      <c r="AR488" s="77"/>
      <c r="AS488" s="77"/>
      <c r="AT488" s="77"/>
      <c r="AU488" s="77"/>
      <c r="AV488" s="80" t="str">
        <f>HYPERLINK("https://pbs.twimg.com/profile_images/1722216485635108864/SnPrV8eL_normal.jpg")</f>
        <v>https://pbs.twimg.com/profile_images/1722216485635108864/SnPrV8eL_normal.jpg</v>
      </c>
      <c r="AW488" s="81" t="s">
        <v>4864</v>
      </c>
      <c r="AX488" s="81" t="s">
        <v>4864</v>
      </c>
      <c r="AY488" s="77"/>
      <c r="AZ488" s="81" t="s">
        <v>5773</v>
      </c>
      <c r="BA488" s="81" t="s">
        <v>5773</v>
      </c>
      <c r="BB488" s="81" t="s">
        <v>5265</v>
      </c>
      <c r="BC488" s="81" t="s">
        <v>5265</v>
      </c>
      <c r="BD488" s="77">
        <v>146880482</v>
      </c>
      <c r="BE488" s="77"/>
      <c r="BF488" s="77"/>
      <c r="BG488" s="77"/>
      <c r="BH488" s="77"/>
      <c r="BI488" s="77"/>
    </row>
    <row r="489" spans="1:61" ht="15">
      <c r="A489" s="62" t="s">
        <v>368</v>
      </c>
      <c r="B489" s="62" t="s">
        <v>368</v>
      </c>
      <c r="C489" s="63"/>
      <c r="D489" s="64"/>
      <c r="E489" s="65"/>
      <c r="F489" s="66"/>
      <c r="G489" s="63"/>
      <c r="H489" s="67"/>
      <c r="I489" s="68"/>
      <c r="J489" s="68"/>
      <c r="K489" s="32" t="s">
        <v>65</v>
      </c>
      <c r="L489" s="75">
        <v>489</v>
      </c>
      <c r="M489" s="75"/>
      <c r="N489" s="70"/>
      <c r="O489" s="77" t="s">
        <v>179</v>
      </c>
      <c r="P489" s="79">
        <v>41540.50518518518</v>
      </c>
      <c r="Q489" s="77" t="s">
        <v>929</v>
      </c>
      <c r="R489" s="77">
        <v>0</v>
      </c>
      <c r="S489" s="77">
        <v>0</v>
      </c>
      <c r="T489" s="77">
        <v>0</v>
      </c>
      <c r="U489" s="77">
        <v>0</v>
      </c>
      <c r="V489" s="77"/>
      <c r="W489" s="77"/>
      <c r="X489" s="77"/>
      <c r="Y489" s="77"/>
      <c r="Z489" s="77"/>
      <c r="AA489" s="77"/>
      <c r="AB489" s="77"/>
      <c r="AC489" s="81" t="s">
        <v>2701</v>
      </c>
      <c r="AD489" s="77" t="s">
        <v>2751</v>
      </c>
      <c r="AE489" s="80" t="str">
        <f>HYPERLINK("https://twitter.com/thaz32/status/382113986222649344")</f>
        <v>https://twitter.com/thaz32/status/382113986222649344</v>
      </c>
      <c r="AF489" s="79">
        <v>41540.50518518518</v>
      </c>
      <c r="AG489" s="85">
        <v>41540</v>
      </c>
      <c r="AH489" s="81" t="s">
        <v>3119</v>
      </c>
      <c r="AI489" s="77"/>
      <c r="AJ489" s="77"/>
      <c r="AK489" s="77"/>
      <c r="AL489" s="77"/>
      <c r="AM489" s="77"/>
      <c r="AN489" s="77"/>
      <c r="AO489" s="77"/>
      <c r="AP489" s="77"/>
      <c r="AQ489" s="77"/>
      <c r="AR489" s="77"/>
      <c r="AS489" s="77"/>
      <c r="AT489" s="77"/>
      <c r="AU489" s="77"/>
      <c r="AV489" s="80" t="str">
        <f>HYPERLINK("https://pbs.twimg.com/profile_images/1032604083847348226/1nEcohU__normal.jpg")</f>
        <v>https://pbs.twimg.com/profile_images/1032604083847348226/1nEcohU__normal.jpg</v>
      </c>
      <c r="AW489" s="81" t="s">
        <v>4865</v>
      </c>
      <c r="AX489" s="81" t="s">
        <v>4865</v>
      </c>
      <c r="AY489" s="77"/>
      <c r="AZ489" s="81" t="s">
        <v>5773</v>
      </c>
      <c r="BA489" s="81" t="s">
        <v>5773</v>
      </c>
      <c r="BB489" s="81" t="s">
        <v>5773</v>
      </c>
      <c r="BC489" s="81" t="s">
        <v>4865</v>
      </c>
      <c r="BD489" s="77">
        <v>80239903</v>
      </c>
      <c r="BE489" s="77"/>
      <c r="BF489" s="77"/>
      <c r="BG489" s="77"/>
      <c r="BH489" s="77"/>
      <c r="BI489" s="77"/>
    </row>
    <row r="490" spans="1:61" ht="15">
      <c r="A490" s="62" t="s">
        <v>369</v>
      </c>
      <c r="B490" s="62" t="s">
        <v>299</v>
      </c>
      <c r="C490" s="63"/>
      <c r="D490" s="64"/>
      <c r="E490" s="65"/>
      <c r="F490" s="66"/>
      <c r="G490" s="63"/>
      <c r="H490" s="67"/>
      <c r="I490" s="68"/>
      <c r="J490" s="68"/>
      <c r="K490" s="32" t="s">
        <v>65</v>
      </c>
      <c r="L490" s="75">
        <v>490</v>
      </c>
      <c r="M490" s="75"/>
      <c r="N490" s="70"/>
      <c r="O490" s="77" t="s">
        <v>571</v>
      </c>
      <c r="P490" s="79">
        <v>43076.45625</v>
      </c>
      <c r="Q490" s="77" t="s">
        <v>930</v>
      </c>
      <c r="R490" s="77">
        <v>0</v>
      </c>
      <c r="S490" s="77">
        <v>1</v>
      </c>
      <c r="T490" s="77">
        <v>0</v>
      </c>
      <c r="U490" s="77">
        <v>0</v>
      </c>
      <c r="V490" s="77"/>
      <c r="W490" s="81" t="s">
        <v>1805</v>
      </c>
      <c r="X490" s="80" t="str">
        <f>HYPERLINK("http://goo.gl/r2JwDD")</f>
        <v>http://goo.gl/r2JwDD</v>
      </c>
      <c r="Y490" s="77" t="s">
        <v>1975</v>
      </c>
      <c r="Z490" s="77" t="s">
        <v>299</v>
      </c>
      <c r="AA490" s="77" t="s">
        <v>2217</v>
      </c>
      <c r="AB490" s="77" t="s">
        <v>2696</v>
      </c>
      <c r="AC490" s="81" t="s">
        <v>2705</v>
      </c>
      <c r="AD490" s="77" t="s">
        <v>2751</v>
      </c>
      <c r="AE490" s="80" t="str">
        <f>HYPERLINK("https://twitter.com/suryakotianu/status/938724013945131009")</f>
        <v>https://twitter.com/suryakotianu/status/938724013945131009</v>
      </c>
      <c r="AF490" s="79">
        <v>43076.45625</v>
      </c>
      <c r="AG490" s="85">
        <v>43076</v>
      </c>
      <c r="AH490" s="81" t="s">
        <v>3120</v>
      </c>
      <c r="AI490" s="77" t="b">
        <v>0</v>
      </c>
      <c r="AJ490" s="77"/>
      <c r="AK490" s="77"/>
      <c r="AL490" s="77"/>
      <c r="AM490" s="77"/>
      <c r="AN490" s="77"/>
      <c r="AO490" s="77"/>
      <c r="AP490" s="77"/>
      <c r="AQ490" s="77" t="s">
        <v>4033</v>
      </c>
      <c r="AR490" s="77"/>
      <c r="AS490" s="77"/>
      <c r="AT490" s="77"/>
      <c r="AU490" s="77"/>
      <c r="AV490" s="80" t="str">
        <f>HYPERLINK("https://pbs.twimg.com/media/DQcEfsqU8AEDHU2.jpg")</f>
        <v>https://pbs.twimg.com/media/DQcEfsqU8AEDHU2.jpg</v>
      </c>
      <c r="AW490" s="81" t="s">
        <v>4866</v>
      </c>
      <c r="AX490" s="81" t="s">
        <v>4866</v>
      </c>
      <c r="AY490" s="77"/>
      <c r="AZ490" s="81" t="s">
        <v>5773</v>
      </c>
      <c r="BA490" s="81" t="s">
        <v>5773</v>
      </c>
      <c r="BB490" s="81" t="s">
        <v>5773</v>
      </c>
      <c r="BC490" s="81" t="s">
        <v>4866</v>
      </c>
      <c r="BD490" s="81" t="s">
        <v>5819</v>
      </c>
      <c r="BE490" s="77"/>
      <c r="BF490" s="77"/>
      <c r="BG490" s="77"/>
      <c r="BH490" s="77"/>
      <c r="BI490" s="77"/>
    </row>
    <row r="491" spans="1:61" ht="15">
      <c r="A491" s="62" t="s">
        <v>369</v>
      </c>
      <c r="B491" s="62" t="s">
        <v>299</v>
      </c>
      <c r="C491" s="63"/>
      <c r="D491" s="64"/>
      <c r="E491" s="65"/>
      <c r="F491" s="66"/>
      <c r="G491" s="63"/>
      <c r="H491" s="67"/>
      <c r="I491" s="68"/>
      <c r="J491" s="68"/>
      <c r="K491" s="32" t="s">
        <v>65</v>
      </c>
      <c r="L491" s="75">
        <v>491</v>
      </c>
      <c r="M491" s="75"/>
      <c r="N491" s="70"/>
      <c r="O491" s="77" t="s">
        <v>571</v>
      </c>
      <c r="P491" s="79">
        <v>43076.453784722224</v>
      </c>
      <c r="Q491" s="77" t="s">
        <v>931</v>
      </c>
      <c r="R491" s="77">
        <v>1</v>
      </c>
      <c r="S491" s="77">
        <v>5</v>
      </c>
      <c r="T491" s="77">
        <v>0</v>
      </c>
      <c r="U491" s="77">
        <v>0</v>
      </c>
      <c r="V491" s="77"/>
      <c r="W491" s="81" t="s">
        <v>1806</v>
      </c>
      <c r="X491" s="80" t="str">
        <f>HYPERLINK("http://goo.gl/NGYS7E")</f>
        <v>http://goo.gl/NGYS7E</v>
      </c>
      <c r="Y491" s="77" t="s">
        <v>1975</v>
      </c>
      <c r="Z491" s="77" t="s">
        <v>299</v>
      </c>
      <c r="AA491" s="77" t="s">
        <v>2218</v>
      </c>
      <c r="AB491" s="77" t="s">
        <v>2696</v>
      </c>
      <c r="AC491" s="81" t="s">
        <v>2705</v>
      </c>
      <c r="AD491" s="77" t="s">
        <v>2751</v>
      </c>
      <c r="AE491" s="80" t="str">
        <f>HYPERLINK("https://twitter.com/suryakotianu/status/938723121304973312")</f>
        <v>https://twitter.com/suryakotianu/status/938723121304973312</v>
      </c>
      <c r="AF491" s="79">
        <v>43076.453784722224</v>
      </c>
      <c r="AG491" s="85">
        <v>43076</v>
      </c>
      <c r="AH491" s="81" t="s">
        <v>3121</v>
      </c>
      <c r="AI491" s="77" t="b">
        <v>0</v>
      </c>
      <c r="AJ491" s="77"/>
      <c r="AK491" s="77"/>
      <c r="AL491" s="77"/>
      <c r="AM491" s="77"/>
      <c r="AN491" s="77"/>
      <c r="AO491" s="77"/>
      <c r="AP491" s="77"/>
      <c r="AQ491" s="77" t="s">
        <v>4034</v>
      </c>
      <c r="AR491" s="77"/>
      <c r="AS491" s="77"/>
      <c r="AT491" s="77"/>
      <c r="AU491" s="77"/>
      <c r="AV491" s="80" t="str">
        <f>HYPERLINK("https://pbs.twimg.com/media/DQcDqZXV4AAXkm9.jpg")</f>
        <v>https://pbs.twimg.com/media/DQcDqZXV4AAXkm9.jpg</v>
      </c>
      <c r="AW491" s="81" t="s">
        <v>4867</v>
      </c>
      <c r="AX491" s="81" t="s">
        <v>4867</v>
      </c>
      <c r="AY491" s="77"/>
      <c r="AZ491" s="81" t="s">
        <v>5773</v>
      </c>
      <c r="BA491" s="81" t="s">
        <v>5773</v>
      </c>
      <c r="BB491" s="81" t="s">
        <v>5773</v>
      </c>
      <c r="BC491" s="81" t="s">
        <v>4867</v>
      </c>
      <c r="BD491" s="81" t="s">
        <v>5819</v>
      </c>
      <c r="BE491" s="77"/>
      <c r="BF491" s="77"/>
      <c r="BG491" s="77"/>
      <c r="BH491" s="77"/>
      <c r="BI491" s="77"/>
    </row>
    <row r="492" spans="1:61" ht="15">
      <c r="A492" s="62" t="s">
        <v>369</v>
      </c>
      <c r="B492" s="62" t="s">
        <v>299</v>
      </c>
      <c r="C492" s="63"/>
      <c r="D492" s="64"/>
      <c r="E492" s="65"/>
      <c r="F492" s="66"/>
      <c r="G492" s="63"/>
      <c r="H492" s="67"/>
      <c r="I492" s="68"/>
      <c r="J492" s="68"/>
      <c r="K492" s="32" t="s">
        <v>65</v>
      </c>
      <c r="L492" s="75">
        <v>492</v>
      </c>
      <c r="M492" s="75"/>
      <c r="N492" s="70"/>
      <c r="O492" s="77" t="s">
        <v>571</v>
      </c>
      <c r="P492" s="79">
        <v>43076.444444444445</v>
      </c>
      <c r="Q492" s="77" t="s">
        <v>932</v>
      </c>
      <c r="R492" s="77">
        <v>0</v>
      </c>
      <c r="S492" s="77">
        <v>2</v>
      </c>
      <c r="T492" s="77">
        <v>0</v>
      </c>
      <c r="U492" s="77">
        <v>0</v>
      </c>
      <c r="V492" s="77"/>
      <c r="W492" s="81" t="s">
        <v>1807</v>
      </c>
      <c r="X492" s="80" t="str">
        <f>HYPERLINK("http://goo.gl/7g4R3w")</f>
        <v>http://goo.gl/7g4R3w</v>
      </c>
      <c r="Y492" s="77" t="s">
        <v>1975</v>
      </c>
      <c r="Z492" s="77" t="s">
        <v>299</v>
      </c>
      <c r="AA492" s="77" t="s">
        <v>2219</v>
      </c>
      <c r="AB492" s="77" t="s">
        <v>2696</v>
      </c>
      <c r="AC492" s="81" t="s">
        <v>2705</v>
      </c>
      <c r="AD492" s="77" t="s">
        <v>2751</v>
      </c>
      <c r="AE492" s="80" t="str">
        <f>HYPERLINK("https://twitter.com/suryakotianu/status/938719736606613504")</f>
        <v>https://twitter.com/suryakotianu/status/938719736606613504</v>
      </c>
      <c r="AF492" s="79">
        <v>43076.444444444445</v>
      </c>
      <c r="AG492" s="85">
        <v>43076</v>
      </c>
      <c r="AH492" s="81" t="s">
        <v>3122</v>
      </c>
      <c r="AI492" s="77" t="b">
        <v>0</v>
      </c>
      <c r="AJ492" s="77"/>
      <c r="AK492" s="77"/>
      <c r="AL492" s="77"/>
      <c r="AM492" s="77"/>
      <c r="AN492" s="77"/>
      <c r="AO492" s="77"/>
      <c r="AP492" s="77"/>
      <c r="AQ492" s="77" t="s">
        <v>4035</v>
      </c>
      <c r="AR492" s="77"/>
      <c r="AS492" s="77"/>
      <c r="AT492" s="77"/>
      <c r="AU492" s="77"/>
      <c r="AV492" s="80" t="str">
        <f>HYPERLINK("https://pbs.twimg.com/media/DQcAnDuVoAEiOGL.jpg")</f>
        <v>https://pbs.twimg.com/media/DQcAnDuVoAEiOGL.jpg</v>
      </c>
      <c r="AW492" s="81" t="s">
        <v>4868</v>
      </c>
      <c r="AX492" s="81" t="s">
        <v>4868</v>
      </c>
      <c r="AY492" s="77"/>
      <c r="AZ492" s="81" t="s">
        <v>5773</v>
      </c>
      <c r="BA492" s="81" t="s">
        <v>5773</v>
      </c>
      <c r="BB492" s="81" t="s">
        <v>5773</v>
      </c>
      <c r="BC492" s="81" t="s">
        <v>4868</v>
      </c>
      <c r="BD492" s="81" t="s">
        <v>5819</v>
      </c>
      <c r="BE492" s="77"/>
      <c r="BF492" s="77"/>
      <c r="BG492" s="77"/>
      <c r="BH492" s="77"/>
      <c r="BI492" s="77"/>
    </row>
    <row r="493" spans="1:61" ht="15">
      <c r="A493" s="62" t="s">
        <v>369</v>
      </c>
      <c r="B493" s="62" t="s">
        <v>299</v>
      </c>
      <c r="C493" s="63"/>
      <c r="D493" s="64"/>
      <c r="E493" s="65"/>
      <c r="F493" s="66"/>
      <c r="G493" s="63"/>
      <c r="H493" s="67"/>
      <c r="I493" s="68"/>
      <c r="J493" s="68"/>
      <c r="K493" s="32" t="s">
        <v>65</v>
      </c>
      <c r="L493" s="75">
        <v>493</v>
      </c>
      <c r="M493" s="75"/>
      <c r="N493" s="70"/>
      <c r="O493" s="77" t="s">
        <v>571</v>
      </c>
      <c r="P493" s="79">
        <v>43076.300462962965</v>
      </c>
      <c r="Q493" s="77" t="s">
        <v>933</v>
      </c>
      <c r="R493" s="77">
        <v>0</v>
      </c>
      <c r="S493" s="77">
        <v>0</v>
      </c>
      <c r="T493" s="77">
        <v>0</v>
      </c>
      <c r="U493" s="77">
        <v>3</v>
      </c>
      <c r="V493" s="77"/>
      <c r="W493" s="81" t="s">
        <v>1808</v>
      </c>
      <c r="X493" s="80" t="str">
        <f>HYPERLINK("https://goo.gl/UDmV7L")</f>
        <v>https://goo.gl/UDmV7L</v>
      </c>
      <c r="Y493" s="77" t="s">
        <v>1975</v>
      </c>
      <c r="Z493" s="77" t="s">
        <v>299</v>
      </c>
      <c r="AA493" s="77" t="s">
        <v>2220</v>
      </c>
      <c r="AB493" s="77" t="s">
        <v>2696</v>
      </c>
      <c r="AC493" s="81" t="s">
        <v>2705</v>
      </c>
      <c r="AD493" s="77" t="s">
        <v>2751</v>
      </c>
      <c r="AE493" s="80" t="str">
        <f>HYPERLINK("https://twitter.com/suryakotianu/status/938667558806286337")</f>
        <v>https://twitter.com/suryakotianu/status/938667558806286337</v>
      </c>
      <c r="AF493" s="79">
        <v>43076.300462962965</v>
      </c>
      <c r="AG493" s="85">
        <v>43076</v>
      </c>
      <c r="AH493" s="81" t="s">
        <v>3123</v>
      </c>
      <c r="AI493" s="77" t="b">
        <v>0</v>
      </c>
      <c r="AJ493" s="77"/>
      <c r="AK493" s="77"/>
      <c r="AL493" s="77"/>
      <c r="AM493" s="77"/>
      <c r="AN493" s="77"/>
      <c r="AO493" s="77"/>
      <c r="AP493" s="77"/>
      <c r="AQ493" s="77" t="s">
        <v>3923</v>
      </c>
      <c r="AR493" s="77"/>
      <c r="AS493" s="77"/>
      <c r="AT493" s="77"/>
      <c r="AU493" s="77"/>
      <c r="AV493" s="80" t="str">
        <f>HYPERLINK("https://pbs.twimg.com/media/DQbRJ0UUQAYtAx5.jpg")</f>
        <v>https://pbs.twimg.com/media/DQbRJ0UUQAYtAx5.jpg</v>
      </c>
      <c r="AW493" s="81" t="s">
        <v>4869</v>
      </c>
      <c r="AX493" s="81" t="s">
        <v>4869</v>
      </c>
      <c r="AY493" s="77"/>
      <c r="AZ493" s="81" t="s">
        <v>5773</v>
      </c>
      <c r="BA493" s="81" t="s">
        <v>5773</v>
      </c>
      <c r="BB493" s="81" t="s">
        <v>5773</v>
      </c>
      <c r="BC493" s="81" t="s">
        <v>4869</v>
      </c>
      <c r="BD493" s="81" t="s">
        <v>5819</v>
      </c>
      <c r="BE493" s="77"/>
      <c r="BF493" s="77"/>
      <c r="BG493" s="77"/>
      <c r="BH493" s="77"/>
      <c r="BI493" s="77"/>
    </row>
    <row r="494" spans="1:61" ht="15">
      <c r="A494" s="62" t="s">
        <v>369</v>
      </c>
      <c r="B494" s="62" t="s">
        <v>299</v>
      </c>
      <c r="C494" s="63"/>
      <c r="D494" s="64"/>
      <c r="E494" s="65"/>
      <c r="F494" s="66"/>
      <c r="G494" s="63"/>
      <c r="H494" s="67"/>
      <c r="I494" s="68"/>
      <c r="J494" s="68"/>
      <c r="K494" s="32" t="s">
        <v>65</v>
      </c>
      <c r="L494" s="75">
        <v>494</v>
      </c>
      <c r="M494" s="75"/>
      <c r="N494" s="70"/>
      <c r="O494" s="77" t="s">
        <v>571</v>
      </c>
      <c r="P494" s="79">
        <v>43076.29513888889</v>
      </c>
      <c r="Q494" s="77" t="s">
        <v>934</v>
      </c>
      <c r="R494" s="77">
        <v>0</v>
      </c>
      <c r="S494" s="77">
        <v>2</v>
      </c>
      <c r="T494" s="77">
        <v>0</v>
      </c>
      <c r="U494" s="77">
        <v>0</v>
      </c>
      <c r="V494" s="77"/>
      <c r="W494" s="81" t="s">
        <v>1809</v>
      </c>
      <c r="X494" s="80" t="str">
        <f>HYPERLINK("https://goo.gl/M4t8Bs")</f>
        <v>https://goo.gl/M4t8Bs</v>
      </c>
      <c r="Y494" s="77" t="s">
        <v>1975</v>
      </c>
      <c r="Z494" s="77" t="s">
        <v>299</v>
      </c>
      <c r="AA494" s="77" t="s">
        <v>2221</v>
      </c>
      <c r="AB494" s="77" t="s">
        <v>2696</v>
      </c>
      <c r="AC494" s="81" t="s">
        <v>2705</v>
      </c>
      <c r="AD494" s="77" t="s">
        <v>2751</v>
      </c>
      <c r="AE494" s="80" t="str">
        <f>HYPERLINK("https://twitter.com/suryakotianu/status/938665628424011776")</f>
        <v>https://twitter.com/suryakotianu/status/938665628424011776</v>
      </c>
      <c r="AF494" s="79">
        <v>43076.29513888889</v>
      </c>
      <c r="AG494" s="85">
        <v>43076</v>
      </c>
      <c r="AH494" s="81" t="s">
        <v>3124</v>
      </c>
      <c r="AI494" s="77" t="b">
        <v>0</v>
      </c>
      <c r="AJ494" s="77"/>
      <c r="AK494" s="77"/>
      <c r="AL494" s="77"/>
      <c r="AM494" s="77"/>
      <c r="AN494" s="77"/>
      <c r="AO494" s="77"/>
      <c r="AP494" s="77"/>
      <c r="AQ494" s="77" t="s">
        <v>4036</v>
      </c>
      <c r="AR494" s="77"/>
      <c r="AS494" s="77"/>
      <c r="AT494" s="77"/>
      <c r="AU494" s="77"/>
      <c r="AV494" s="80" t="str">
        <f>HYPERLINK("https://pbs.twimg.com/media/DQbPZsXVQAEFSTG.jpg")</f>
        <v>https://pbs.twimg.com/media/DQbPZsXVQAEFSTG.jpg</v>
      </c>
      <c r="AW494" s="81" t="s">
        <v>4870</v>
      </c>
      <c r="AX494" s="81" t="s">
        <v>4870</v>
      </c>
      <c r="AY494" s="77"/>
      <c r="AZ494" s="81" t="s">
        <v>5773</v>
      </c>
      <c r="BA494" s="81" t="s">
        <v>5773</v>
      </c>
      <c r="BB494" s="81" t="s">
        <v>5773</v>
      </c>
      <c r="BC494" s="81" t="s">
        <v>4870</v>
      </c>
      <c r="BD494" s="81" t="s">
        <v>5819</v>
      </c>
      <c r="BE494" s="77"/>
      <c r="BF494" s="77"/>
      <c r="BG494" s="77"/>
      <c r="BH494" s="77"/>
      <c r="BI494" s="77"/>
    </row>
    <row r="495" spans="1:61" ht="15">
      <c r="A495" s="62" t="s">
        <v>369</v>
      </c>
      <c r="B495" s="62" t="s">
        <v>299</v>
      </c>
      <c r="C495" s="63"/>
      <c r="D495" s="64"/>
      <c r="E495" s="65"/>
      <c r="F495" s="66"/>
      <c r="G495" s="63"/>
      <c r="H495" s="67"/>
      <c r="I495" s="68"/>
      <c r="J495" s="68"/>
      <c r="K495" s="32" t="s">
        <v>65</v>
      </c>
      <c r="L495" s="75">
        <v>495</v>
      </c>
      <c r="M495" s="75"/>
      <c r="N495" s="70"/>
      <c r="O495" s="77" t="s">
        <v>571</v>
      </c>
      <c r="P495" s="79">
        <v>43076.28747685185</v>
      </c>
      <c r="Q495" s="77" t="s">
        <v>935</v>
      </c>
      <c r="R495" s="77">
        <v>0</v>
      </c>
      <c r="S495" s="77">
        <v>1</v>
      </c>
      <c r="T495" s="77">
        <v>0</v>
      </c>
      <c r="U495" s="77">
        <v>0</v>
      </c>
      <c r="V495" s="77"/>
      <c r="W495" s="81" t="s">
        <v>1810</v>
      </c>
      <c r="X495" s="80" t="str">
        <f>HYPERLINK("https://goo.gl/hD26Hf")</f>
        <v>https://goo.gl/hD26Hf</v>
      </c>
      <c r="Y495" s="77" t="s">
        <v>1975</v>
      </c>
      <c r="Z495" s="77" t="s">
        <v>299</v>
      </c>
      <c r="AA495" s="77" t="s">
        <v>2222</v>
      </c>
      <c r="AB495" s="77" t="s">
        <v>2696</v>
      </c>
      <c r="AC495" s="81" t="s">
        <v>2705</v>
      </c>
      <c r="AD495" s="77" t="s">
        <v>2751</v>
      </c>
      <c r="AE495" s="80" t="str">
        <f>HYPERLINK("https://twitter.com/suryakotianu/status/938662852319109121")</f>
        <v>https://twitter.com/suryakotianu/status/938662852319109121</v>
      </c>
      <c r="AF495" s="79">
        <v>43076.28747685185</v>
      </c>
      <c r="AG495" s="85">
        <v>43076</v>
      </c>
      <c r="AH495" s="81" t="s">
        <v>3125</v>
      </c>
      <c r="AI495" s="77" t="b">
        <v>0</v>
      </c>
      <c r="AJ495" s="77"/>
      <c r="AK495" s="77"/>
      <c r="AL495" s="77"/>
      <c r="AM495" s="77"/>
      <c r="AN495" s="77"/>
      <c r="AO495" s="77"/>
      <c r="AP495" s="77"/>
      <c r="AQ495" s="77" t="s">
        <v>4037</v>
      </c>
      <c r="AR495" s="77"/>
      <c r="AS495" s="77"/>
      <c r="AT495" s="77"/>
      <c r="AU495" s="77"/>
      <c r="AV495" s="80" t="str">
        <f>HYPERLINK("https://pbs.twimg.com/media/DQbM4dwVoAA3xtt.jpg")</f>
        <v>https://pbs.twimg.com/media/DQbM4dwVoAA3xtt.jpg</v>
      </c>
      <c r="AW495" s="81" t="s">
        <v>4871</v>
      </c>
      <c r="AX495" s="81" t="s">
        <v>4871</v>
      </c>
      <c r="AY495" s="77"/>
      <c r="AZ495" s="81" t="s">
        <v>5773</v>
      </c>
      <c r="BA495" s="81" t="s">
        <v>5773</v>
      </c>
      <c r="BB495" s="81" t="s">
        <v>5773</v>
      </c>
      <c r="BC495" s="81" t="s">
        <v>4871</v>
      </c>
      <c r="BD495" s="81" t="s">
        <v>5819</v>
      </c>
      <c r="BE495" s="77"/>
      <c r="BF495" s="77"/>
      <c r="BG495" s="77"/>
      <c r="BH495" s="77"/>
      <c r="BI495" s="77"/>
    </row>
    <row r="496" spans="1:61" ht="15">
      <c r="A496" s="62" t="s">
        <v>369</v>
      </c>
      <c r="B496" s="62" t="s">
        <v>369</v>
      </c>
      <c r="C496" s="63"/>
      <c r="D496" s="64"/>
      <c r="E496" s="65"/>
      <c r="F496" s="66"/>
      <c r="G496" s="63"/>
      <c r="H496" s="67"/>
      <c r="I496" s="68"/>
      <c r="J496" s="68"/>
      <c r="K496" s="32" t="s">
        <v>65</v>
      </c>
      <c r="L496" s="75">
        <v>496</v>
      </c>
      <c r="M496" s="75"/>
      <c r="N496" s="70"/>
      <c r="O496" s="77" t="s">
        <v>179</v>
      </c>
      <c r="P496" s="79">
        <v>43034.54864583333</v>
      </c>
      <c r="Q496" s="77" t="s">
        <v>936</v>
      </c>
      <c r="R496" s="77">
        <v>0</v>
      </c>
      <c r="S496" s="77">
        <v>1</v>
      </c>
      <c r="T496" s="77">
        <v>0</v>
      </c>
      <c r="U496" s="77">
        <v>0</v>
      </c>
      <c r="V496" s="77"/>
      <c r="W496" s="81" t="s">
        <v>1811</v>
      </c>
      <c r="X496" s="80" t="str">
        <f>HYPERLINK("https://www.inovies.com/technical-writing/slogan-writing-tagline-writing-company")</f>
        <v>https://www.inovies.com/technical-writing/slogan-writing-tagline-writing-company</v>
      </c>
      <c r="Y496" s="77" t="s">
        <v>1982</v>
      </c>
      <c r="Z496" s="77"/>
      <c r="AA496" s="77" t="s">
        <v>2223</v>
      </c>
      <c r="AB496" s="77" t="s">
        <v>2696</v>
      </c>
      <c r="AC496" s="81" t="s">
        <v>2705</v>
      </c>
      <c r="AD496" s="77" t="s">
        <v>2751</v>
      </c>
      <c r="AE496" s="80" t="str">
        <f>HYPERLINK("https://twitter.com/suryakotianu/status/923537208170004481")</f>
        <v>https://twitter.com/suryakotianu/status/923537208170004481</v>
      </c>
      <c r="AF496" s="79">
        <v>43034.54864583333</v>
      </c>
      <c r="AG496" s="85">
        <v>43034</v>
      </c>
      <c r="AH496" s="81" t="s">
        <v>3126</v>
      </c>
      <c r="AI496" s="77" t="b">
        <v>0</v>
      </c>
      <c r="AJ496" s="77"/>
      <c r="AK496" s="77"/>
      <c r="AL496" s="77"/>
      <c r="AM496" s="77"/>
      <c r="AN496" s="77"/>
      <c r="AO496" s="77"/>
      <c r="AP496" s="77"/>
      <c r="AQ496" s="77" t="s">
        <v>4038</v>
      </c>
      <c r="AR496" s="77"/>
      <c r="AS496" s="77"/>
      <c r="AT496" s="77"/>
      <c r="AU496" s="77"/>
      <c r="AV496" s="80" t="str">
        <f>HYPERLINK("https://pbs.twimg.com/media/DNEQK9rUMAE-j2K.jpg")</f>
        <v>https://pbs.twimg.com/media/DNEQK9rUMAE-j2K.jpg</v>
      </c>
      <c r="AW496" s="81" t="s">
        <v>4872</v>
      </c>
      <c r="AX496" s="81" t="s">
        <v>4872</v>
      </c>
      <c r="AY496" s="77"/>
      <c r="AZ496" s="81" t="s">
        <v>5773</v>
      </c>
      <c r="BA496" s="81" t="s">
        <v>5773</v>
      </c>
      <c r="BB496" s="81" t="s">
        <v>5773</v>
      </c>
      <c r="BC496" s="81" t="s">
        <v>4872</v>
      </c>
      <c r="BD496" s="81" t="s">
        <v>5819</v>
      </c>
      <c r="BE496" s="77"/>
      <c r="BF496" s="77"/>
      <c r="BG496" s="77"/>
      <c r="BH496" s="77"/>
      <c r="BI496" s="77"/>
    </row>
    <row r="497" spans="1:61" ht="15">
      <c r="A497" s="62" t="s">
        <v>369</v>
      </c>
      <c r="B497" s="62" t="s">
        <v>369</v>
      </c>
      <c r="C497" s="63"/>
      <c r="D497" s="64"/>
      <c r="E497" s="65"/>
      <c r="F497" s="66"/>
      <c r="G497" s="63"/>
      <c r="H497" s="67"/>
      <c r="I497" s="68"/>
      <c r="J497" s="68"/>
      <c r="K497" s="32" t="s">
        <v>65</v>
      </c>
      <c r="L497" s="75">
        <v>497</v>
      </c>
      <c r="M497" s="75"/>
      <c r="N497" s="70"/>
      <c r="O497" s="77" t="s">
        <v>179</v>
      </c>
      <c r="P497" s="79">
        <v>43034.543703703705</v>
      </c>
      <c r="Q497" s="77" t="s">
        <v>937</v>
      </c>
      <c r="R497" s="77">
        <v>0</v>
      </c>
      <c r="S497" s="77">
        <v>0</v>
      </c>
      <c r="T497" s="77">
        <v>0</v>
      </c>
      <c r="U497" s="77">
        <v>0</v>
      </c>
      <c r="V497" s="77"/>
      <c r="W497" s="81" t="s">
        <v>1812</v>
      </c>
      <c r="X497" s="80" t="str">
        <f>HYPERLINK("https://www.inovies.com/technical-writing/newsletter-and-email-writing-company")</f>
        <v>https://www.inovies.com/technical-writing/newsletter-and-email-writing-company</v>
      </c>
      <c r="Y497" s="77" t="s">
        <v>1982</v>
      </c>
      <c r="Z497" s="77"/>
      <c r="AA497" s="77" t="s">
        <v>2224</v>
      </c>
      <c r="AB497" s="77" t="s">
        <v>2696</v>
      </c>
      <c r="AC497" s="81" t="s">
        <v>2705</v>
      </c>
      <c r="AD497" s="77" t="s">
        <v>2751</v>
      </c>
      <c r="AE497" s="80" t="str">
        <f>HYPERLINK("https://twitter.com/suryakotianu/status/923535417965658112")</f>
        <v>https://twitter.com/suryakotianu/status/923535417965658112</v>
      </c>
      <c r="AF497" s="79">
        <v>43034.543703703705</v>
      </c>
      <c r="AG497" s="85">
        <v>43034</v>
      </c>
      <c r="AH497" s="81" t="s">
        <v>3127</v>
      </c>
      <c r="AI497" s="77" t="b">
        <v>0</v>
      </c>
      <c r="AJ497" s="77"/>
      <c r="AK497" s="77"/>
      <c r="AL497" s="77"/>
      <c r="AM497" s="77"/>
      <c r="AN497" s="77"/>
      <c r="AO497" s="77"/>
      <c r="AP497" s="77"/>
      <c r="AQ497" s="77" t="s">
        <v>4039</v>
      </c>
      <c r="AR497" s="77"/>
      <c r="AS497" s="77"/>
      <c r="AT497" s="77"/>
      <c r="AU497" s="77"/>
      <c r="AV497" s="80" t="str">
        <f>HYPERLINK("https://pbs.twimg.com/media/DNEOjtcU8AAyXmZ.jpg")</f>
        <v>https://pbs.twimg.com/media/DNEOjtcU8AAyXmZ.jpg</v>
      </c>
      <c r="AW497" s="81" t="s">
        <v>4873</v>
      </c>
      <c r="AX497" s="81" t="s">
        <v>4873</v>
      </c>
      <c r="AY497" s="77"/>
      <c r="AZ497" s="81" t="s">
        <v>5773</v>
      </c>
      <c r="BA497" s="81" t="s">
        <v>5773</v>
      </c>
      <c r="BB497" s="81" t="s">
        <v>5773</v>
      </c>
      <c r="BC497" s="81" t="s">
        <v>4873</v>
      </c>
      <c r="BD497" s="81" t="s">
        <v>5819</v>
      </c>
      <c r="BE497" s="77"/>
      <c r="BF497" s="77"/>
      <c r="BG497" s="77"/>
      <c r="BH497" s="77"/>
      <c r="BI497" s="77"/>
    </row>
    <row r="498" spans="1:61" ht="15">
      <c r="A498" s="62" t="s">
        <v>369</v>
      </c>
      <c r="B498" s="62" t="s">
        <v>369</v>
      </c>
      <c r="C498" s="63"/>
      <c r="D498" s="64"/>
      <c r="E498" s="65"/>
      <c r="F498" s="66"/>
      <c r="G498" s="63"/>
      <c r="H498" s="67"/>
      <c r="I498" s="68"/>
      <c r="J498" s="68"/>
      <c r="K498" s="32" t="s">
        <v>65</v>
      </c>
      <c r="L498" s="75">
        <v>498</v>
      </c>
      <c r="M498" s="75"/>
      <c r="N498" s="70"/>
      <c r="O498" s="77" t="s">
        <v>179</v>
      </c>
      <c r="P498" s="79">
        <v>43034.5421875</v>
      </c>
      <c r="Q498" s="77" t="s">
        <v>938</v>
      </c>
      <c r="R498" s="77">
        <v>0</v>
      </c>
      <c r="S498" s="77">
        <v>0</v>
      </c>
      <c r="T498" s="77">
        <v>0</v>
      </c>
      <c r="U498" s="77">
        <v>0</v>
      </c>
      <c r="V498" s="77"/>
      <c r="W498" s="81" t="s">
        <v>1813</v>
      </c>
      <c r="X498" s="80" t="str">
        <f>HYPERLINK("https://www.inovies.com/technical-writing/blog-writing-company")</f>
        <v>https://www.inovies.com/technical-writing/blog-writing-company</v>
      </c>
      <c r="Y498" s="77" t="s">
        <v>1982</v>
      </c>
      <c r="Z498" s="77"/>
      <c r="AA498" s="77" t="s">
        <v>2225</v>
      </c>
      <c r="AB498" s="77" t="s">
        <v>2696</v>
      </c>
      <c r="AC498" s="81" t="s">
        <v>2705</v>
      </c>
      <c r="AD498" s="77" t="s">
        <v>2751</v>
      </c>
      <c r="AE498" s="80" t="str">
        <f>HYPERLINK("https://twitter.com/suryakotianu/status/923534868771889153")</f>
        <v>https://twitter.com/suryakotianu/status/923534868771889153</v>
      </c>
      <c r="AF498" s="79">
        <v>43034.5421875</v>
      </c>
      <c r="AG498" s="85">
        <v>43034</v>
      </c>
      <c r="AH498" s="81" t="s">
        <v>3128</v>
      </c>
      <c r="AI498" s="77" t="b">
        <v>0</v>
      </c>
      <c r="AJ498" s="77"/>
      <c r="AK498" s="77"/>
      <c r="AL498" s="77"/>
      <c r="AM498" s="77"/>
      <c r="AN498" s="77"/>
      <c r="AO498" s="77"/>
      <c r="AP498" s="77"/>
      <c r="AQ498" s="77" t="s">
        <v>4040</v>
      </c>
      <c r="AR498" s="77"/>
      <c r="AS498" s="77"/>
      <c r="AT498" s="77"/>
      <c r="AU498" s="77"/>
      <c r="AV498" s="80" t="str">
        <f>HYPERLINK("https://pbs.twimg.com/media/DNEODRDUEAAsYd7.jpg")</f>
        <v>https://pbs.twimg.com/media/DNEODRDUEAAsYd7.jpg</v>
      </c>
      <c r="AW498" s="81" t="s">
        <v>4874</v>
      </c>
      <c r="AX498" s="81" t="s">
        <v>4874</v>
      </c>
      <c r="AY498" s="77"/>
      <c r="AZ498" s="81" t="s">
        <v>5773</v>
      </c>
      <c r="BA498" s="81" t="s">
        <v>5773</v>
      </c>
      <c r="BB498" s="81" t="s">
        <v>5773</v>
      </c>
      <c r="BC498" s="81" t="s">
        <v>4874</v>
      </c>
      <c r="BD498" s="81" t="s">
        <v>5819</v>
      </c>
      <c r="BE498" s="77"/>
      <c r="BF498" s="77"/>
      <c r="BG498" s="77"/>
      <c r="BH498" s="77"/>
      <c r="BI498" s="77"/>
    </row>
    <row r="499" spans="1:61" ht="15">
      <c r="A499" s="62" t="s">
        <v>369</v>
      </c>
      <c r="B499" s="62" t="s">
        <v>369</v>
      </c>
      <c r="C499" s="63"/>
      <c r="D499" s="64"/>
      <c r="E499" s="65"/>
      <c r="F499" s="66"/>
      <c r="G499" s="63"/>
      <c r="H499" s="67"/>
      <c r="I499" s="68"/>
      <c r="J499" s="68"/>
      <c r="K499" s="32" t="s">
        <v>65</v>
      </c>
      <c r="L499" s="75">
        <v>499</v>
      </c>
      <c r="M499" s="75"/>
      <c r="N499" s="70"/>
      <c r="O499" s="77" t="s">
        <v>179</v>
      </c>
      <c r="P499" s="79">
        <v>43034.53984953704</v>
      </c>
      <c r="Q499" s="77" t="s">
        <v>939</v>
      </c>
      <c r="R499" s="77">
        <v>0</v>
      </c>
      <c r="S499" s="77">
        <v>0</v>
      </c>
      <c r="T499" s="77">
        <v>0</v>
      </c>
      <c r="U499" s="77">
        <v>0</v>
      </c>
      <c r="V499" s="77"/>
      <c r="W499" s="81" t="s">
        <v>1814</v>
      </c>
      <c r="X499" s="80" t="str">
        <f>HYPERLINK("https://www.inovies.com/technical-writing/hiring-content-writer")</f>
        <v>https://www.inovies.com/technical-writing/hiring-content-writer</v>
      </c>
      <c r="Y499" s="77" t="s">
        <v>1982</v>
      </c>
      <c r="Z499" s="77"/>
      <c r="AA499" s="77" t="s">
        <v>2226</v>
      </c>
      <c r="AB499" s="77" t="s">
        <v>2696</v>
      </c>
      <c r="AC499" s="81" t="s">
        <v>2705</v>
      </c>
      <c r="AD499" s="77" t="s">
        <v>2751</v>
      </c>
      <c r="AE499" s="80" t="str">
        <f>HYPERLINK("https://twitter.com/suryakotianu/status/923534021727961088")</f>
        <v>https://twitter.com/suryakotianu/status/923534021727961088</v>
      </c>
      <c r="AF499" s="79">
        <v>43034.53984953704</v>
      </c>
      <c r="AG499" s="85">
        <v>43034</v>
      </c>
      <c r="AH499" s="81" t="s">
        <v>3129</v>
      </c>
      <c r="AI499" s="77" t="b">
        <v>0</v>
      </c>
      <c r="AJ499" s="77"/>
      <c r="AK499" s="77"/>
      <c r="AL499" s="77"/>
      <c r="AM499" s="77"/>
      <c r="AN499" s="77"/>
      <c r="AO499" s="77"/>
      <c r="AP499" s="77"/>
      <c r="AQ499" s="77" t="s">
        <v>4041</v>
      </c>
      <c r="AR499" s="77"/>
      <c r="AS499" s="77"/>
      <c r="AT499" s="77"/>
      <c r="AU499" s="77"/>
      <c r="AV499" s="80" t="str">
        <f>HYPERLINK("https://pbs.twimg.com/media/DNENQM8VoAAbzAW.jpg")</f>
        <v>https://pbs.twimg.com/media/DNENQM8VoAAbzAW.jpg</v>
      </c>
      <c r="AW499" s="81" t="s">
        <v>4875</v>
      </c>
      <c r="AX499" s="81" t="s">
        <v>4875</v>
      </c>
      <c r="AY499" s="77"/>
      <c r="AZ499" s="81" t="s">
        <v>5773</v>
      </c>
      <c r="BA499" s="81" t="s">
        <v>5773</v>
      </c>
      <c r="BB499" s="81" t="s">
        <v>5773</v>
      </c>
      <c r="BC499" s="81" t="s">
        <v>4875</v>
      </c>
      <c r="BD499" s="81" t="s">
        <v>5819</v>
      </c>
      <c r="BE499" s="77"/>
      <c r="BF499" s="77"/>
      <c r="BG499" s="77"/>
      <c r="BH499" s="77"/>
      <c r="BI499" s="77"/>
    </row>
    <row r="500" spans="1:61" ht="15">
      <c r="A500" s="62" t="s">
        <v>369</v>
      </c>
      <c r="B500" s="62" t="s">
        <v>369</v>
      </c>
      <c r="C500" s="63"/>
      <c r="D500" s="64"/>
      <c r="E500" s="65"/>
      <c r="F500" s="66"/>
      <c r="G500" s="63"/>
      <c r="H500" s="67"/>
      <c r="I500" s="68"/>
      <c r="J500" s="68"/>
      <c r="K500" s="32" t="s">
        <v>65</v>
      </c>
      <c r="L500" s="75">
        <v>500</v>
      </c>
      <c r="M500" s="75"/>
      <c r="N500" s="70"/>
      <c r="O500" s="77" t="s">
        <v>179</v>
      </c>
      <c r="P500" s="79">
        <v>43034.53853009259</v>
      </c>
      <c r="Q500" s="77" t="s">
        <v>940</v>
      </c>
      <c r="R500" s="77">
        <v>0</v>
      </c>
      <c r="S500" s="77">
        <v>0</v>
      </c>
      <c r="T500" s="77">
        <v>0</v>
      </c>
      <c r="U500" s="77">
        <v>0</v>
      </c>
      <c r="V500" s="77"/>
      <c r="W500" s="81" t="s">
        <v>1815</v>
      </c>
      <c r="X500" s="80" t="str">
        <f>HYPERLINK("https://www.inovies.com/technical-writing/pre-sales-sales-marketing-communication-company")</f>
        <v>https://www.inovies.com/technical-writing/pre-sales-sales-marketing-communication-company</v>
      </c>
      <c r="Y500" s="77" t="s">
        <v>1982</v>
      </c>
      <c r="Z500" s="77"/>
      <c r="AA500" s="77" t="s">
        <v>2227</v>
      </c>
      <c r="AB500" s="77" t="s">
        <v>2696</v>
      </c>
      <c r="AC500" s="81" t="s">
        <v>2705</v>
      </c>
      <c r="AD500" s="77" t="s">
        <v>2751</v>
      </c>
      <c r="AE500" s="80" t="str">
        <f>HYPERLINK("https://twitter.com/suryakotianu/status/923533543820574720")</f>
        <v>https://twitter.com/suryakotianu/status/923533543820574720</v>
      </c>
      <c r="AF500" s="79">
        <v>43034.53853009259</v>
      </c>
      <c r="AG500" s="85">
        <v>43034</v>
      </c>
      <c r="AH500" s="81" t="s">
        <v>3130</v>
      </c>
      <c r="AI500" s="77" t="b">
        <v>0</v>
      </c>
      <c r="AJ500" s="77"/>
      <c r="AK500" s="77"/>
      <c r="AL500" s="77"/>
      <c r="AM500" s="77"/>
      <c r="AN500" s="77"/>
      <c r="AO500" s="77"/>
      <c r="AP500" s="77"/>
      <c r="AQ500" s="77" t="s">
        <v>4042</v>
      </c>
      <c r="AR500" s="77"/>
      <c r="AS500" s="77"/>
      <c r="AT500" s="77"/>
      <c r="AU500" s="77"/>
      <c r="AV500" s="80" t="str">
        <f>HYPERLINK("https://pbs.twimg.com/media/DNEMvIEUIAA88qF.jpg")</f>
        <v>https://pbs.twimg.com/media/DNEMvIEUIAA88qF.jpg</v>
      </c>
      <c r="AW500" s="81" t="s">
        <v>4876</v>
      </c>
      <c r="AX500" s="81" t="s">
        <v>4876</v>
      </c>
      <c r="AY500" s="77"/>
      <c r="AZ500" s="81" t="s">
        <v>5773</v>
      </c>
      <c r="BA500" s="81" t="s">
        <v>5773</v>
      </c>
      <c r="BB500" s="81" t="s">
        <v>5773</v>
      </c>
      <c r="BC500" s="81" t="s">
        <v>4876</v>
      </c>
      <c r="BD500" s="81" t="s">
        <v>5819</v>
      </c>
      <c r="BE500" s="77"/>
      <c r="BF500" s="77"/>
      <c r="BG500" s="77"/>
      <c r="BH500" s="77"/>
      <c r="BI500" s="77"/>
    </row>
    <row r="501" spans="1:61" ht="15">
      <c r="A501" s="62" t="s">
        <v>369</v>
      </c>
      <c r="B501" s="62" t="s">
        <v>369</v>
      </c>
      <c r="C501" s="63"/>
      <c r="D501" s="64"/>
      <c r="E501" s="65"/>
      <c r="F501" s="66"/>
      <c r="G501" s="63"/>
      <c r="H501" s="67"/>
      <c r="I501" s="68"/>
      <c r="J501" s="68"/>
      <c r="K501" s="32" t="s">
        <v>65</v>
      </c>
      <c r="L501" s="75">
        <v>501</v>
      </c>
      <c r="M501" s="75"/>
      <c r="N501" s="70"/>
      <c r="O501" s="77" t="s">
        <v>179</v>
      </c>
      <c r="P501" s="79">
        <v>43034.53445601852</v>
      </c>
      <c r="Q501" s="77" t="s">
        <v>941</v>
      </c>
      <c r="R501" s="77">
        <v>0</v>
      </c>
      <c r="S501" s="77">
        <v>0</v>
      </c>
      <c r="T501" s="77">
        <v>0</v>
      </c>
      <c r="U501" s="77">
        <v>0</v>
      </c>
      <c r="V501" s="77"/>
      <c r="W501" s="81" t="s">
        <v>1816</v>
      </c>
      <c r="X501" s="80" t="str">
        <f>HYPERLINK("https://www.inovies.com/technical-writing/training-materials-company")</f>
        <v>https://www.inovies.com/technical-writing/training-materials-company</v>
      </c>
      <c r="Y501" s="77" t="s">
        <v>1982</v>
      </c>
      <c r="Z501" s="77"/>
      <c r="AA501" s="77" t="s">
        <v>2228</v>
      </c>
      <c r="AB501" s="77" t="s">
        <v>2696</v>
      </c>
      <c r="AC501" s="81" t="s">
        <v>2705</v>
      </c>
      <c r="AD501" s="77" t="s">
        <v>2751</v>
      </c>
      <c r="AE501" s="80" t="str">
        <f>HYPERLINK("https://twitter.com/suryakotianu/status/923532067043815425")</f>
        <v>https://twitter.com/suryakotianu/status/923532067043815425</v>
      </c>
      <c r="AF501" s="79">
        <v>43034.53445601852</v>
      </c>
      <c r="AG501" s="85">
        <v>43034</v>
      </c>
      <c r="AH501" s="81" t="s">
        <v>3131</v>
      </c>
      <c r="AI501" s="77" t="b">
        <v>0</v>
      </c>
      <c r="AJ501" s="77"/>
      <c r="AK501" s="77"/>
      <c r="AL501" s="77"/>
      <c r="AM501" s="77"/>
      <c r="AN501" s="77"/>
      <c r="AO501" s="77"/>
      <c r="AP501" s="77"/>
      <c r="AQ501" s="77" t="s">
        <v>4043</v>
      </c>
      <c r="AR501" s="77"/>
      <c r="AS501" s="77"/>
      <c r="AT501" s="77"/>
      <c r="AU501" s="77"/>
      <c r="AV501" s="80" t="str">
        <f>HYPERLINK("https://pbs.twimg.com/media/DNELgWlUEAAeWnu.jpg")</f>
        <v>https://pbs.twimg.com/media/DNELgWlUEAAeWnu.jpg</v>
      </c>
      <c r="AW501" s="81" t="s">
        <v>4877</v>
      </c>
      <c r="AX501" s="81" t="s">
        <v>4877</v>
      </c>
      <c r="AY501" s="77"/>
      <c r="AZ501" s="81" t="s">
        <v>5773</v>
      </c>
      <c r="BA501" s="81" t="s">
        <v>5773</v>
      </c>
      <c r="BB501" s="81" t="s">
        <v>5773</v>
      </c>
      <c r="BC501" s="81" t="s">
        <v>4877</v>
      </c>
      <c r="BD501" s="81" t="s">
        <v>5819</v>
      </c>
      <c r="BE501" s="77"/>
      <c r="BF501" s="77"/>
      <c r="BG501" s="77"/>
      <c r="BH501" s="77"/>
      <c r="BI501" s="77"/>
    </row>
    <row r="502" spans="1:61" ht="15">
      <c r="A502" s="62" t="s">
        <v>369</v>
      </c>
      <c r="B502" s="62" t="s">
        <v>369</v>
      </c>
      <c r="C502" s="63"/>
      <c r="D502" s="64"/>
      <c r="E502" s="65"/>
      <c r="F502" s="66"/>
      <c r="G502" s="63"/>
      <c r="H502" s="67"/>
      <c r="I502" s="68"/>
      <c r="J502" s="68"/>
      <c r="K502" s="32" t="s">
        <v>65</v>
      </c>
      <c r="L502" s="75">
        <v>502</v>
      </c>
      <c r="M502" s="75"/>
      <c r="N502" s="70"/>
      <c r="O502" s="77" t="s">
        <v>179</v>
      </c>
      <c r="P502" s="79">
        <v>43034.533159722225</v>
      </c>
      <c r="Q502" s="77" t="s">
        <v>942</v>
      </c>
      <c r="R502" s="77">
        <v>0</v>
      </c>
      <c r="S502" s="77">
        <v>0</v>
      </c>
      <c r="T502" s="77">
        <v>0</v>
      </c>
      <c r="U502" s="77">
        <v>0</v>
      </c>
      <c r="V502" s="77"/>
      <c r="W502" s="77"/>
      <c r="X502" s="80" t="str">
        <f>HYPERLINK("https://www.inovies.com/technical-writing/software-project-documentation-company")</f>
        <v>https://www.inovies.com/technical-writing/software-project-documentation-company</v>
      </c>
      <c r="Y502" s="77" t="s">
        <v>1982</v>
      </c>
      <c r="Z502" s="77"/>
      <c r="AA502" s="77" t="s">
        <v>2229</v>
      </c>
      <c r="AB502" s="77" t="s">
        <v>2696</v>
      </c>
      <c r="AC502" s="81" t="s">
        <v>2705</v>
      </c>
      <c r="AD502" s="77" t="s">
        <v>2751</v>
      </c>
      <c r="AE502" s="80" t="str">
        <f>HYPERLINK("https://twitter.com/suryakotianu/status/923531597839679488")</f>
        <v>https://twitter.com/suryakotianu/status/923531597839679488</v>
      </c>
      <c r="AF502" s="79">
        <v>43034.533159722225</v>
      </c>
      <c r="AG502" s="85">
        <v>43034</v>
      </c>
      <c r="AH502" s="81" t="s">
        <v>3132</v>
      </c>
      <c r="AI502" s="77" t="b">
        <v>0</v>
      </c>
      <c r="AJ502" s="77"/>
      <c r="AK502" s="77"/>
      <c r="AL502" s="77"/>
      <c r="AM502" s="77"/>
      <c r="AN502" s="77"/>
      <c r="AO502" s="77"/>
      <c r="AP502" s="77"/>
      <c r="AQ502" s="77" t="s">
        <v>4044</v>
      </c>
      <c r="AR502" s="77"/>
      <c r="AS502" s="77"/>
      <c r="AT502" s="77"/>
      <c r="AU502" s="77"/>
      <c r="AV502" s="80" t="str">
        <f>HYPERLINK("https://pbs.twimg.com/media/DNEK_z2U8AENymT.jpg")</f>
        <v>https://pbs.twimg.com/media/DNEK_z2U8AENymT.jpg</v>
      </c>
      <c r="AW502" s="81" t="s">
        <v>4878</v>
      </c>
      <c r="AX502" s="81" t="s">
        <v>4878</v>
      </c>
      <c r="AY502" s="77"/>
      <c r="AZ502" s="81" t="s">
        <v>5773</v>
      </c>
      <c r="BA502" s="81" t="s">
        <v>5773</v>
      </c>
      <c r="BB502" s="81" t="s">
        <v>5773</v>
      </c>
      <c r="BC502" s="81" t="s">
        <v>4878</v>
      </c>
      <c r="BD502" s="81" t="s">
        <v>5819</v>
      </c>
      <c r="BE502" s="77"/>
      <c r="BF502" s="77"/>
      <c r="BG502" s="77"/>
      <c r="BH502" s="77"/>
      <c r="BI502" s="77"/>
    </row>
    <row r="503" spans="1:61" ht="15">
      <c r="A503" s="62" t="s">
        <v>369</v>
      </c>
      <c r="B503" s="62" t="s">
        <v>369</v>
      </c>
      <c r="C503" s="63"/>
      <c r="D503" s="64"/>
      <c r="E503" s="65"/>
      <c r="F503" s="66"/>
      <c r="G503" s="63"/>
      <c r="H503" s="67"/>
      <c r="I503" s="68"/>
      <c r="J503" s="68"/>
      <c r="K503" s="32" t="s">
        <v>65</v>
      </c>
      <c r="L503" s="75">
        <v>503</v>
      </c>
      <c r="M503" s="75"/>
      <c r="N503" s="70"/>
      <c r="O503" s="77" t="s">
        <v>179</v>
      </c>
      <c r="P503" s="79">
        <v>43034.520578703705</v>
      </c>
      <c r="Q503" s="77" t="s">
        <v>943</v>
      </c>
      <c r="R503" s="77">
        <v>0</v>
      </c>
      <c r="S503" s="77">
        <v>0</v>
      </c>
      <c r="T503" s="77">
        <v>0</v>
      </c>
      <c r="U503" s="77">
        <v>0</v>
      </c>
      <c r="V503" s="77"/>
      <c r="W503" s="81" t="s">
        <v>1817</v>
      </c>
      <c r="X503" s="80" t="str">
        <f>HYPERLINK("https://www.inovies.com/technical-writing/website-content-company")</f>
        <v>https://www.inovies.com/technical-writing/website-content-company</v>
      </c>
      <c r="Y503" s="77" t="s">
        <v>1982</v>
      </c>
      <c r="Z503" s="77"/>
      <c r="AA503" s="77" t="s">
        <v>2230</v>
      </c>
      <c r="AB503" s="77" t="s">
        <v>2696</v>
      </c>
      <c r="AC503" s="81" t="s">
        <v>2705</v>
      </c>
      <c r="AD503" s="77" t="s">
        <v>2751</v>
      </c>
      <c r="AE503" s="80" t="str">
        <f>HYPERLINK("https://twitter.com/suryakotianu/status/923527034734764033")</f>
        <v>https://twitter.com/suryakotianu/status/923527034734764033</v>
      </c>
      <c r="AF503" s="79">
        <v>43034.520578703705</v>
      </c>
      <c r="AG503" s="85">
        <v>43034</v>
      </c>
      <c r="AH503" s="81" t="s">
        <v>3133</v>
      </c>
      <c r="AI503" s="77" t="b">
        <v>0</v>
      </c>
      <c r="AJ503" s="77"/>
      <c r="AK503" s="77"/>
      <c r="AL503" s="77"/>
      <c r="AM503" s="77"/>
      <c r="AN503" s="77"/>
      <c r="AO503" s="77"/>
      <c r="AP503" s="77"/>
      <c r="AQ503" s="77" t="s">
        <v>4045</v>
      </c>
      <c r="AR503" s="77"/>
      <c r="AS503" s="77"/>
      <c r="AT503" s="77"/>
      <c r="AU503" s="77"/>
      <c r="AV503" s="80" t="str">
        <f>HYPERLINK("https://pbs.twimg.com/media/DNEG7qMVAAAKpTB.jpg")</f>
        <v>https://pbs.twimg.com/media/DNEG7qMVAAAKpTB.jpg</v>
      </c>
      <c r="AW503" s="81" t="s">
        <v>4879</v>
      </c>
      <c r="AX503" s="81" t="s">
        <v>4879</v>
      </c>
      <c r="AY503" s="77"/>
      <c r="AZ503" s="81" t="s">
        <v>5773</v>
      </c>
      <c r="BA503" s="81" t="s">
        <v>5773</v>
      </c>
      <c r="BB503" s="81" t="s">
        <v>5773</v>
      </c>
      <c r="BC503" s="81" t="s">
        <v>4879</v>
      </c>
      <c r="BD503" s="81" t="s">
        <v>5819</v>
      </c>
      <c r="BE503" s="77"/>
      <c r="BF503" s="77"/>
      <c r="BG503" s="77"/>
      <c r="BH503" s="77"/>
      <c r="BI503" s="77"/>
    </row>
    <row r="504" spans="1:61" ht="15">
      <c r="A504" s="62" t="s">
        <v>369</v>
      </c>
      <c r="B504" s="62" t="s">
        <v>369</v>
      </c>
      <c r="C504" s="63"/>
      <c r="D504" s="64"/>
      <c r="E504" s="65"/>
      <c r="F504" s="66"/>
      <c r="G504" s="63"/>
      <c r="H504" s="67"/>
      <c r="I504" s="68"/>
      <c r="J504" s="68"/>
      <c r="K504" s="32" t="s">
        <v>65</v>
      </c>
      <c r="L504" s="75">
        <v>504</v>
      </c>
      <c r="M504" s="75"/>
      <c r="N504" s="70"/>
      <c r="O504" s="77" t="s">
        <v>179</v>
      </c>
      <c r="P504" s="79">
        <v>42907.572060185186</v>
      </c>
      <c r="Q504" s="77" t="s">
        <v>944</v>
      </c>
      <c r="R504" s="77">
        <v>0</v>
      </c>
      <c r="S504" s="77">
        <v>0</v>
      </c>
      <c r="T504" s="77">
        <v>0</v>
      </c>
      <c r="U504" s="77">
        <v>0</v>
      </c>
      <c r="V504" s="77"/>
      <c r="W504" s="77"/>
      <c r="X504" s="80" t="str">
        <f>HYPERLINK("https://lnkd.in/f4vqnGA")</f>
        <v>https://lnkd.in/f4vqnGA</v>
      </c>
      <c r="Y504" s="77" t="s">
        <v>2013</v>
      </c>
      <c r="Z504" s="77"/>
      <c r="AA504" s="77"/>
      <c r="AB504" s="77"/>
      <c r="AC504" s="81" t="s">
        <v>2731</v>
      </c>
      <c r="AD504" s="77" t="s">
        <v>2751</v>
      </c>
      <c r="AE504" s="80" t="str">
        <f>HYPERLINK("https://twitter.com/suryakotianu/status/877522433976225792")</f>
        <v>https://twitter.com/suryakotianu/status/877522433976225792</v>
      </c>
      <c r="AF504" s="79">
        <v>42907.572060185186</v>
      </c>
      <c r="AG504" s="85">
        <v>42907</v>
      </c>
      <c r="AH504" s="81" t="s">
        <v>3134</v>
      </c>
      <c r="AI504" s="77" t="b">
        <v>0</v>
      </c>
      <c r="AJ504" s="77"/>
      <c r="AK504" s="77"/>
      <c r="AL504" s="77"/>
      <c r="AM504" s="77"/>
      <c r="AN504" s="77"/>
      <c r="AO504" s="77"/>
      <c r="AP504" s="77"/>
      <c r="AQ504" s="77"/>
      <c r="AR504" s="77"/>
      <c r="AS504" s="77"/>
      <c r="AT504" s="77"/>
      <c r="AU504" s="77"/>
      <c r="AV504" s="80" t="str">
        <f>HYPERLINK("https://pbs.twimg.com/profile_images/1402842160508981252/1dGsTHpA_normal.jpg")</f>
        <v>https://pbs.twimg.com/profile_images/1402842160508981252/1dGsTHpA_normal.jpg</v>
      </c>
      <c r="AW504" s="81" t="s">
        <v>4880</v>
      </c>
      <c r="AX504" s="81" t="s">
        <v>4880</v>
      </c>
      <c r="AY504" s="77"/>
      <c r="AZ504" s="81" t="s">
        <v>5773</v>
      </c>
      <c r="BA504" s="81" t="s">
        <v>5773</v>
      </c>
      <c r="BB504" s="81" t="s">
        <v>5773</v>
      </c>
      <c r="BC504" s="81" t="s">
        <v>4880</v>
      </c>
      <c r="BD504" s="81" t="s">
        <v>5819</v>
      </c>
      <c r="BE504" s="77"/>
      <c r="BF504" s="77"/>
      <c r="BG504" s="77"/>
      <c r="BH504" s="77"/>
      <c r="BI504" s="77"/>
    </row>
    <row r="505" spans="1:61" ht="15">
      <c r="A505" s="62" t="s">
        <v>369</v>
      </c>
      <c r="B505" s="62" t="s">
        <v>369</v>
      </c>
      <c r="C505" s="63"/>
      <c r="D505" s="64"/>
      <c r="E505" s="65"/>
      <c r="F505" s="66"/>
      <c r="G505" s="63"/>
      <c r="H505" s="67"/>
      <c r="I505" s="68"/>
      <c r="J505" s="68"/>
      <c r="K505" s="32" t="s">
        <v>65</v>
      </c>
      <c r="L505" s="75">
        <v>505</v>
      </c>
      <c r="M505" s="75"/>
      <c r="N505" s="70"/>
      <c r="O505" s="77" t="s">
        <v>179</v>
      </c>
      <c r="P505" s="79">
        <v>43034.51766203704</v>
      </c>
      <c r="Q505" s="77" t="s">
        <v>945</v>
      </c>
      <c r="R505" s="77">
        <v>0</v>
      </c>
      <c r="S505" s="77">
        <v>0</v>
      </c>
      <c r="T505" s="77">
        <v>0</v>
      </c>
      <c r="U505" s="77">
        <v>0</v>
      </c>
      <c r="V505" s="77"/>
      <c r="W505" s="81" t="s">
        <v>1818</v>
      </c>
      <c r="X505" s="80" t="str">
        <f>HYPERLINK("https://www.inovies.com/technical-writing/technical-documentaion-services-company")</f>
        <v>https://www.inovies.com/technical-writing/technical-documentaion-services-company</v>
      </c>
      <c r="Y505" s="77" t="s">
        <v>1982</v>
      </c>
      <c r="Z505" s="77"/>
      <c r="AA505" s="77" t="s">
        <v>2231</v>
      </c>
      <c r="AB505" s="77" t="s">
        <v>2696</v>
      </c>
      <c r="AC505" s="81" t="s">
        <v>2705</v>
      </c>
      <c r="AD505" s="77" t="s">
        <v>2751</v>
      </c>
      <c r="AE505" s="80" t="str">
        <f>HYPERLINK("https://twitter.com/suryakotianu/status/923525981066862592")</f>
        <v>https://twitter.com/suryakotianu/status/923525981066862592</v>
      </c>
      <c r="AF505" s="79">
        <v>43034.51766203704</v>
      </c>
      <c r="AG505" s="85">
        <v>43034</v>
      </c>
      <c r="AH505" s="81" t="s">
        <v>3135</v>
      </c>
      <c r="AI505" s="77" t="b">
        <v>0</v>
      </c>
      <c r="AJ505" s="77"/>
      <c r="AK505" s="77"/>
      <c r="AL505" s="77"/>
      <c r="AM505" s="77"/>
      <c r="AN505" s="77"/>
      <c r="AO505" s="77"/>
      <c r="AP505" s="77"/>
      <c r="AQ505" s="77" t="s">
        <v>4046</v>
      </c>
      <c r="AR505" s="77"/>
      <c r="AS505" s="77"/>
      <c r="AT505" s="77"/>
      <c r="AU505" s="77"/>
      <c r="AV505" s="80" t="str">
        <f>HYPERLINK("https://pbs.twimg.com/media/DNEF-VmU8AAB3Zt.jpg")</f>
        <v>https://pbs.twimg.com/media/DNEF-VmU8AAB3Zt.jpg</v>
      </c>
      <c r="AW505" s="81" t="s">
        <v>4881</v>
      </c>
      <c r="AX505" s="81" t="s">
        <v>4881</v>
      </c>
      <c r="AY505" s="77"/>
      <c r="AZ505" s="81" t="s">
        <v>5773</v>
      </c>
      <c r="BA505" s="81" t="s">
        <v>5773</v>
      </c>
      <c r="BB505" s="81" t="s">
        <v>5773</v>
      </c>
      <c r="BC505" s="81" t="s">
        <v>4881</v>
      </c>
      <c r="BD505" s="81" t="s">
        <v>5819</v>
      </c>
      <c r="BE505" s="77"/>
      <c r="BF505" s="77"/>
      <c r="BG505" s="77"/>
      <c r="BH505" s="77"/>
      <c r="BI505" s="77"/>
    </row>
    <row r="506" spans="1:61" ht="15">
      <c r="A506" s="62" t="s">
        <v>369</v>
      </c>
      <c r="B506" s="62" t="s">
        <v>369</v>
      </c>
      <c r="C506" s="63"/>
      <c r="D506" s="64"/>
      <c r="E506" s="65"/>
      <c r="F506" s="66"/>
      <c r="G506" s="63"/>
      <c r="H506" s="67"/>
      <c r="I506" s="68"/>
      <c r="J506" s="68"/>
      <c r="K506" s="32" t="s">
        <v>65</v>
      </c>
      <c r="L506" s="75">
        <v>506</v>
      </c>
      <c r="M506" s="75"/>
      <c r="N506" s="70"/>
      <c r="O506" s="77" t="s">
        <v>179</v>
      </c>
      <c r="P506" s="79">
        <v>43025.542337962965</v>
      </c>
      <c r="Q506" s="77" t="s">
        <v>946</v>
      </c>
      <c r="R506" s="77">
        <v>0</v>
      </c>
      <c r="S506" s="77">
        <v>0</v>
      </c>
      <c r="T506" s="77">
        <v>0</v>
      </c>
      <c r="U506" s="77">
        <v>0</v>
      </c>
      <c r="V506" s="77"/>
      <c r="W506" s="81" t="s">
        <v>1819</v>
      </c>
      <c r="X506" s="80" t="str">
        <f>HYPERLINK("https://goo.gl/Ub81aX")</f>
        <v>https://goo.gl/Ub81aX</v>
      </c>
      <c r="Y506" s="77" t="s">
        <v>1975</v>
      </c>
      <c r="Z506" s="77"/>
      <c r="AA506" s="77" t="s">
        <v>2232</v>
      </c>
      <c r="AB506" s="77" t="s">
        <v>2696</v>
      </c>
      <c r="AC506" s="81" t="s">
        <v>2705</v>
      </c>
      <c r="AD506" s="77" t="s">
        <v>2751</v>
      </c>
      <c r="AE506" s="80" t="str">
        <f>HYPERLINK("https://twitter.com/suryakotianu/status/920273430762594304")</f>
        <v>https://twitter.com/suryakotianu/status/920273430762594304</v>
      </c>
      <c r="AF506" s="79">
        <v>43025.542337962965</v>
      </c>
      <c r="AG506" s="85">
        <v>43025</v>
      </c>
      <c r="AH506" s="81" t="s">
        <v>3136</v>
      </c>
      <c r="AI506" s="77" t="b">
        <v>0</v>
      </c>
      <c r="AJ506" s="77" t="s">
        <v>3881</v>
      </c>
      <c r="AK506" s="77" t="s">
        <v>3889</v>
      </c>
      <c r="AL506" s="77" t="s">
        <v>3892</v>
      </c>
      <c r="AM506" s="77" t="s">
        <v>3895</v>
      </c>
      <c r="AN506" s="77" t="s">
        <v>3902</v>
      </c>
      <c r="AO506" s="77" t="s">
        <v>3910</v>
      </c>
      <c r="AP506" s="77" t="s">
        <v>3917</v>
      </c>
      <c r="AQ506" s="77" t="s">
        <v>4047</v>
      </c>
      <c r="AR506" s="77"/>
      <c r="AS506" s="77"/>
      <c r="AT506" s="77"/>
      <c r="AU506" s="77"/>
      <c r="AV506" s="80" t="str">
        <f>HYPERLINK("https://pbs.twimg.com/media/DMV3y63UEAENpAa.jpg")</f>
        <v>https://pbs.twimg.com/media/DMV3y63UEAENpAa.jpg</v>
      </c>
      <c r="AW506" s="81" t="s">
        <v>4882</v>
      </c>
      <c r="AX506" s="81" t="s">
        <v>4882</v>
      </c>
      <c r="AY506" s="77"/>
      <c r="AZ506" s="81" t="s">
        <v>5773</v>
      </c>
      <c r="BA506" s="81" t="s">
        <v>5773</v>
      </c>
      <c r="BB506" s="81" t="s">
        <v>5773</v>
      </c>
      <c r="BC506" s="81" t="s">
        <v>4882</v>
      </c>
      <c r="BD506" s="81" t="s">
        <v>5819</v>
      </c>
      <c r="BE506" s="77"/>
      <c r="BF506" s="77"/>
      <c r="BG506" s="77"/>
      <c r="BH506" s="77"/>
      <c r="BI506" s="77"/>
    </row>
    <row r="507" spans="1:61" ht="15">
      <c r="A507" s="62" t="s">
        <v>369</v>
      </c>
      <c r="B507" s="62" t="s">
        <v>369</v>
      </c>
      <c r="C507" s="63"/>
      <c r="D507" s="64"/>
      <c r="E507" s="65"/>
      <c r="F507" s="66"/>
      <c r="G507" s="63"/>
      <c r="H507" s="67"/>
      <c r="I507" s="68"/>
      <c r="J507" s="68"/>
      <c r="K507" s="32" t="s">
        <v>65</v>
      </c>
      <c r="L507" s="75">
        <v>507</v>
      </c>
      <c r="M507" s="75"/>
      <c r="N507" s="70"/>
      <c r="O507" s="77" t="s">
        <v>179</v>
      </c>
      <c r="P507" s="79">
        <v>42898.26519675926</v>
      </c>
      <c r="Q507" s="77" t="s">
        <v>947</v>
      </c>
      <c r="R507" s="77">
        <v>0</v>
      </c>
      <c r="S507" s="77">
        <v>0</v>
      </c>
      <c r="T507" s="77">
        <v>0</v>
      </c>
      <c r="U507" s="77">
        <v>0</v>
      </c>
      <c r="V507" s="77"/>
      <c r="W507" s="77"/>
      <c r="X507" s="80" t="str">
        <f>HYPERLINK("https://lnkd.in/fiiTprx")</f>
        <v>https://lnkd.in/fiiTprx</v>
      </c>
      <c r="Y507" s="77" t="s">
        <v>2013</v>
      </c>
      <c r="Z507" s="77"/>
      <c r="AA507" s="77"/>
      <c r="AB507" s="77"/>
      <c r="AC507" s="81" t="s">
        <v>2731</v>
      </c>
      <c r="AD507" s="77" t="s">
        <v>2751</v>
      </c>
      <c r="AE507" s="80" t="str">
        <f>HYPERLINK("https://twitter.com/suryakotianu/status/874149738010030080")</f>
        <v>https://twitter.com/suryakotianu/status/874149738010030080</v>
      </c>
      <c r="AF507" s="79">
        <v>42898.26519675926</v>
      </c>
      <c r="AG507" s="85">
        <v>42898</v>
      </c>
      <c r="AH507" s="81" t="s">
        <v>3137</v>
      </c>
      <c r="AI507" s="77" t="b">
        <v>0</v>
      </c>
      <c r="AJ507" s="77"/>
      <c r="AK507" s="77"/>
      <c r="AL507" s="77"/>
      <c r="AM507" s="77"/>
      <c r="AN507" s="77"/>
      <c r="AO507" s="77"/>
      <c r="AP507" s="77"/>
      <c r="AQ507" s="77"/>
      <c r="AR507" s="77"/>
      <c r="AS507" s="77"/>
      <c r="AT507" s="77"/>
      <c r="AU507" s="77"/>
      <c r="AV507" s="80" t="str">
        <f>HYPERLINK("https://pbs.twimg.com/profile_images/1402842160508981252/1dGsTHpA_normal.jpg")</f>
        <v>https://pbs.twimg.com/profile_images/1402842160508981252/1dGsTHpA_normal.jpg</v>
      </c>
      <c r="AW507" s="81" t="s">
        <v>4883</v>
      </c>
      <c r="AX507" s="81" t="s">
        <v>4883</v>
      </c>
      <c r="AY507" s="77"/>
      <c r="AZ507" s="81" t="s">
        <v>5773</v>
      </c>
      <c r="BA507" s="81" t="s">
        <v>5773</v>
      </c>
      <c r="BB507" s="81" t="s">
        <v>5773</v>
      </c>
      <c r="BC507" s="81" t="s">
        <v>4883</v>
      </c>
      <c r="BD507" s="81" t="s">
        <v>5819</v>
      </c>
      <c r="BE507" s="77"/>
      <c r="BF507" s="77"/>
      <c r="BG507" s="77"/>
      <c r="BH507" s="77"/>
      <c r="BI507" s="77"/>
    </row>
    <row r="508" spans="1:61" ht="15">
      <c r="A508" s="62" t="s">
        <v>369</v>
      </c>
      <c r="B508" s="62" t="s">
        <v>369</v>
      </c>
      <c r="C508" s="63"/>
      <c r="D508" s="64"/>
      <c r="E508" s="65"/>
      <c r="F508" s="66"/>
      <c r="G508" s="63"/>
      <c r="H508" s="67"/>
      <c r="I508" s="68"/>
      <c r="J508" s="68"/>
      <c r="K508" s="32" t="s">
        <v>65</v>
      </c>
      <c r="L508" s="75">
        <v>508</v>
      </c>
      <c r="M508" s="75"/>
      <c r="N508" s="70"/>
      <c r="O508" s="77" t="s">
        <v>179</v>
      </c>
      <c r="P508" s="79">
        <v>42895.25440972222</v>
      </c>
      <c r="Q508" s="77" t="s">
        <v>948</v>
      </c>
      <c r="R508" s="77">
        <v>0</v>
      </c>
      <c r="S508" s="77">
        <v>0</v>
      </c>
      <c r="T508" s="77">
        <v>0</v>
      </c>
      <c r="U508" s="77">
        <v>0</v>
      </c>
      <c r="V508" s="77"/>
      <c r="W508" s="77"/>
      <c r="X508" s="80" t="str">
        <f>HYPERLINK("https://lnkd.in/fSrFZgS")</f>
        <v>https://lnkd.in/fSrFZgS</v>
      </c>
      <c r="Y508" s="77" t="s">
        <v>2013</v>
      </c>
      <c r="Z508" s="77"/>
      <c r="AA508" s="77"/>
      <c r="AB508" s="77"/>
      <c r="AC508" s="81" t="s">
        <v>2731</v>
      </c>
      <c r="AD508" s="77" t="s">
        <v>2751</v>
      </c>
      <c r="AE508" s="80" t="str">
        <f>HYPERLINK("https://twitter.com/suryakotianu/status/873058664885637120")</f>
        <v>https://twitter.com/suryakotianu/status/873058664885637120</v>
      </c>
      <c r="AF508" s="79">
        <v>42895.25440972222</v>
      </c>
      <c r="AG508" s="85">
        <v>42895</v>
      </c>
      <c r="AH508" s="81" t="s">
        <v>3138</v>
      </c>
      <c r="AI508" s="77" t="b">
        <v>0</v>
      </c>
      <c r="AJ508" s="77"/>
      <c r="AK508" s="77"/>
      <c r="AL508" s="77"/>
      <c r="AM508" s="77"/>
      <c r="AN508" s="77"/>
      <c r="AO508" s="77"/>
      <c r="AP508" s="77"/>
      <c r="AQ508" s="77"/>
      <c r="AR508" s="77"/>
      <c r="AS508" s="77"/>
      <c r="AT508" s="77"/>
      <c r="AU508" s="77"/>
      <c r="AV508" s="80" t="str">
        <f>HYPERLINK("https://pbs.twimg.com/profile_images/1402842160508981252/1dGsTHpA_normal.jpg")</f>
        <v>https://pbs.twimg.com/profile_images/1402842160508981252/1dGsTHpA_normal.jpg</v>
      </c>
      <c r="AW508" s="81" t="s">
        <v>4884</v>
      </c>
      <c r="AX508" s="81" t="s">
        <v>4884</v>
      </c>
      <c r="AY508" s="77"/>
      <c r="AZ508" s="81" t="s">
        <v>5773</v>
      </c>
      <c r="BA508" s="81" t="s">
        <v>5773</v>
      </c>
      <c r="BB508" s="81" t="s">
        <v>5773</v>
      </c>
      <c r="BC508" s="81" t="s">
        <v>4884</v>
      </c>
      <c r="BD508" s="81" t="s">
        <v>5819</v>
      </c>
      <c r="BE508" s="77"/>
      <c r="BF508" s="77"/>
      <c r="BG508" s="77"/>
      <c r="BH508" s="77"/>
      <c r="BI508" s="77"/>
    </row>
    <row r="509" spans="1:61" ht="15">
      <c r="A509" s="62" t="s">
        <v>369</v>
      </c>
      <c r="B509" s="62" t="s">
        <v>369</v>
      </c>
      <c r="C509" s="63"/>
      <c r="D509" s="64"/>
      <c r="E509" s="65"/>
      <c r="F509" s="66"/>
      <c r="G509" s="63"/>
      <c r="H509" s="67"/>
      <c r="I509" s="68"/>
      <c r="J509" s="68"/>
      <c r="K509" s="32" t="s">
        <v>65</v>
      </c>
      <c r="L509" s="75">
        <v>509</v>
      </c>
      <c r="M509" s="75"/>
      <c r="N509" s="70"/>
      <c r="O509" s="77" t="s">
        <v>179</v>
      </c>
      <c r="P509" s="79">
        <v>42893.21748842593</v>
      </c>
      <c r="Q509" s="77" t="s">
        <v>949</v>
      </c>
      <c r="R509" s="77">
        <v>0</v>
      </c>
      <c r="S509" s="77">
        <v>0</v>
      </c>
      <c r="T509" s="77">
        <v>0</v>
      </c>
      <c r="U509" s="77">
        <v>0</v>
      </c>
      <c r="V509" s="77"/>
      <c r="W509" s="77"/>
      <c r="X509" s="80" t="str">
        <f>HYPERLINK("https://goo.gl/Wo3F8H")</f>
        <v>https://goo.gl/Wo3F8H</v>
      </c>
      <c r="Y509" s="77" t="s">
        <v>1975</v>
      </c>
      <c r="Z509" s="77"/>
      <c r="AA509" s="77" t="s">
        <v>2233</v>
      </c>
      <c r="AB509" s="77" t="s">
        <v>2696</v>
      </c>
      <c r="AC509" s="81" t="s">
        <v>2705</v>
      </c>
      <c r="AD509" s="77" t="s">
        <v>2751</v>
      </c>
      <c r="AE509" s="80" t="str">
        <f>HYPERLINK("https://twitter.com/suryakotianu/status/872320511434477568")</f>
        <v>https://twitter.com/suryakotianu/status/872320511434477568</v>
      </c>
      <c r="AF509" s="79">
        <v>42893.21748842593</v>
      </c>
      <c r="AG509" s="85">
        <v>42893</v>
      </c>
      <c r="AH509" s="81" t="s">
        <v>3139</v>
      </c>
      <c r="AI509" s="77" t="b">
        <v>0</v>
      </c>
      <c r="AJ509" s="77"/>
      <c r="AK509" s="77"/>
      <c r="AL509" s="77"/>
      <c r="AM509" s="77"/>
      <c r="AN509" s="77"/>
      <c r="AO509" s="77"/>
      <c r="AP509" s="77"/>
      <c r="AQ509" s="77" t="s">
        <v>4048</v>
      </c>
      <c r="AR509" s="77"/>
      <c r="AS509" s="77"/>
      <c r="AT509" s="77"/>
      <c r="AU509" s="77"/>
      <c r="AV509" s="80" t="str">
        <f>HYPERLINK("https://pbs.twimg.com/media/DBsa34RXsAAqL-o.jpg")</f>
        <v>https://pbs.twimg.com/media/DBsa34RXsAAqL-o.jpg</v>
      </c>
      <c r="AW509" s="81" t="s">
        <v>4885</v>
      </c>
      <c r="AX509" s="81" t="s">
        <v>4885</v>
      </c>
      <c r="AY509" s="77"/>
      <c r="AZ509" s="81" t="s">
        <v>5773</v>
      </c>
      <c r="BA509" s="81" t="s">
        <v>5773</v>
      </c>
      <c r="BB509" s="81" t="s">
        <v>5773</v>
      </c>
      <c r="BC509" s="81" t="s">
        <v>4885</v>
      </c>
      <c r="BD509" s="81" t="s">
        <v>5819</v>
      </c>
      <c r="BE509" s="77"/>
      <c r="BF509" s="77"/>
      <c r="BG509" s="77"/>
      <c r="BH509" s="77"/>
      <c r="BI509" s="77"/>
    </row>
    <row r="510" spans="1:61" ht="15">
      <c r="A510" s="62" t="s">
        <v>369</v>
      </c>
      <c r="B510" s="62" t="s">
        <v>369</v>
      </c>
      <c r="C510" s="63"/>
      <c r="D510" s="64"/>
      <c r="E510" s="65"/>
      <c r="F510" s="66"/>
      <c r="G510" s="63"/>
      <c r="H510" s="67"/>
      <c r="I510" s="68"/>
      <c r="J510" s="68"/>
      <c r="K510" s="32" t="s">
        <v>65</v>
      </c>
      <c r="L510" s="75">
        <v>510</v>
      </c>
      <c r="M510" s="75"/>
      <c r="N510" s="70"/>
      <c r="O510" s="77" t="s">
        <v>179</v>
      </c>
      <c r="P510" s="79">
        <v>42891.305439814816</v>
      </c>
      <c r="Q510" s="77" t="s">
        <v>950</v>
      </c>
      <c r="R510" s="77">
        <v>0</v>
      </c>
      <c r="S510" s="77">
        <v>0</v>
      </c>
      <c r="T510" s="77">
        <v>0</v>
      </c>
      <c r="U510" s="77">
        <v>0</v>
      </c>
      <c r="V510" s="77"/>
      <c r="W510" s="77"/>
      <c r="X510" s="80" t="str">
        <f>HYPERLINK("https://lnkd.in/fQqPvh8")</f>
        <v>https://lnkd.in/fQqPvh8</v>
      </c>
      <c r="Y510" s="77" t="s">
        <v>2013</v>
      </c>
      <c r="Z510" s="77"/>
      <c r="AA510" s="77"/>
      <c r="AB510" s="77"/>
      <c r="AC510" s="81" t="s">
        <v>2731</v>
      </c>
      <c r="AD510" s="77" t="s">
        <v>2751</v>
      </c>
      <c r="AE510" s="80" t="str">
        <f>HYPERLINK("https://twitter.com/suryakotianu/status/871627607921524736")</f>
        <v>https://twitter.com/suryakotianu/status/871627607921524736</v>
      </c>
      <c r="AF510" s="79">
        <v>42891.305439814816</v>
      </c>
      <c r="AG510" s="85">
        <v>42891</v>
      </c>
      <c r="AH510" s="81" t="s">
        <v>3140</v>
      </c>
      <c r="AI510" s="77" t="b">
        <v>0</v>
      </c>
      <c r="AJ510" s="77"/>
      <c r="AK510" s="77"/>
      <c r="AL510" s="77"/>
      <c r="AM510" s="77"/>
      <c r="AN510" s="77"/>
      <c r="AO510" s="77"/>
      <c r="AP510" s="77"/>
      <c r="AQ510" s="77"/>
      <c r="AR510" s="77"/>
      <c r="AS510" s="77"/>
      <c r="AT510" s="77"/>
      <c r="AU510" s="77"/>
      <c r="AV510" s="80" t="str">
        <f>HYPERLINK("https://pbs.twimg.com/profile_images/1402842160508981252/1dGsTHpA_normal.jpg")</f>
        <v>https://pbs.twimg.com/profile_images/1402842160508981252/1dGsTHpA_normal.jpg</v>
      </c>
      <c r="AW510" s="81" t="s">
        <v>4886</v>
      </c>
      <c r="AX510" s="81" t="s">
        <v>4886</v>
      </c>
      <c r="AY510" s="77"/>
      <c r="AZ510" s="81" t="s">
        <v>5773</v>
      </c>
      <c r="BA510" s="81" t="s">
        <v>5773</v>
      </c>
      <c r="BB510" s="81" t="s">
        <v>5773</v>
      </c>
      <c r="BC510" s="81" t="s">
        <v>4886</v>
      </c>
      <c r="BD510" s="81" t="s">
        <v>5819</v>
      </c>
      <c r="BE510" s="77"/>
      <c r="BF510" s="77"/>
      <c r="BG510" s="77"/>
      <c r="BH510" s="77"/>
      <c r="BI510" s="77"/>
    </row>
    <row r="511" spans="1:61" ht="15">
      <c r="A511" s="62" t="s">
        <v>369</v>
      </c>
      <c r="B511" s="62" t="s">
        <v>369</v>
      </c>
      <c r="C511" s="63"/>
      <c r="D511" s="64"/>
      <c r="E511" s="65"/>
      <c r="F511" s="66"/>
      <c r="G511" s="63"/>
      <c r="H511" s="67"/>
      <c r="I511" s="68"/>
      <c r="J511" s="68"/>
      <c r="K511" s="32" t="s">
        <v>65</v>
      </c>
      <c r="L511" s="75">
        <v>511</v>
      </c>
      <c r="M511" s="75"/>
      <c r="N511" s="70"/>
      <c r="O511" s="77" t="s">
        <v>179</v>
      </c>
      <c r="P511" s="79">
        <v>42887.26075231482</v>
      </c>
      <c r="Q511" s="77" t="s">
        <v>951</v>
      </c>
      <c r="R511" s="77">
        <v>0</v>
      </c>
      <c r="S511" s="77">
        <v>0</v>
      </c>
      <c r="T511" s="77">
        <v>0</v>
      </c>
      <c r="U511" s="77">
        <v>0</v>
      </c>
      <c r="V511" s="77"/>
      <c r="W511" s="77"/>
      <c r="X511" s="80" t="str">
        <f>HYPERLINK("https://lnkd.in/f7h6tuw")</f>
        <v>https://lnkd.in/f7h6tuw</v>
      </c>
      <c r="Y511" s="77" t="s">
        <v>2013</v>
      </c>
      <c r="Z511" s="77"/>
      <c r="AA511" s="77"/>
      <c r="AB511" s="77"/>
      <c r="AC511" s="81" t="s">
        <v>2731</v>
      </c>
      <c r="AD511" s="77" t="s">
        <v>2751</v>
      </c>
      <c r="AE511" s="80" t="str">
        <f>HYPERLINK("https://twitter.com/suryakotianu/status/870161864583499776")</f>
        <v>https://twitter.com/suryakotianu/status/870161864583499776</v>
      </c>
      <c r="AF511" s="79">
        <v>42887.26075231482</v>
      </c>
      <c r="AG511" s="85">
        <v>42887</v>
      </c>
      <c r="AH511" s="81" t="s">
        <v>3141</v>
      </c>
      <c r="AI511" s="77" t="b">
        <v>0</v>
      </c>
      <c r="AJ511" s="77"/>
      <c r="AK511" s="77"/>
      <c r="AL511" s="77"/>
      <c r="AM511" s="77"/>
      <c r="AN511" s="77"/>
      <c r="AO511" s="77"/>
      <c r="AP511" s="77"/>
      <c r="AQ511" s="77"/>
      <c r="AR511" s="77"/>
      <c r="AS511" s="77"/>
      <c r="AT511" s="77"/>
      <c r="AU511" s="77"/>
      <c r="AV511" s="80" t="str">
        <f>HYPERLINK("https://pbs.twimg.com/profile_images/1402842160508981252/1dGsTHpA_normal.jpg")</f>
        <v>https://pbs.twimg.com/profile_images/1402842160508981252/1dGsTHpA_normal.jpg</v>
      </c>
      <c r="AW511" s="81" t="s">
        <v>4887</v>
      </c>
      <c r="AX511" s="81" t="s">
        <v>4887</v>
      </c>
      <c r="AY511" s="77"/>
      <c r="AZ511" s="81" t="s">
        <v>5773</v>
      </c>
      <c r="BA511" s="81" t="s">
        <v>5773</v>
      </c>
      <c r="BB511" s="81" t="s">
        <v>5773</v>
      </c>
      <c r="BC511" s="81" t="s">
        <v>4887</v>
      </c>
      <c r="BD511" s="81" t="s">
        <v>5819</v>
      </c>
      <c r="BE511" s="77"/>
      <c r="BF511" s="77"/>
      <c r="BG511" s="77"/>
      <c r="BH511" s="77"/>
      <c r="BI511" s="77"/>
    </row>
    <row r="512" spans="1:61" ht="15">
      <c r="A512" s="62" t="s">
        <v>369</v>
      </c>
      <c r="B512" s="62" t="s">
        <v>369</v>
      </c>
      <c r="C512" s="63"/>
      <c r="D512" s="64"/>
      <c r="E512" s="65"/>
      <c r="F512" s="66"/>
      <c r="G512" s="63"/>
      <c r="H512" s="67"/>
      <c r="I512" s="68"/>
      <c r="J512" s="68"/>
      <c r="K512" s="32" t="s">
        <v>65</v>
      </c>
      <c r="L512" s="75">
        <v>512</v>
      </c>
      <c r="M512" s="75"/>
      <c r="N512" s="70"/>
      <c r="O512" s="77" t="s">
        <v>179</v>
      </c>
      <c r="P512" s="79">
        <v>42885.27173611111</v>
      </c>
      <c r="Q512" s="77" t="s">
        <v>952</v>
      </c>
      <c r="R512" s="77">
        <v>0</v>
      </c>
      <c r="S512" s="77">
        <v>1</v>
      </c>
      <c r="T512" s="77">
        <v>0</v>
      </c>
      <c r="U512" s="77">
        <v>0</v>
      </c>
      <c r="V512" s="77"/>
      <c r="W512" s="77"/>
      <c r="X512" s="80" t="str">
        <f>HYPERLINK("https://goo.gl/dXXgsT")</f>
        <v>https://goo.gl/dXXgsT</v>
      </c>
      <c r="Y512" s="77" t="s">
        <v>1975</v>
      </c>
      <c r="Z512" s="77"/>
      <c r="AA512" s="77" t="s">
        <v>2234</v>
      </c>
      <c r="AB512" s="77" t="s">
        <v>2696</v>
      </c>
      <c r="AC512" s="81" t="s">
        <v>2705</v>
      </c>
      <c r="AD512" s="77" t="s">
        <v>2751</v>
      </c>
      <c r="AE512" s="80" t="str">
        <f>HYPERLINK("https://twitter.com/suryakotianu/status/869441066360905729")</f>
        <v>https://twitter.com/suryakotianu/status/869441066360905729</v>
      </c>
      <c r="AF512" s="79">
        <v>42885.27173611111</v>
      </c>
      <c r="AG512" s="85">
        <v>42885</v>
      </c>
      <c r="AH512" s="81" t="s">
        <v>3142</v>
      </c>
      <c r="AI512" s="77" t="b">
        <v>0</v>
      </c>
      <c r="AJ512" s="77"/>
      <c r="AK512" s="77"/>
      <c r="AL512" s="77"/>
      <c r="AM512" s="77"/>
      <c r="AN512" s="77"/>
      <c r="AO512" s="77"/>
      <c r="AP512" s="77"/>
      <c r="AQ512" s="77" t="s">
        <v>4049</v>
      </c>
      <c r="AR512" s="77"/>
      <c r="AS512" s="77"/>
      <c r="AT512" s="77"/>
      <c r="AU512" s="77"/>
      <c r="AV512" s="80" t="str">
        <f>HYPERLINK("https://pbs.twimg.com/media/DBDgB4pU0AAw6L2.jpg")</f>
        <v>https://pbs.twimg.com/media/DBDgB4pU0AAw6L2.jpg</v>
      </c>
      <c r="AW512" s="81" t="s">
        <v>4888</v>
      </c>
      <c r="AX512" s="81" t="s">
        <v>4888</v>
      </c>
      <c r="AY512" s="77"/>
      <c r="AZ512" s="81" t="s">
        <v>5773</v>
      </c>
      <c r="BA512" s="81" t="s">
        <v>5773</v>
      </c>
      <c r="BB512" s="81" t="s">
        <v>5773</v>
      </c>
      <c r="BC512" s="81" t="s">
        <v>4888</v>
      </c>
      <c r="BD512" s="81" t="s">
        <v>5819</v>
      </c>
      <c r="BE512" s="77"/>
      <c r="BF512" s="77"/>
      <c r="BG512" s="77"/>
      <c r="BH512" s="77"/>
      <c r="BI512" s="77"/>
    </row>
    <row r="513" spans="1:61" ht="15">
      <c r="A513" s="62" t="s">
        <v>369</v>
      </c>
      <c r="B513" s="62" t="s">
        <v>369</v>
      </c>
      <c r="C513" s="63"/>
      <c r="D513" s="64"/>
      <c r="E513" s="65"/>
      <c r="F513" s="66"/>
      <c r="G513" s="63"/>
      <c r="H513" s="67"/>
      <c r="I513" s="68"/>
      <c r="J513" s="68"/>
      <c r="K513" s="32" t="s">
        <v>65</v>
      </c>
      <c r="L513" s="75">
        <v>513</v>
      </c>
      <c r="M513" s="75"/>
      <c r="N513" s="70"/>
      <c r="O513" s="77" t="s">
        <v>179</v>
      </c>
      <c r="P513" s="79">
        <v>42885.2703125</v>
      </c>
      <c r="Q513" s="77" t="s">
        <v>953</v>
      </c>
      <c r="R513" s="77">
        <v>0</v>
      </c>
      <c r="S513" s="77">
        <v>2</v>
      </c>
      <c r="T513" s="77">
        <v>0</v>
      </c>
      <c r="U513" s="77">
        <v>0</v>
      </c>
      <c r="V513" s="77"/>
      <c r="W513" s="77"/>
      <c r="X513" s="80" t="str">
        <f>HYPERLINK("https://lnkd.in/fSjAfga")</f>
        <v>https://lnkd.in/fSjAfga</v>
      </c>
      <c r="Y513" s="77" t="s">
        <v>2013</v>
      </c>
      <c r="Z513" s="77"/>
      <c r="AA513" s="77"/>
      <c r="AB513" s="77"/>
      <c r="AC513" s="81" t="s">
        <v>2731</v>
      </c>
      <c r="AD513" s="77" t="s">
        <v>2751</v>
      </c>
      <c r="AE513" s="80" t="str">
        <f>HYPERLINK("https://twitter.com/suryakotianu/status/869440551065726976")</f>
        <v>https://twitter.com/suryakotianu/status/869440551065726976</v>
      </c>
      <c r="AF513" s="79">
        <v>42885.2703125</v>
      </c>
      <c r="AG513" s="85">
        <v>42885</v>
      </c>
      <c r="AH513" s="81" t="s">
        <v>3143</v>
      </c>
      <c r="AI513" s="77" t="b">
        <v>0</v>
      </c>
      <c r="AJ513" s="77"/>
      <c r="AK513" s="77"/>
      <c r="AL513" s="77"/>
      <c r="AM513" s="77"/>
      <c r="AN513" s="77"/>
      <c r="AO513" s="77"/>
      <c r="AP513" s="77"/>
      <c r="AQ513" s="77"/>
      <c r="AR513" s="77"/>
      <c r="AS513" s="77"/>
      <c r="AT513" s="77"/>
      <c r="AU513" s="77"/>
      <c r="AV513" s="80" t="str">
        <f>HYPERLINK("https://pbs.twimg.com/profile_images/1402842160508981252/1dGsTHpA_normal.jpg")</f>
        <v>https://pbs.twimg.com/profile_images/1402842160508981252/1dGsTHpA_normal.jpg</v>
      </c>
      <c r="AW513" s="81" t="s">
        <v>4889</v>
      </c>
      <c r="AX513" s="81" t="s">
        <v>4889</v>
      </c>
      <c r="AY513" s="77"/>
      <c r="AZ513" s="81" t="s">
        <v>5773</v>
      </c>
      <c r="BA513" s="81" t="s">
        <v>5773</v>
      </c>
      <c r="BB513" s="81" t="s">
        <v>5773</v>
      </c>
      <c r="BC513" s="81" t="s">
        <v>4889</v>
      </c>
      <c r="BD513" s="81" t="s">
        <v>5819</v>
      </c>
      <c r="BE513" s="77"/>
      <c r="BF513" s="77"/>
      <c r="BG513" s="77"/>
      <c r="BH513" s="77"/>
      <c r="BI513" s="77"/>
    </row>
    <row r="514" spans="1:61" ht="15">
      <c r="A514" s="62" t="s">
        <v>369</v>
      </c>
      <c r="B514" s="62" t="s">
        <v>369</v>
      </c>
      <c r="C514" s="63"/>
      <c r="D514" s="64"/>
      <c r="E514" s="65"/>
      <c r="F514" s="66"/>
      <c r="G514" s="63"/>
      <c r="H514" s="67"/>
      <c r="I514" s="68"/>
      <c r="J514" s="68"/>
      <c r="K514" s="32" t="s">
        <v>65</v>
      </c>
      <c r="L514" s="75">
        <v>514</v>
      </c>
      <c r="M514" s="75"/>
      <c r="N514" s="70"/>
      <c r="O514" s="77" t="s">
        <v>179</v>
      </c>
      <c r="P514" s="79">
        <v>42914.56386574074</v>
      </c>
      <c r="Q514" s="77" t="s">
        <v>954</v>
      </c>
      <c r="R514" s="77">
        <v>0</v>
      </c>
      <c r="S514" s="77">
        <v>0</v>
      </c>
      <c r="T514" s="77">
        <v>0</v>
      </c>
      <c r="U514" s="77">
        <v>0</v>
      </c>
      <c r="V514" s="77"/>
      <c r="W514" s="77"/>
      <c r="X514" s="80" t="str">
        <f>HYPERLINK("https://www.inovies.com/technical-writing/slogan-writing-tagline-writing-company")</f>
        <v>https://www.inovies.com/technical-writing/slogan-writing-tagline-writing-company</v>
      </c>
      <c r="Y514" s="77" t="s">
        <v>1982</v>
      </c>
      <c r="Z514" s="77"/>
      <c r="AA514" s="77" t="s">
        <v>2235</v>
      </c>
      <c r="AB514" s="77" t="s">
        <v>2696</v>
      </c>
      <c r="AC514" s="81" t="s">
        <v>2705</v>
      </c>
      <c r="AD514" s="77" t="s">
        <v>2751</v>
      </c>
      <c r="AE514" s="80" t="str">
        <f>HYPERLINK("https://twitter.com/suryakotianu/status/880056177723285504")</f>
        <v>https://twitter.com/suryakotianu/status/880056177723285504</v>
      </c>
      <c r="AF514" s="79">
        <v>42914.56386574074</v>
      </c>
      <c r="AG514" s="85">
        <v>42914</v>
      </c>
      <c r="AH514" s="81" t="s">
        <v>3144</v>
      </c>
      <c r="AI514" s="77" t="b">
        <v>0</v>
      </c>
      <c r="AJ514" s="77"/>
      <c r="AK514" s="77"/>
      <c r="AL514" s="77"/>
      <c r="AM514" s="77"/>
      <c r="AN514" s="77"/>
      <c r="AO514" s="77"/>
      <c r="AP514" s="77"/>
      <c r="AQ514" s="77" t="s">
        <v>4050</v>
      </c>
      <c r="AR514" s="77"/>
      <c r="AS514" s="77"/>
      <c r="AT514" s="77"/>
      <c r="AU514" s="77"/>
      <c r="AV514" s="80" t="str">
        <f>HYPERLINK("https://pbs.twimg.com/media/DDaWa2NUIAApy5z.jpg")</f>
        <v>https://pbs.twimg.com/media/DDaWa2NUIAApy5z.jpg</v>
      </c>
      <c r="AW514" s="81" t="s">
        <v>4890</v>
      </c>
      <c r="AX514" s="81" t="s">
        <v>4890</v>
      </c>
      <c r="AY514" s="77"/>
      <c r="AZ514" s="81" t="s">
        <v>5773</v>
      </c>
      <c r="BA514" s="81" t="s">
        <v>5773</v>
      </c>
      <c r="BB514" s="81" t="s">
        <v>5773</v>
      </c>
      <c r="BC514" s="81" t="s">
        <v>4890</v>
      </c>
      <c r="BD514" s="81" t="s">
        <v>5819</v>
      </c>
      <c r="BE514" s="77"/>
      <c r="BF514" s="77"/>
      <c r="BG514" s="77"/>
      <c r="BH514" s="77"/>
      <c r="BI514" s="77"/>
    </row>
    <row r="515" spans="1:61" ht="15">
      <c r="A515" s="62" t="s">
        <v>369</v>
      </c>
      <c r="B515" s="62" t="s">
        <v>369</v>
      </c>
      <c r="C515" s="63"/>
      <c r="D515" s="64"/>
      <c r="E515" s="65"/>
      <c r="F515" s="66"/>
      <c r="G515" s="63"/>
      <c r="H515" s="67"/>
      <c r="I515" s="68"/>
      <c r="J515" s="68"/>
      <c r="K515" s="32" t="s">
        <v>65</v>
      </c>
      <c r="L515" s="75">
        <v>515</v>
      </c>
      <c r="M515" s="75"/>
      <c r="N515" s="70"/>
      <c r="O515" s="77" t="s">
        <v>179</v>
      </c>
      <c r="P515" s="79">
        <v>42914.560740740744</v>
      </c>
      <c r="Q515" s="77" t="s">
        <v>955</v>
      </c>
      <c r="R515" s="77">
        <v>0</v>
      </c>
      <c r="S515" s="77">
        <v>0</v>
      </c>
      <c r="T515" s="77">
        <v>0</v>
      </c>
      <c r="U515" s="77">
        <v>0</v>
      </c>
      <c r="V515" s="77"/>
      <c r="W515" s="77"/>
      <c r="X515" s="80" t="str">
        <f>HYPERLINK("https://lnkd.in/fP_ZtNJ")</f>
        <v>https://lnkd.in/fP_ZtNJ</v>
      </c>
      <c r="Y515" s="77" t="s">
        <v>2013</v>
      </c>
      <c r="Z515" s="77"/>
      <c r="AA515" s="77"/>
      <c r="AB515" s="77"/>
      <c r="AC515" s="81" t="s">
        <v>2731</v>
      </c>
      <c r="AD515" s="77" t="s">
        <v>2751</v>
      </c>
      <c r="AE515" s="80" t="str">
        <f>HYPERLINK("https://twitter.com/suryakotianu/status/880055048838889472")</f>
        <v>https://twitter.com/suryakotianu/status/880055048838889472</v>
      </c>
      <c r="AF515" s="79">
        <v>42914.560740740744</v>
      </c>
      <c r="AG515" s="85">
        <v>42914</v>
      </c>
      <c r="AH515" s="81" t="s">
        <v>3145</v>
      </c>
      <c r="AI515" s="77" t="b">
        <v>0</v>
      </c>
      <c r="AJ515" s="77"/>
      <c r="AK515" s="77"/>
      <c r="AL515" s="77"/>
      <c r="AM515" s="77"/>
      <c r="AN515" s="77"/>
      <c r="AO515" s="77"/>
      <c r="AP515" s="77"/>
      <c r="AQ515" s="77"/>
      <c r="AR515" s="77"/>
      <c r="AS515" s="77"/>
      <c r="AT515" s="77"/>
      <c r="AU515" s="77"/>
      <c r="AV515" s="80" t="str">
        <f>HYPERLINK("https://pbs.twimg.com/profile_images/1402842160508981252/1dGsTHpA_normal.jpg")</f>
        <v>https://pbs.twimg.com/profile_images/1402842160508981252/1dGsTHpA_normal.jpg</v>
      </c>
      <c r="AW515" s="81" t="s">
        <v>4891</v>
      </c>
      <c r="AX515" s="81" t="s">
        <v>4891</v>
      </c>
      <c r="AY515" s="77"/>
      <c r="AZ515" s="81" t="s">
        <v>5773</v>
      </c>
      <c r="BA515" s="81" t="s">
        <v>5773</v>
      </c>
      <c r="BB515" s="81" t="s">
        <v>5773</v>
      </c>
      <c r="BC515" s="81" t="s">
        <v>4891</v>
      </c>
      <c r="BD515" s="81" t="s">
        <v>5819</v>
      </c>
      <c r="BE515" s="77"/>
      <c r="BF515" s="77"/>
      <c r="BG515" s="77"/>
      <c r="BH515" s="77"/>
      <c r="BI515" s="77"/>
    </row>
    <row r="516" spans="1:61" ht="15">
      <c r="A516" s="62" t="s">
        <v>369</v>
      </c>
      <c r="B516" s="62" t="s">
        <v>369</v>
      </c>
      <c r="C516" s="63"/>
      <c r="D516" s="64"/>
      <c r="E516" s="65"/>
      <c r="F516" s="66"/>
      <c r="G516" s="63"/>
      <c r="H516" s="67"/>
      <c r="I516" s="68"/>
      <c r="J516" s="68"/>
      <c r="K516" s="32" t="s">
        <v>65</v>
      </c>
      <c r="L516" s="75">
        <v>516</v>
      </c>
      <c r="M516" s="75"/>
      <c r="N516" s="70"/>
      <c r="O516" s="77" t="s">
        <v>179</v>
      </c>
      <c r="P516" s="79">
        <v>42913.53736111111</v>
      </c>
      <c r="Q516" s="77" t="s">
        <v>956</v>
      </c>
      <c r="R516" s="77">
        <v>0</v>
      </c>
      <c r="S516" s="77">
        <v>0</v>
      </c>
      <c r="T516" s="77">
        <v>0</v>
      </c>
      <c r="U516" s="77">
        <v>0</v>
      </c>
      <c r="V516" s="77"/>
      <c r="W516" s="77"/>
      <c r="X516" s="80" t="str">
        <f>HYPERLINK("https://www.inovies.com/technical-writing/newsletter-and-email-writing-company")</f>
        <v>https://www.inovies.com/technical-writing/newsletter-and-email-writing-company</v>
      </c>
      <c r="Y516" s="77" t="s">
        <v>1982</v>
      </c>
      <c r="Z516" s="77"/>
      <c r="AA516" s="77" t="s">
        <v>2236</v>
      </c>
      <c r="AB516" s="77" t="s">
        <v>2696</v>
      </c>
      <c r="AC516" s="81" t="s">
        <v>2705</v>
      </c>
      <c r="AD516" s="77" t="s">
        <v>2751</v>
      </c>
      <c r="AE516" s="80" t="str">
        <f>HYPERLINK("https://twitter.com/suryakotianu/status/879684186138738688")</f>
        <v>https://twitter.com/suryakotianu/status/879684186138738688</v>
      </c>
      <c r="AF516" s="79">
        <v>42913.53736111111</v>
      </c>
      <c r="AG516" s="85">
        <v>42913</v>
      </c>
      <c r="AH516" s="81" t="s">
        <v>3146</v>
      </c>
      <c r="AI516" s="77" t="b">
        <v>0</v>
      </c>
      <c r="AJ516" s="77"/>
      <c r="AK516" s="77"/>
      <c r="AL516" s="77"/>
      <c r="AM516" s="77"/>
      <c r="AN516" s="77"/>
      <c r="AO516" s="77"/>
      <c r="AP516" s="77"/>
      <c r="AQ516" s="77" t="s">
        <v>4051</v>
      </c>
      <c r="AR516" s="77"/>
      <c r="AS516" s="77"/>
      <c r="AT516" s="77"/>
      <c r="AU516" s="77"/>
      <c r="AV516" s="80" t="str">
        <f>HYPERLINK("https://pbs.twimg.com/media/DDVEFvQVwAArPsm.jpg")</f>
        <v>https://pbs.twimg.com/media/DDVEFvQVwAArPsm.jpg</v>
      </c>
      <c r="AW516" s="81" t="s">
        <v>4892</v>
      </c>
      <c r="AX516" s="81" t="s">
        <v>4892</v>
      </c>
      <c r="AY516" s="77"/>
      <c r="AZ516" s="81" t="s">
        <v>5773</v>
      </c>
      <c r="BA516" s="81" t="s">
        <v>5773</v>
      </c>
      <c r="BB516" s="81" t="s">
        <v>5773</v>
      </c>
      <c r="BC516" s="81" t="s">
        <v>4892</v>
      </c>
      <c r="BD516" s="81" t="s">
        <v>5819</v>
      </c>
      <c r="BE516" s="77"/>
      <c r="BF516" s="77"/>
      <c r="BG516" s="77"/>
      <c r="BH516" s="77"/>
      <c r="BI516" s="77"/>
    </row>
    <row r="517" spans="1:61" ht="15">
      <c r="A517" s="62" t="s">
        <v>369</v>
      </c>
      <c r="B517" s="62" t="s">
        <v>369</v>
      </c>
      <c r="C517" s="63"/>
      <c r="D517" s="64"/>
      <c r="E517" s="65"/>
      <c r="F517" s="66"/>
      <c r="G517" s="63"/>
      <c r="H517" s="67"/>
      <c r="I517" s="68"/>
      <c r="J517" s="68"/>
      <c r="K517" s="32" t="s">
        <v>65</v>
      </c>
      <c r="L517" s="75">
        <v>517</v>
      </c>
      <c r="M517" s="75"/>
      <c r="N517" s="70"/>
      <c r="O517" s="77" t="s">
        <v>179</v>
      </c>
      <c r="P517" s="79">
        <v>42913.535208333335</v>
      </c>
      <c r="Q517" s="77" t="s">
        <v>957</v>
      </c>
      <c r="R517" s="77">
        <v>0</v>
      </c>
      <c r="S517" s="77">
        <v>0</v>
      </c>
      <c r="T517" s="77">
        <v>0</v>
      </c>
      <c r="U517" s="77">
        <v>0</v>
      </c>
      <c r="V517" s="77"/>
      <c r="W517" s="77"/>
      <c r="X517" s="80" t="str">
        <f>HYPERLINK("https://lnkd.in/fs_xNDU")</f>
        <v>https://lnkd.in/fs_xNDU</v>
      </c>
      <c r="Y517" s="77" t="s">
        <v>2013</v>
      </c>
      <c r="Z517" s="77"/>
      <c r="AA517" s="77"/>
      <c r="AB517" s="77"/>
      <c r="AC517" s="81" t="s">
        <v>2731</v>
      </c>
      <c r="AD517" s="77" t="s">
        <v>2751</v>
      </c>
      <c r="AE517" s="80" t="str">
        <f>HYPERLINK("https://twitter.com/suryakotianu/status/879683405197324288")</f>
        <v>https://twitter.com/suryakotianu/status/879683405197324288</v>
      </c>
      <c r="AF517" s="79">
        <v>42913.535208333335</v>
      </c>
      <c r="AG517" s="85">
        <v>42913</v>
      </c>
      <c r="AH517" s="81" t="s">
        <v>3147</v>
      </c>
      <c r="AI517" s="77" t="b">
        <v>0</v>
      </c>
      <c r="AJ517" s="77"/>
      <c r="AK517" s="77"/>
      <c r="AL517" s="77"/>
      <c r="AM517" s="77"/>
      <c r="AN517" s="77"/>
      <c r="AO517" s="77"/>
      <c r="AP517" s="77"/>
      <c r="AQ517" s="77"/>
      <c r="AR517" s="77"/>
      <c r="AS517" s="77"/>
      <c r="AT517" s="77"/>
      <c r="AU517" s="77"/>
      <c r="AV517" s="80" t="str">
        <f>HYPERLINK("https://pbs.twimg.com/profile_images/1402842160508981252/1dGsTHpA_normal.jpg")</f>
        <v>https://pbs.twimg.com/profile_images/1402842160508981252/1dGsTHpA_normal.jpg</v>
      </c>
      <c r="AW517" s="81" t="s">
        <v>4893</v>
      </c>
      <c r="AX517" s="81" t="s">
        <v>4893</v>
      </c>
      <c r="AY517" s="77"/>
      <c r="AZ517" s="81" t="s">
        <v>5773</v>
      </c>
      <c r="BA517" s="81" t="s">
        <v>5773</v>
      </c>
      <c r="BB517" s="81" t="s">
        <v>5773</v>
      </c>
      <c r="BC517" s="81" t="s">
        <v>4893</v>
      </c>
      <c r="BD517" s="81" t="s">
        <v>5819</v>
      </c>
      <c r="BE517" s="77"/>
      <c r="BF517" s="77"/>
      <c r="BG517" s="77"/>
      <c r="BH517" s="77"/>
      <c r="BI517" s="77"/>
    </row>
    <row r="518" spans="1:61" ht="15">
      <c r="A518" s="62" t="s">
        <v>369</v>
      </c>
      <c r="B518" s="62" t="s">
        <v>369</v>
      </c>
      <c r="C518" s="63"/>
      <c r="D518" s="64"/>
      <c r="E518" s="65"/>
      <c r="F518" s="66"/>
      <c r="G518" s="63"/>
      <c r="H518" s="67"/>
      <c r="I518" s="68"/>
      <c r="J518" s="68"/>
      <c r="K518" s="32" t="s">
        <v>65</v>
      </c>
      <c r="L518" s="75">
        <v>518</v>
      </c>
      <c r="M518" s="75"/>
      <c r="N518" s="70"/>
      <c r="O518" s="77" t="s">
        <v>179</v>
      </c>
      <c r="P518" s="79">
        <v>42909.51641203704</v>
      </c>
      <c r="Q518" s="77" t="s">
        <v>958</v>
      </c>
      <c r="R518" s="77">
        <v>0</v>
      </c>
      <c r="S518" s="77">
        <v>0</v>
      </c>
      <c r="T518" s="77">
        <v>0</v>
      </c>
      <c r="U518" s="77">
        <v>0</v>
      </c>
      <c r="V518" s="77"/>
      <c r="W518" s="77"/>
      <c r="X518" s="80" t="str">
        <f>HYPERLINK("https://www.inovies.com/technical-writing/training-materials-company")</f>
        <v>https://www.inovies.com/technical-writing/training-materials-company</v>
      </c>
      <c r="Y518" s="77" t="s">
        <v>1982</v>
      </c>
      <c r="Z518" s="77"/>
      <c r="AA518" s="77"/>
      <c r="AB518" s="77"/>
      <c r="AC518" s="81" t="s">
        <v>2705</v>
      </c>
      <c r="AD518" s="77" t="s">
        <v>2751</v>
      </c>
      <c r="AE518" s="80" t="str">
        <f>HYPERLINK("https://twitter.com/suryakotianu/status/878227043753746436")</f>
        <v>https://twitter.com/suryakotianu/status/878227043753746436</v>
      </c>
      <c r="AF518" s="79">
        <v>42909.51641203704</v>
      </c>
      <c r="AG518" s="85">
        <v>42909</v>
      </c>
      <c r="AH518" s="81" t="s">
        <v>3148</v>
      </c>
      <c r="AI518" s="77" t="b">
        <v>0</v>
      </c>
      <c r="AJ518" s="77"/>
      <c r="AK518" s="77"/>
      <c r="AL518" s="77"/>
      <c r="AM518" s="77"/>
      <c r="AN518" s="77"/>
      <c r="AO518" s="77"/>
      <c r="AP518" s="77"/>
      <c r="AQ518" s="77"/>
      <c r="AR518" s="77"/>
      <c r="AS518" s="77"/>
      <c r="AT518" s="77"/>
      <c r="AU518" s="77"/>
      <c r="AV518" s="80" t="str">
        <f>HYPERLINK("https://pbs.twimg.com/profile_images/1402842160508981252/1dGsTHpA_normal.jpg")</f>
        <v>https://pbs.twimg.com/profile_images/1402842160508981252/1dGsTHpA_normal.jpg</v>
      </c>
      <c r="AW518" s="81" t="s">
        <v>4894</v>
      </c>
      <c r="AX518" s="81" t="s">
        <v>4894</v>
      </c>
      <c r="AY518" s="77"/>
      <c r="AZ518" s="81" t="s">
        <v>5773</v>
      </c>
      <c r="BA518" s="81" t="s">
        <v>5773</v>
      </c>
      <c r="BB518" s="81" t="s">
        <v>5773</v>
      </c>
      <c r="BC518" s="81" t="s">
        <v>4894</v>
      </c>
      <c r="BD518" s="81" t="s">
        <v>5819</v>
      </c>
      <c r="BE518" s="77"/>
      <c r="BF518" s="77"/>
      <c r="BG518" s="77"/>
      <c r="BH518" s="77"/>
      <c r="BI518" s="77"/>
    </row>
    <row r="519" spans="1:61" ht="15">
      <c r="A519" s="62" t="s">
        <v>369</v>
      </c>
      <c r="B519" s="62" t="s">
        <v>369</v>
      </c>
      <c r="C519" s="63"/>
      <c r="D519" s="64"/>
      <c r="E519" s="65"/>
      <c r="F519" s="66"/>
      <c r="G519" s="63"/>
      <c r="H519" s="67"/>
      <c r="I519" s="68"/>
      <c r="J519" s="68"/>
      <c r="K519" s="32" t="s">
        <v>65</v>
      </c>
      <c r="L519" s="75">
        <v>519</v>
      </c>
      <c r="M519" s="75"/>
      <c r="N519" s="70"/>
      <c r="O519" s="77" t="s">
        <v>179</v>
      </c>
      <c r="P519" s="79">
        <v>42909.51435185185</v>
      </c>
      <c r="Q519" s="77" t="s">
        <v>959</v>
      </c>
      <c r="R519" s="77">
        <v>0</v>
      </c>
      <c r="S519" s="77">
        <v>0</v>
      </c>
      <c r="T519" s="77">
        <v>0</v>
      </c>
      <c r="U519" s="77">
        <v>0</v>
      </c>
      <c r="V519" s="77"/>
      <c r="W519" s="77"/>
      <c r="X519" s="80" t="str">
        <f>HYPERLINK("https://www.inovies.com/technical-writing/pre-sales-sales-marketing-communication-company")</f>
        <v>https://www.inovies.com/technical-writing/pre-sales-sales-marketing-communication-company</v>
      </c>
      <c r="Y519" s="77" t="s">
        <v>1982</v>
      </c>
      <c r="Z519" s="77"/>
      <c r="AA519" s="77" t="s">
        <v>2237</v>
      </c>
      <c r="AB519" s="77" t="s">
        <v>2696</v>
      </c>
      <c r="AC519" s="81" t="s">
        <v>2705</v>
      </c>
      <c r="AD519" s="77" t="s">
        <v>2751</v>
      </c>
      <c r="AE519" s="80" t="str">
        <f>HYPERLINK("https://twitter.com/suryakotianu/status/878226298249691136")</f>
        <v>https://twitter.com/suryakotianu/status/878226298249691136</v>
      </c>
      <c r="AF519" s="79">
        <v>42909.51435185185</v>
      </c>
      <c r="AG519" s="85">
        <v>42909</v>
      </c>
      <c r="AH519" s="81" t="s">
        <v>3149</v>
      </c>
      <c r="AI519" s="77" t="b">
        <v>0</v>
      </c>
      <c r="AJ519" s="77"/>
      <c r="AK519" s="77"/>
      <c r="AL519" s="77"/>
      <c r="AM519" s="77"/>
      <c r="AN519" s="77"/>
      <c r="AO519" s="77"/>
      <c r="AP519" s="77"/>
      <c r="AQ519" s="77" t="s">
        <v>4052</v>
      </c>
      <c r="AR519" s="77"/>
      <c r="AS519" s="77"/>
      <c r="AT519" s="77"/>
      <c r="AU519" s="77"/>
      <c r="AV519" s="80" t="str">
        <f>HYPERLINK("https://pbs.twimg.com/media/DDAWKGJUAAAa_Vp.jpg")</f>
        <v>https://pbs.twimg.com/media/DDAWKGJUAAAa_Vp.jpg</v>
      </c>
      <c r="AW519" s="81" t="s">
        <v>4895</v>
      </c>
      <c r="AX519" s="81" t="s">
        <v>4895</v>
      </c>
      <c r="AY519" s="77"/>
      <c r="AZ519" s="81" t="s">
        <v>5773</v>
      </c>
      <c r="BA519" s="81" t="s">
        <v>5773</v>
      </c>
      <c r="BB519" s="81" t="s">
        <v>5773</v>
      </c>
      <c r="BC519" s="81" t="s">
        <v>4895</v>
      </c>
      <c r="BD519" s="81" t="s">
        <v>5819</v>
      </c>
      <c r="BE519" s="77"/>
      <c r="BF519" s="77"/>
      <c r="BG519" s="77"/>
      <c r="BH519" s="77"/>
      <c r="BI519" s="77"/>
    </row>
    <row r="520" spans="1:61" ht="15">
      <c r="A520" s="62" t="s">
        <v>369</v>
      </c>
      <c r="B520" s="62" t="s">
        <v>369</v>
      </c>
      <c r="C520" s="63"/>
      <c r="D520" s="64"/>
      <c r="E520" s="65"/>
      <c r="F520" s="66"/>
      <c r="G520" s="63"/>
      <c r="H520" s="67"/>
      <c r="I520" s="68"/>
      <c r="J520" s="68"/>
      <c r="K520" s="32" t="s">
        <v>65</v>
      </c>
      <c r="L520" s="75">
        <v>520</v>
      </c>
      <c r="M520" s="75"/>
      <c r="N520" s="70"/>
      <c r="O520" s="77" t="s">
        <v>179</v>
      </c>
      <c r="P520" s="79">
        <v>42909.51414351852</v>
      </c>
      <c r="Q520" s="77" t="s">
        <v>960</v>
      </c>
      <c r="R520" s="77">
        <v>0</v>
      </c>
      <c r="S520" s="77">
        <v>0</v>
      </c>
      <c r="T520" s="77">
        <v>0</v>
      </c>
      <c r="U520" s="77">
        <v>0</v>
      </c>
      <c r="V520" s="77"/>
      <c r="W520" s="77"/>
      <c r="X520" s="80" t="str">
        <f>HYPERLINK("https://lnkd.in/fHiN43M")</f>
        <v>https://lnkd.in/fHiN43M</v>
      </c>
      <c r="Y520" s="77" t="s">
        <v>2013</v>
      </c>
      <c r="Z520" s="77"/>
      <c r="AA520" s="77"/>
      <c r="AB520" s="77"/>
      <c r="AC520" s="81" t="s">
        <v>2731</v>
      </c>
      <c r="AD520" s="77" t="s">
        <v>2751</v>
      </c>
      <c r="AE520" s="80" t="str">
        <f>HYPERLINK("https://twitter.com/suryakotianu/status/878226222068752384")</f>
        <v>https://twitter.com/suryakotianu/status/878226222068752384</v>
      </c>
      <c r="AF520" s="79">
        <v>42909.51414351852</v>
      </c>
      <c r="AG520" s="85">
        <v>42909</v>
      </c>
      <c r="AH520" s="81" t="s">
        <v>3150</v>
      </c>
      <c r="AI520" s="77" t="b">
        <v>0</v>
      </c>
      <c r="AJ520" s="77"/>
      <c r="AK520" s="77"/>
      <c r="AL520" s="77"/>
      <c r="AM520" s="77"/>
      <c r="AN520" s="77"/>
      <c r="AO520" s="77"/>
      <c r="AP520" s="77"/>
      <c r="AQ520" s="77"/>
      <c r="AR520" s="77"/>
      <c r="AS520" s="77"/>
      <c r="AT520" s="77"/>
      <c r="AU520" s="77"/>
      <c r="AV520" s="80" t="str">
        <f>HYPERLINK("https://pbs.twimg.com/profile_images/1402842160508981252/1dGsTHpA_normal.jpg")</f>
        <v>https://pbs.twimg.com/profile_images/1402842160508981252/1dGsTHpA_normal.jpg</v>
      </c>
      <c r="AW520" s="81" t="s">
        <v>4896</v>
      </c>
      <c r="AX520" s="81" t="s">
        <v>4896</v>
      </c>
      <c r="AY520" s="77"/>
      <c r="AZ520" s="81" t="s">
        <v>5773</v>
      </c>
      <c r="BA520" s="81" t="s">
        <v>5773</v>
      </c>
      <c r="BB520" s="81" t="s">
        <v>5773</v>
      </c>
      <c r="BC520" s="81" t="s">
        <v>4896</v>
      </c>
      <c r="BD520" s="81" t="s">
        <v>5819</v>
      </c>
      <c r="BE520" s="77"/>
      <c r="BF520" s="77"/>
      <c r="BG520" s="77"/>
      <c r="BH520" s="77"/>
      <c r="BI520" s="77"/>
    </row>
    <row r="521" spans="1:61" ht="15">
      <c r="A521" s="62" t="s">
        <v>369</v>
      </c>
      <c r="B521" s="62" t="s">
        <v>369</v>
      </c>
      <c r="C521" s="63"/>
      <c r="D521" s="64"/>
      <c r="E521" s="65"/>
      <c r="F521" s="66"/>
      <c r="G521" s="63"/>
      <c r="H521" s="67"/>
      <c r="I521" s="68"/>
      <c r="J521" s="68"/>
      <c r="K521" s="32" t="s">
        <v>65</v>
      </c>
      <c r="L521" s="75">
        <v>521</v>
      </c>
      <c r="M521" s="75"/>
      <c r="N521" s="70"/>
      <c r="O521" s="77" t="s">
        <v>179</v>
      </c>
      <c r="P521" s="79">
        <v>42908.516863425924</v>
      </c>
      <c r="Q521" s="77" t="s">
        <v>961</v>
      </c>
      <c r="R521" s="77">
        <v>0</v>
      </c>
      <c r="S521" s="77">
        <v>0</v>
      </c>
      <c r="T521" s="77">
        <v>0</v>
      </c>
      <c r="U521" s="77">
        <v>0</v>
      </c>
      <c r="V521" s="77"/>
      <c r="W521" s="77"/>
      <c r="X521" s="80" t="str">
        <f>HYPERLINK("https://www.inovies.com/technical-writing/technical-documentaion-services-company")</f>
        <v>https://www.inovies.com/technical-writing/technical-documentaion-services-company</v>
      </c>
      <c r="Y521" s="77" t="s">
        <v>1982</v>
      </c>
      <c r="Z521" s="77"/>
      <c r="AA521" s="77" t="s">
        <v>2238</v>
      </c>
      <c r="AB521" s="77" t="s">
        <v>2696</v>
      </c>
      <c r="AC521" s="81" t="s">
        <v>2705</v>
      </c>
      <c r="AD521" s="77" t="s">
        <v>2751</v>
      </c>
      <c r="AE521" s="80" t="str">
        <f>HYPERLINK("https://twitter.com/suryakotianu/status/877864818073456640")</f>
        <v>https://twitter.com/suryakotianu/status/877864818073456640</v>
      </c>
      <c r="AF521" s="79">
        <v>42908.516863425924</v>
      </c>
      <c r="AG521" s="85">
        <v>42908</v>
      </c>
      <c r="AH521" s="81" t="s">
        <v>3151</v>
      </c>
      <c r="AI521" s="77" t="b">
        <v>0</v>
      </c>
      <c r="AJ521" s="77"/>
      <c r="AK521" s="77"/>
      <c r="AL521" s="77"/>
      <c r="AM521" s="77"/>
      <c r="AN521" s="77"/>
      <c r="AO521" s="77"/>
      <c r="AP521" s="77"/>
      <c r="AQ521" s="77" t="s">
        <v>4053</v>
      </c>
      <c r="AR521" s="77"/>
      <c r="AS521" s="77"/>
      <c r="AT521" s="77"/>
      <c r="AU521" s="77"/>
      <c r="AV521" s="80" t="str">
        <f>HYPERLINK("https://pbs.twimg.com/media/DC7NWt6VwAAEgfG.jpg")</f>
        <v>https://pbs.twimg.com/media/DC7NWt6VwAAEgfG.jpg</v>
      </c>
      <c r="AW521" s="81" t="s">
        <v>4897</v>
      </c>
      <c r="AX521" s="81" t="s">
        <v>4897</v>
      </c>
      <c r="AY521" s="77"/>
      <c r="AZ521" s="81" t="s">
        <v>5773</v>
      </c>
      <c r="BA521" s="81" t="s">
        <v>5773</v>
      </c>
      <c r="BB521" s="81" t="s">
        <v>5773</v>
      </c>
      <c r="BC521" s="81" t="s">
        <v>4897</v>
      </c>
      <c r="BD521" s="81" t="s">
        <v>5819</v>
      </c>
      <c r="BE521" s="77"/>
      <c r="BF521" s="77"/>
      <c r="BG521" s="77"/>
      <c r="BH521" s="77"/>
      <c r="BI521" s="77"/>
    </row>
    <row r="522" spans="1:61" ht="15">
      <c r="A522" s="62" t="s">
        <v>369</v>
      </c>
      <c r="B522" s="62" t="s">
        <v>369</v>
      </c>
      <c r="C522" s="63"/>
      <c r="D522" s="64"/>
      <c r="E522" s="65"/>
      <c r="F522" s="66"/>
      <c r="G522" s="63"/>
      <c r="H522" s="67"/>
      <c r="I522" s="68"/>
      <c r="J522" s="68"/>
      <c r="K522" s="32" t="s">
        <v>65</v>
      </c>
      <c r="L522" s="75">
        <v>522</v>
      </c>
      <c r="M522" s="75"/>
      <c r="N522" s="70"/>
      <c r="O522" s="77" t="s">
        <v>179</v>
      </c>
      <c r="P522" s="79">
        <v>42908.51615740741</v>
      </c>
      <c r="Q522" s="77" t="s">
        <v>962</v>
      </c>
      <c r="R522" s="77">
        <v>0</v>
      </c>
      <c r="S522" s="77">
        <v>0</v>
      </c>
      <c r="T522" s="77">
        <v>0</v>
      </c>
      <c r="U522" s="77">
        <v>0</v>
      </c>
      <c r="V522" s="77"/>
      <c r="W522" s="77"/>
      <c r="X522" s="80" t="str">
        <f>HYPERLINK("https://www.inovies.com/technical-writing/website-content-company")</f>
        <v>https://www.inovies.com/technical-writing/website-content-company</v>
      </c>
      <c r="Y522" s="77" t="s">
        <v>1982</v>
      </c>
      <c r="Z522" s="77"/>
      <c r="AA522" s="77" t="s">
        <v>2239</v>
      </c>
      <c r="AB522" s="77" t="s">
        <v>2696</v>
      </c>
      <c r="AC522" s="81" t="s">
        <v>2705</v>
      </c>
      <c r="AD522" s="77" t="s">
        <v>2751</v>
      </c>
      <c r="AE522" s="80" t="str">
        <f>HYPERLINK("https://twitter.com/suryakotianu/status/877864563902824448")</f>
        <v>https://twitter.com/suryakotianu/status/877864563902824448</v>
      </c>
      <c r="AF522" s="79">
        <v>42908.51615740741</v>
      </c>
      <c r="AG522" s="85">
        <v>42908</v>
      </c>
      <c r="AH522" s="81" t="s">
        <v>3152</v>
      </c>
      <c r="AI522" s="77" t="b">
        <v>0</v>
      </c>
      <c r="AJ522" s="77"/>
      <c r="AK522" s="77"/>
      <c r="AL522" s="77"/>
      <c r="AM522" s="77"/>
      <c r="AN522" s="77"/>
      <c r="AO522" s="77"/>
      <c r="AP522" s="77"/>
      <c r="AQ522" s="77" t="s">
        <v>4054</v>
      </c>
      <c r="AR522" s="77"/>
      <c r="AS522" s="77"/>
      <c r="AT522" s="77"/>
      <c r="AU522" s="77"/>
      <c r="AV522" s="80" t="str">
        <f>HYPERLINK("https://pbs.twimg.com/media/DC7NIPrUAAAFFnN.jpg")</f>
        <v>https://pbs.twimg.com/media/DC7NIPrUAAAFFnN.jpg</v>
      </c>
      <c r="AW522" s="81" t="s">
        <v>4898</v>
      </c>
      <c r="AX522" s="81" t="s">
        <v>4898</v>
      </c>
      <c r="AY522" s="77"/>
      <c r="AZ522" s="81" t="s">
        <v>5773</v>
      </c>
      <c r="BA522" s="81" t="s">
        <v>5773</v>
      </c>
      <c r="BB522" s="81" t="s">
        <v>5773</v>
      </c>
      <c r="BC522" s="81" t="s">
        <v>4898</v>
      </c>
      <c r="BD522" s="81" t="s">
        <v>5819</v>
      </c>
      <c r="BE522" s="77"/>
      <c r="BF522" s="77"/>
      <c r="BG522" s="77"/>
      <c r="BH522" s="77"/>
      <c r="BI522" s="77"/>
    </row>
    <row r="523" spans="1:61" ht="15">
      <c r="A523" s="62" t="s">
        <v>369</v>
      </c>
      <c r="B523" s="62" t="s">
        <v>369</v>
      </c>
      <c r="C523" s="63"/>
      <c r="D523" s="64"/>
      <c r="E523" s="65"/>
      <c r="F523" s="66"/>
      <c r="G523" s="63"/>
      <c r="H523" s="67"/>
      <c r="I523" s="68"/>
      <c r="J523" s="68"/>
      <c r="K523" s="32" t="s">
        <v>65</v>
      </c>
      <c r="L523" s="75">
        <v>523</v>
      </c>
      <c r="M523" s="75"/>
      <c r="N523" s="70"/>
      <c r="O523" s="77" t="s">
        <v>179</v>
      </c>
      <c r="P523" s="79">
        <v>42908.5156712963</v>
      </c>
      <c r="Q523" s="77" t="s">
        <v>963</v>
      </c>
      <c r="R523" s="77">
        <v>0</v>
      </c>
      <c r="S523" s="77">
        <v>0</v>
      </c>
      <c r="T523" s="77">
        <v>0</v>
      </c>
      <c r="U523" s="77">
        <v>0</v>
      </c>
      <c r="V523" s="77"/>
      <c r="W523" s="77"/>
      <c r="X523" s="80" t="str">
        <f>HYPERLINK("https://www.inovies.com/technical-writing/software-project-documentation-company")</f>
        <v>https://www.inovies.com/technical-writing/software-project-documentation-company</v>
      </c>
      <c r="Y523" s="77" t="s">
        <v>1982</v>
      </c>
      <c r="Z523" s="77"/>
      <c r="AA523" s="77" t="s">
        <v>2240</v>
      </c>
      <c r="AB523" s="77" t="s">
        <v>2696</v>
      </c>
      <c r="AC523" s="81" t="s">
        <v>2705</v>
      </c>
      <c r="AD523" s="77" t="s">
        <v>2751</v>
      </c>
      <c r="AE523" s="80" t="str">
        <f>HYPERLINK("https://twitter.com/suryakotianu/status/877864386047524865")</f>
        <v>https://twitter.com/suryakotianu/status/877864386047524865</v>
      </c>
      <c r="AF523" s="79">
        <v>42908.5156712963</v>
      </c>
      <c r="AG523" s="85">
        <v>42908</v>
      </c>
      <c r="AH523" s="81" t="s">
        <v>3153</v>
      </c>
      <c r="AI523" s="77" t="b">
        <v>0</v>
      </c>
      <c r="AJ523" s="77"/>
      <c r="AK523" s="77"/>
      <c r="AL523" s="77"/>
      <c r="AM523" s="77"/>
      <c r="AN523" s="77"/>
      <c r="AO523" s="77"/>
      <c r="AP523" s="77"/>
      <c r="AQ523" s="77" t="s">
        <v>4055</v>
      </c>
      <c r="AR523" s="77"/>
      <c r="AS523" s="77"/>
      <c r="AT523" s="77"/>
      <c r="AU523" s="77"/>
      <c r="AV523" s="80" t="str">
        <f>HYPERLINK("https://pbs.twimg.com/media/DC7M_qAUQAAQQfK.jpg")</f>
        <v>https://pbs.twimg.com/media/DC7M_qAUQAAQQfK.jpg</v>
      </c>
      <c r="AW523" s="81" t="s">
        <v>4899</v>
      </c>
      <c r="AX523" s="81" t="s">
        <v>4899</v>
      </c>
      <c r="AY523" s="77"/>
      <c r="AZ523" s="81" t="s">
        <v>5773</v>
      </c>
      <c r="BA523" s="81" t="s">
        <v>5773</v>
      </c>
      <c r="BB523" s="81" t="s">
        <v>5773</v>
      </c>
      <c r="BC523" s="81" t="s">
        <v>4899</v>
      </c>
      <c r="BD523" s="81" t="s">
        <v>5819</v>
      </c>
      <c r="BE523" s="77"/>
      <c r="BF523" s="77"/>
      <c r="BG523" s="77"/>
      <c r="BH523" s="77"/>
      <c r="BI523" s="77"/>
    </row>
    <row r="524" spans="1:61" ht="15">
      <c r="A524" s="62" t="s">
        <v>369</v>
      </c>
      <c r="B524" s="62" t="s">
        <v>369</v>
      </c>
      <c r="C524" s="63"/>
      <c r="D524" s="64"/>
      <c r="E524" s="65"/>
      <c r="F524" s="66"/>
      <c r="G524" s="63"/>
      <c r="H524" s="67"/>
      <c r="I524" s="68"/>
      <c r="J524" s="68"/>
      <c r="K524" s="32" t="s">
        <v>65</v>
      </c>
      <c r="L524" s="75">
        <v>524</v>
      </c>
      <c r="M524" s="75"/>
      <c r="N524" s="70"/>
      <c r="O524" s="77" t="s">
        <v>179</v>
      </c>
      <c r="P524" s="79">
        <v>42908.511354166665</v>
      </c>
      <c r="Q524" s="77" t="s">
        <v>964</v>
      </c>
      <c r="R524" s="77">
        <v>0</v>
      </c>
      <c r="S524" s="77">
        <v>0</v>
      </c>
      <c r="T524" s="77">
        <v>0</v>
      </c>
      <c r="U524" s="77">
        <v>0</v>
      </c>
      <c r="V524" s="77"/>
      <c r="W524" s="77"/>
      <c r="X524" s="80" t="str">
        <f>HYPERLINK("https://lnkd.in/fD5FzDt")</f>
        <v>https://lnkd.in/fD5FzDt</v>
      </c>
      <c r="Y524" s="77" t="s">
        <v>2013</v>
      </c>
      <c r="Z524" s="77"/>
      <c r="AA524" s="77"/>
      <c r="AB524" s="77"/>
      <c r="AC524" s="81" t="s">
        <v>2731</v>
      </c>
      <c r="AD524" s="77" t="s">
        <v>2751</v>
      </c>
      <c r="AE524" s="80" t="str">
        <f>HYPERLINK("https://twitter.com/suryakotianu/status/877862821521903616")</f>
        <v>https://twitter.com/suryakotianu/status/877862821521903616</v>
      </c>
      <c r="AF524" s="79">
        <v>42908.511354166665</v>
      </c>
      <c r="AG524" s="85">
        <v>42908</v>
      </c>
      <c r="AH524" s="81" t="s">
        <v>3154</v>
      </c>
      <c r="AI524" s="77" t="b">
        <v>0</v>
      </c>
      <c r="AJ524" s="77"/>
      <c r="AK524" s="77"/>
      <c r="AL524" s="77"/>
      <c r="AM524" s="77"/>
      <c r="AN524" s="77"/>
      <c r="AO524" s="77"/>
      <c r="AP524" s="77"/>
      <c r="AQ524" s="77"/>
      <c r="AR524" s="77"/>
      <c r="AS524" s="77"/>
      <c r="AT524" s="77"/>
      <c r="AU524" s="77"/>
      <c r="AV524" s="80" t="str">
        <f>HYPERLINK("https://pbs.twimg.com/profile_images/1402842160508981252/1dGsTHpA_normal.jpg")</f>
        <v>https://pbs.twimg.com/profile_images/1402842160508981252/1dGsTHpA_normal.jpg</v>
      </c>
      <c r="AW524" s="81" t="s">
        <v>4900</v>
      </c>
      <c r="AX524" s="81" t="s">
        <v>4900</v>
      </c>
      <c r="AY524" s="77"/>
      <c r="AZ524" s="81" t="s">
        <v>5773</v>
      </c>
      <c r="BA524" s="81" t="s">
        <v>5773</v>
      </c>
      <c r="BB524" s="81" t="s">
        <v>5773</v>
      </c>
      <c r="BC524" s="81" t="s">
        <v>4900</v>
      </c>
      <c r="BD524" s="81" t="s">
        <v>5819</v>
      </c>
      <c r="BE524" s="77"/>
      <c r="BF524" s="77"/>
      <c r="BG524" s="77"/>
      <c r="BH524" s="77"/>
      <c r="BI524" s="77"/>
    </row>
    <row r="525" spans="1:61" ht="15">
      <c r="A525" s="62" t="s">
        <v>369</v>
      </c>
      <c r="B525" s="62" t="s">
        <v>369</v>
      </c>
      <c r="C525" s="63"/>
      <c r="D525" s="64"/>
      <c r="E525" s="65"/>
      <c r="F525" s="66"/>
      <c r="G525" s="63"/>
      <c r="H525" s="67"/>
      <c r="I525" s="68"/>
      <c r="J525" s="68"/>
      <c r="K525" s="32" t="s">
        <v>65</v>
      </c>
      <c r="L525" s="75">
        <v>525</v>
      </c>
      <c r="M525" s="75"/>
      <c r="N525" s="70"/>
      <c r="O525" s="77" t="s">
        <v>179</v>
      </c>
      <c r="P525" s="79">
        <v>42908.510925925926</v>
      </c>
      <c r="Q525" s="77" t="s">
        <v>965</v>
      </c>
      <c r="R525" s="77">
        <v>0</v>
      </c>
      <c r="S525" s="77">
        <v>0</v>
      </c>
      <c r="T525" s="77">
        <v>0</v>
      </c>
      <c r="U525" s="77">
        <v>0</v>
      </c>
      <c r="V525" s="77"/>
      <c r="W525" s="77"/>
      <c r="X525" s="80" t="str">
        <f>HYPERLINK("https://lnkd.in/fghk7nB")</f>
        <v>https://lnkd.in/fghk7nB</v>
      </c>
      <c r="Y525" s="77" t="s">
        <v>2013</v>
      </c>
      <c r="Z525" s="77"/>
      <c r="AA525" s="77"/>
      <c r="AB525" s="77"/>
      <c r="AC525" s="81" t="s">
        <v>2731</v>
      </c>
      <c r="AD525" s="77" t="s">
        <v>2751</v>
      </c>
      <c r="AE525" s="80" t="str">
        <f>HYPERLINK("https://twitter.com/suryakotianu/status/877862667855077376")</f>
        <v>https://twitter.com/suryakotianu/status/877862667855077376</v>
      </c>
      <c r="AF525" s="79">
        <v>42908.510925925926</v>
      </c>
      <c r="AG525" s="85">
        <v>42908</v>
      </c>
      <c r="AH525" s="81" t="s">
        <v>3155</v>
      </c>
      <c r="AI525" s="77" t="b">
        <v>0</v>
      </c>
      <c r="AJ525" s="77"/>
      <c r="AK525" s="77"/>
      <c r="AL525" s="77"/>
      <c r="AM525" s="77"/>
      <c r="AN525" s="77"/>
      <c r="AO525" s="77"/>
      <c r="AP525" s="77"/>
      <c r="AQ525" s="77"/>
      <c r="AR525" s="77"/>
      <c r="AS525" s="77"/>
      <c r="AT525" s="77"/>
      <c r="AU525" s="77"/>
      <c r="AV525" s="80" t="str">
        <f>HYPERLINK("https://pbs.twimg.com/profile_images/1402842160508981252/1dGsTHpA_normal.jpg")</f>
        <v>https://pbs.twimg.com/profile_images/1402842160508981252/1dGsTHpA_normal.jpg</v>
      </c>
      <c r="AW525" s="81" t="s">
        <v>4901</v>
      </c>
      <c r="AX525" s="81" t="s">
        <v>4901</v>
      </c>
      <c r="AY525" s="77"/>
      <c r="AZ525" s="81" t="s">
        <v>5773</v>
      </c>
      <c r="BA525" s="81" t="s">
        <v>5773</v>
      </c>
      <c r="BB525" s="81" t="s">
        <v>5773</v>
      </c>
      <c r="BC525" s="81" t="s">
        <v>4901</v>
      </c>
      <c r="BD525" s="81" t="s">
        <v>5819</v>
      </c>
      <c r="BE525" s="77"/>
      <c r="BF525" s="77"/>
      <c r="BG525" s="77"/>
      <c r="BH525" s="77"/>
      <c r="BI525" s="77"/>
    </row>
    <row r="526" spans="1:61" ht="15">
      <c r="A526" s="62" t="s">
        <v>369</v>
      </c>
      <c r="B526" s="62" t="s">
        <v>369</v>
      </c>
      <c r="C526" s="63"/>
      <c r="D526" s="64"/>
      <c r="E526" s="65"/>
      <c r="F526" s="66"/>
      <c r="G526" s="63"/>
      <c r="H526" s="67"/>
      <c r="I526" s="68"/>
      <c r="J526" s="68"/>
      <c r="K526" s="32" t="s">
        <v>65</v>
      </c>
      <c r="L526" s="75">
        <v>526</v>
      </c>
      <c r="M526" s="75"/>
      <c r="N526" s="70"/>
      <c r="O526" s="77" t="s">
        <v>179</v>
      </c>
      <c r="P526" s="79">
        <v>42908.51055555556</v>
      </c>
      <c r="Q526" s="77" t="s">
        <v>966</v>
      </c>
      <c r="R526" s="77">
        <v>0</v>
      </c>
      <c r="S526" s="77">
        <v>0</v>
      </c>
      <c r="T526" s="77">
        <v>0</v>
      </c>
      <c r="U526" s="77">
        <v>0</v>
      </c>
      <c r="V526" s="77"/>
      <c r="W526" s="77"/>
      <c r="X526" s="80" t="str">
        <f>HYPERLINK("https://lnkd.in/fwRDzCs")</f>
        <v>https://lnkd.in/fwRDzCs</v>
      </c>
      <c r="Y526" s="77" t="s">
        <v>2013</v>
      </c>
      <c r="Z526" s="77"/>
      <c r="AA526" s="77"/>
      <c r="AB526" s="77"/>
      <c r="AC526" s="81" t="s">
        <v>2731</v>
      </c>
      <c r="AD526" s="77" t="s">
        <v>2751</v>
      </c>
      <c r="AE526" s="80" t="str">
        <f>HYPERLINK("https://twitter.com/suryakotianu/status/877862531624292354")</f>
        <v>https://twitter.com/suryakotianu/status/877862531624292354</v>
      </c>
      <c r="AF526" s="79">
        <v>42908.51055555556</v>
      </c>
      <c r="AG526" s="85">
        <v>42908</v>
      </c>
      <c r="AH526" s="81" t="s">
        <v>3156</v>
      </c>
      <c r="AI526" s="77" t="b">
        <v>0</v>
      </c>
      <c r="AJ526" s="77"/>
      <c r="AK526" s="77"/>
      <c r="AL526" s="77"/>
      <c r="AM526" s="77"/>
      <c r="AN526" s="77"/>
      <c r="AO526" s="77"/>
      <c r="AP526" s="77"/>
      <c r="AQ526" s="77"/>
      <c r="AR526" s="77"/>
      <c r="AS526" s="77"/>
      <c r="AT526" s="77"/>
      <c r="AU526" s="77"/>
      <c r="AV526" s="80" t="str">
        <f>HYPERLINK("https://pbs.twimg.com/profile_images/1402842160508981252/1dGsTHpA_normal.jpg")</f>
        <v>https://pbs.twimg.com/profile_images/1402842160508981252/1dGsTHpA_normal.jpg</v>
      </c>
      <c r="AW526" s="81" t="s">
        <v>4902</v>
      </c>
      <c r="AX526" s="81" t="s">
        <v>4902</v>
      </c>
      <c r="AY526" s="77"/>
      <c r="AZ526" s="81" t="s">
        <v>5773</v>
      </c>
      <c r="BA526" s="81" t="s">
        <v>5773</v>
      </c>
      <c r="BB526" s="81" t="s">
        <v>5773</v>
      </c>
      <c r="BC526" s="81" t="s">
        <v>4902</v>
      </c>
      <c r="BD526" s="81" t="s">
        <v>5819</v>
      </c>
      <c r="BE526" s="77"/>
      <c r="BF526" s="77"/>
      <c r="BG526" s="77"/>
      <c r="BH526" s="77"/>
      <c r="BI526" s="77"/>
    </row>
    <row r="527" spans="1:61" ht="15">
      <c r="A527" s="62" t="s">
        <v>369</v>
      </c>
      <c r="B527" s="62" t="s">
        <v>369</v>
      </c>
      <c r="C527" s="63"/>
      <c r="D527" s="64"/>
      <c r="E527" s="65"/>
      <c r="F527" s="66"/>
      <c r="G527" s="63"/>
      <c r="H527" s="67"/>
      <c r="I527" s="68"/>
      <c r="J527" s="68"/>
      <c r="K527" s="32" t="s">
        <v>65</v>
      </c>
      <c r="L527" s="75">
        <v>527</v>
      </c>
      <c r="M527" s="75"/>
      <c r="N527" s="70"/>
      <c r="O527" s="77" t="s">
        <v>179</v>
      </c>
      <c r="P527" s="79">
        <v>43025.5255787037</v>
      </c>
      <c r="Q527" s="77" t="s">
        <v>967</v>
      </c>
      <c r="R527" s="77">
        <v>0</v>
      </c>
      <c r="S527" s="77">
        <v>1</v>
      </c>
      <c r="T527" s="77">
        <v>0</v>
      </c>
      <c r="U527" s="77">
        <v>0</v>
      </c>
      <c r="V527" s="77"/>
      <c r="W527" s="81" t="s">
        <v>1820</v>
      </c>
      <c r="X527" s="80" t="str">
        <f>HYPERLINK("https://goo.gl/Znxd73")</f>
        <v>https://goo.gl/Znxd73</v>
      </c>
      <c r="Y527" s="77" t="s">
        <v>1975</v>
      </c>
      <c r="Z527" s="77"/>
      <c r="AA527" s="77" t="s">
        <v>2241</v>
      </c>
      <c r="AB527" s="77" t="s">
        <v>2696</v>
      </c>
      <c r="AC527" s="81" t="s">
        <v>2705</v>
      </c>
      <c r="AD527" s="77" t="s">
        <v>2751</v>
      </c>
      <c r="AE527" s="80" t="str">
        <f>HYPERLINK("https://twitter.com/suryakotianu/status/920267359402672128")</f>
        <v>https://twitter.com/suryakotianu/status/920267359402672128</v>
      </c>
      <c r="AF527" s="79">
        <v>43025.5255787037</v>
      </c>
      <c r="AG527" s="85">
        <v>43025</v>
      </c>
      <c r="AH527" s="81" t="s">
        <v>3157</v>
      </c>
      <c r="AI527" s="77" t="b">
        <v>0</v>
      </c>
      <c r="AJ527" s="77" t="s">
        <v>3881</v>
      </c>
      <c r="AK527" s="77" t="s">
        <v>3889</v>
      </c>
      <c r="AL527" s="77" t="s">
        <v>3892</v>
      </c>
      <c r="AM527" s="77" t="s">
        <v>3895</v>
      </c>
      <c r="AN527" s="77" t="s">
        <v>3902</v>
      </c>
      <c r="AO527" s="77" t="s">
        <v>3910</v>
      </c>
      <c r="AP527" s="77" t="s">
        <v>3917</v>
      </c>
      <c r="AQ527" s="77" t="s">
        <v>4056</v>
      </c>
      <c r="AR527" s="77"/>
      <c r="AS527" s="77"/>
      <c r="AT527" s="77"/>
      <c r="AU527" s="77"/>
      <c r="AV527" s="80" t="str">
        <f>HYPERLINK("https://pbs.twimg.com/media/DMVyLH8VoAANU0A.jpg")</f>
        <v>https://pbs.twimg.com/media/DMVyLH8VoAANU0A.jpg</v>
      </c>
      <c r="AW527" s="81" t="s">
        <v>4903</v>
      </c>
      <c r="AX527" s="81" t="s">
        <v>4903</v>
      </c>
      <c r="AY527" s="77"/>
      <c r="AZ527" s="81" t="s">
        <v>5773</v>
      </c>
      <c r="BA527" s="81" t="s">
        <v>5773</v>
      </c>
      <c r="BB527" s="81" t="s">
        <v>5773</v>
      </c>
      <c r="BC527" s="81" t="s">
        <v>4903</v>
      </c>
      <c r="BD527" s="81" t="s">
        <v>5819</v>
      </c>
      <c r="BE527" s="77"/>
      <c r="BF527" s="77"/>
      <c r="BG527" s="77"/>
      <c r="BH527" s="77"/>
      <c r="BI527" s="77"/>
    </row>
    <row r="528" spans="1:61" ht="15">
      <c r="A528" s="62" t="s">
        <v>369</v>
      </c>
      <c r="B528" s="62" t="s">
        <v>369</v>
      </c>
      <c r="C528" s="63"/>
      <c r="D528" s="64"/>
      <c r="E528" s="65"/>
      <c r="F528" s="66"/>
      <c r="G528" s="63"/>
      <c r="H528" s="67"/>
      <c r="I528" s="68"/>
      <c r="J528" s="68"/>
      <c r="K528" s="32" t="s">
        <v>65</v>
      </c>
      <c r="L528" s="75">
        <v>528</v>
      </c>
      <c r="M528" s="75"/>
      <c r="N528" s="70"/>
      <c r="O528" s="77" t="s">
        <v>179</v>
      </c>
      <c r="P528" s="79">
        <v>43025.55042824074</v>
      </c>
      <c r="Q528" s="77" t="s">
        <v>968</v>
      </c>
      <c r="R528" s="77">
        <v>0</v>
      </c>
      <c r="S528" s="77">
        <v>0</v>
      </c>
      <c r="T528" s="77">
        <v>0</v>
      </c>
      <c r="U528" s="77">
        <v>0</v>
      </c>
      <c r="V528" s="77"/>
      <c r="W528" s="81" t="s">
        <v>299</v>
      </c>
      <c r="X528" s="80" t="str">
        <f>HYPERLINK("https://goo.gl/1nsjfN")</f>
        <v>https://goo.gl/1nsjfN</v>
      </c>
      <c r="Y528" s="77" t="s">
        <v>1975</v>
      </c>
      <c r="Z528" s="77"/>
      <c r="AA528" s="77" t="s">
        <v>2242</v>
      </c>
      <c r="AB528" s="77" t="s">
        <v>2698</v>
      </c>
      <c r="AC528" s="81" t="s">
        <v>2705</v>
      </c>
      <c r="AD528" s="77" t="s">
        <v>2751</v>
      </c>
      <c r="AE528" s="80" t="str">
        <f>HYPERLINK("https://twitter.com/suryakotianu/status/920276362044116992")</f>
        <v>https://twitter.com/suryakotianu/status/920276362044116992</v>
      </c>
      <c r="AF528" s="79">
        <v>43025.55042824074</v>
      </c>
      <c r="AG528" s="85">
        <v>43025</v>
      </c>
      <c r="AH528" s="81" t="s">
        <v>3158</v>
      </c>
      <c r="AI528" s="77" t="b">
        <v>0</v>
      </c>
      <c r="AJ528" s="77" t="s">
        <v>3881</v>
      </c>
      <c r="AK528" s="77" t="s">
        <v>3889</v>
      </c>
      <c r="AL528" s="77" t="s">
        <v>3892</v>
      </c>
      <c r="AM528" s="77" t="s">
        <v>3895</v>
      </c>
      <c r="AN528" s="77" t="s">
        <v>3902</v>
      </c>
      <c r="AO528" s="77" t="s">
        <v>3910</v>
      </c>
      <c r="AP528" s="77" t="s">
        <v>3917</v>
      </c>
      <c r="AQ528" s="77" t="s">
        <v>4057</v>
      </c>
      <c r="AR528" s="77"/>
      <c r="AS528" s="77"/>
      <c r="AT528" s="77"/>
      <c r="AU528" s="77"/>
      <c r="AV528" s="80" t="str">
        <f>HYPERLINK("https://pbs.twimg.com/tweet_video_thumb/DMV6cIEVwAEH0-d.jpg")</f>
        <v>https://pbs.twimg.com/tweet_video_thumb/DMV6cIEVwAEH0-d.jpg</v>
      </c>
      <c r="AW528" s="81" t="s">
        <v>4904</v>
      </c>
      <c r="AX528" s="81" t="s">
        <v>4904</v>
      </c>
      <c r="AY528" s="77"/>
      <c r="AZ528" s="81" t="s">
        <v>5773</v>
      </c>
      <c r="BA528" s="81" t="s">
        <v>5773</v>
      </c>
      <c r="BB528" s="81" t="s">
        <v>5773</v>
      </c>
      <c r="BC528" s="81" t="s">
        <v>4904</v>
      </c>
      <c r="BD528" s="81" t="s">
        <v>5819</v>
      </c>
      <c r="BE528" s="77"/>
      <c r="BF528" s="77"/>
      <c r="BG528" s="77"/>
      <c r="BH528" s="77"/>
      <c r="BI528" s="77"/>
    </row>
    <row r="529" spans="1:61" ht="15">
      <c r="A529" s="62" t="s">
        <v>369</v>
      </c>
      <c r="B529" s="62" t="s">
        <v>369</v>
      </c>
      <c r="C529" s="63"/>
      <c r="D529" s="64"/>
      <c r="E529" s="65"/>
      <c r="F529" s="66"/>
      <c r="G529" s="63"/>
      <c r="H529" s="67"/>
      <c r="I529" s="68"/>
      <c r="J529" s="68"/>
      <c r="K529" s="32" t="s">
        <v>65</v>
      </c>
      <c r="L529" s="75">
        <v>529</v>
      </c>
      <c r="M529" s="75"/>
      <c r="N529" s="70"/>
      <c r="O529" s="77" t="s">
        <v>179</v>
      </c>
      <c r="P529" s="79">
        <v>43025.54997685185</v>
      </c>
      <c r="Q529" s="77" t="s">
        <v>969</v>
      </c>
      <c r="R529" s="77">
        <v>0</v>
      </c>
      <c r="S529" s="77">
        <v>0</v>
      </c>
      <c r="T529" s="77">
        <v>0</v>
      </c>
      <c r="U529" s="77">
        <v>0</v>
      </c>
      <c r="V529" s="77"/>
      <c r="W529" s="81" t="s">
        <v>299</v>
      </c>
      <c r="X529" s="80" t="str">
        <f>HYPERLINK("https://goo.gl/yMDgpY")</f>
        <v>https://goo.gl/yMDgpY</v>
      </c>
      <c r="Y529" s="77" t="s">
        <v>1975</v>
      </c>
      <c r="Z529" s="77"/>
      <c r="AA529" s="77" t="s">
        <v>2243</v>
      </c>
      <c r="AB529" s="77" t="s">
        <v>2698</v>
      </c>
      <c r="AC529" s="81" t="s">
        <v>2705</v>
      </c>
      <c r="AD529" s="77" t="s">
        <v>2751</v>
      </c>
      <c r="AE529" s="80" t="str">
        <f>HYPERLINK("https://twitter.com/suryakotianu/status/920276198483148802")</f>
        <v>https://twitter.com/suryakotianu/status/920276198483148802</v>
      </c>
      <c r="AF529" s="79">
        <v>43025.54997685185</v>
      </c>
      <c r="AG529" s="85">
        <v>43025</v>
      </c>
      <c r="AH529" s="81" t="s">
        <v>3159</v>
      </c>
      <c r="AI529" s="77" t="b">
        <v>0</v>
      </c>
      <c r="AJ529" s="77" t="s">
        <v>3881</v>
      </c>
      <c r="AK529" s="77" t="s">
        <v>3889</v>
      </c>
      <c r="AL529" s="77" t="s">
        <v>3892</v>
      </c>
      <c r="AM529" s="77" t="s">
        <v>3895</v>
      </c>
      <c r="AN529" s="77" t="s">
        <v>3902</v>
      </c>
      <c r="AO529" s="77" t="s">
        <v>3910</v>
      </c>
      <c r="AP529" s="77" t="s">
        <v>3917</v>
      </c>
      <c r="AQ529" s="77" t="s">
        <v>4058</v>
      </c>
      <c r="AR529" s="77"/>
      <c r="AS529" s="77"/>
      <c r="AT529" s="77"/>
      <c r="AU529" s="77"/>
      <c r="AV529" s="80" t="str">
        <f>HYPERLINK("https://pbs.twimg.com/tweet_video_thumb/DMV6PMHU8AEQjtm.jpg")</f>
        <v>https://pbs.twimg.com/tweet_video_thumb/DMV6PMHU8AEQjtm.jpg</v>
      </c>
      <c r="AW529" s="81" t="s">
        <v>4905</v>
      </c>
      <c r="AX529" s="81" t="s">
        <v>4905</v>
      </c>
      <c r="AY529" s="77"/>
      <c r="AZ529" s="81" t="s">
        <v>5773</v>
      </c>
      <c r="BA529" s="81" t="s">
        <v>5773</v>
      </c>
      <c r="BB529" s="81" t="s">
        <v>5773</v>
      </c>
      <c r="BC529" s="81" t="s">
        <v>4905</v>
      </c>
      <c r="BD529" s="81" t="s">
        <v>5819</v>
      </c>
      <c r="BE529" s="77"/>
      <c r="BF529" s="77"/>
      <c r="BG529" s="77"/>
      <c r="BH529" s="77"/>
      <c r="BI529" s="77"/>
    </row>
    <row r="530" spans="1:61" ht="15">
      <c r="A530" s="62" t="s">
        <v>369</v>
      </c>
      <c r="B530" s="62" t="s">
        <v>369</v>
      </c>
      <c r="C530" s="63"/>
      <c r="D530" s="64"/>
      <c r="E530" s="65"/>
      <c r="F530" s="66"/>
      <c r="G530" s="63"/>
      <c r="H530" s="67"/>
      <c r="I530" s="68"/>
      <c r="J530" s="68"/>
      <c r="K530" s="32" t="s">
        <v>65</v>
      </c>
      <c r="L530" s="75">
        <v>530</v>
      </c>
      <c r="M530" s="75"/>
      <c r="N530" s="70"/>
      <c r="O530" s="77" t="s">
        <v>179</v>
      </c>
      <c r="P530" s="79">
        <v>43025.55857638889</v>
      </c>
      <c r="Q530" s="77" t="s">
        <v>970</v>
      </c>
      <c r="R530" s="77">
        <v>0</v>
      </c>
      <c r="S530" s="77">
        <v>0</v>
      </c>
      <c r="T530" s="77">
        <v>0</v>
      </c>
      <c r="U530" s="77">
        <v>0</v>
      </c>
      <c r="V530" s="77"/>
      <c r="W530" s="81" t="s">
        <v>299</v>
      </c>
      <c r="X530" s="80" t="str">
        <f>HYPERLINK("https://goo.gl/R94Vmt")</f>
        <v>https://goo.gl/R94Vmt</v>
      </c>
      <c r="Y530" s="77" t="s">
        <v>1975</v>
      </c>
      <c r="Z530" s="77"/>
      <c r="AA530" s="77" t="s">
        <v>2244</v>
      </c>
      <c r="AB530" s="77" t="s">
        <v>2696</v>
      </c>
      <c r="AC530" s="81" t="s">
        <v>2705</v>
      </c>
      <c r="AD530" s="77" t="s">
        <v>2751</v>
      </c>
      <c r="AE530" s="80" t="str">
        <f>HYPERLINK("https://twitter.com/suryakotianu/status/920279314939068417")</f>
        <v>https://twitter.com/suryakotianu/status/920279314939068417</v>
      </c>
      <c r="AF530" s="79">
        <v>43025.55857638889</v>
      </c>
      <c r="AG530" s="85">
        <v>43025</v>
      </c>
      <c r="AH530" s="81" t="s">
        <v>3160</v>
      </c>
      <c r="AI530" s="77" t="b">
        <v>0</v>
      </c>
      <c r="AJ530" s="77" t="s">
        <v>3881</v>
      </c>
      <c r="AK530" s="77" t="s">
        <v>3889</v>
      </c>
      <c r="AL530" s="77" t="s">
        <v>3892</v>
      </c>
      <c r="AM530" s="77" t="s">
        <v>3895</v>
      </c>
      <c r="AN530" s="77" t="s">
        <v>3902</v>
      </c>
      <c r="AO530" s="77" t="s">
        <v>3910</v>
      </c>
      <c r="AP530" s="77" t="s">
        <v>3917</v>
      </c>
      <c r="AQ530" s="77" t="s">
        <v>4059</v>
      </c>
      <c r="AR530" s="77"/>
      <c r="AS530" s="77"/>
      <c r="AT530" s="77"/>
      <c r="AU530" s="77"/>
      <c r="AV530" s="80" t="str">
        <f>HYPERLINK("https://pbs.twimg.com/media/DMV9JiNVwAAzW9X.jpg")</f>
        <v>https://pbs.twimg.com/media/DMV9JiNVwAAzW9X.jpg</v>
      </c>
      <c r="AW530" s="81" t="s">
        <v>4906</v>
      </c>
      <c r="AX530" s="81" t="s">
        <v>4906</v>
      </c>
      <c r="AY530" s="77"/>
      <c r="AZ530" s="81" t="s">
        <v>5773</v>
      </c>
      <c r="BA530" s="81" t="s">
        <v>5773</v>
      </c>
      <c r="BB530" s="81" t="s">
        <v>5773</v>
      </c>
      <c r="BC530" s="81" t="s">
        <v>4906</v>
      </c>
      <c r="BD530" s="81" t="s">
        <v>5819</v>
      </c>
      <c r="BE530" s="77"/>
      <c r="BF530" s="77"/>
      <c r="BG530" s="77"/>
      <c r="BH530" s="77"/>
      <c r="BI530" s="77"/>
    </row>
    <row r="531" spans="1:61" ht="15">
      <c r="A531" s="62" t="s">
        <v>369</v>
      </c>
      <c r="B531" s="62" t="s">
        <v>369</v>
      </c>
      <c r="C531" s="63"/>
      <c r="D531" s="64"/>
      <c r="E531" s="65"/>
      <c r="F531" s="66"/>
      <c r="G531" s="63"/>
      <c r="H531" s="67"/>
      <c r="I531" s="68"/>
      <c r="J531" s="68"/>
      <c r="K531" s="32" t="s">
        <v>65</v>
      </c>
      <c r="L531" s="75">
        <v>531</v>
      </c>
      <c r="M531" s="75"/>
      <c r="N531" s="70"/>
      <c r="O531" s="77" t="s">
        <v>179</v>
      </c>
      <c r="P531" s="79">
        <v>43025.55804398148</v>
      </c>
      <c r="Q531" s="77" t="s">
        <v>971</v>
      </c>
      <c r="R531" s="77">
        <v>0</v>
      </c>
      <c r="S531" s="77">
        <v>0</v>
      </c>
      <c r="T531" s="77">
        <v>0</v>
      </c>
      <c r="U531" s="77">
        <v>0</v>
      </c>
      <c r="V531" s="77"/>
      <c r="W531" s="81" t="s">
        <v>299</v>
      </c>
      <c r="X531" s="80" t="str">
        <f>HYPERLINK("https://goo.gl/ssTXSt")</f>
        <v>https://goo.gl/ssTXSt</v>
      </c>
      <c r="Y531" s="77" t="s">
        <v>1975</v>
      </c>
      <c r="Z531" s="77"/>
      <c r="AA531" s="77" t="s">
        <v>2245</v>
      </c>
      <c r="AB531" s="77" t="s">
        <v>2696</v>
      </c>
      <c r="AC531" s="81" t="s">
        <v>2705</v>
      </c>
      <c r="AD531" s="77" t="s">
        <v>2751</v>
      </c>
      <c r="AE531" s="80" t="str">
        <f>HYPERLINK("https://twitter.com/suryakotianu/status/920279123569676288")</f>
        <v>https://twitter.com/suryakotianu/status/920279123569676288</v>
      </c>
      <c r="AF531" s="79">
        <v>43025.55804398148</v>
      </c>
      <c r="AG531" s="85">
        <v>43025</v>
      </c>
      <c r="AH531" s="81" t="s">
        <v>3161</v>
      </c>
      <c r="AI531" s="77" t="b">
        <v>0</v>
      </c>
      <c r="AJ531" s="77" t="s">
        <v>3881</v>
      </c>
      <c r="AK531" s="77" t="s">
        <v>3889</v>
      </c>
      <c r="AL531" s="77" t="s">
        <v>3892</v>
      </c>
      <c r="AM531" s="77" t="s">
        <v>3895</v>
      </c>
      <c r="AN531" s="77" t="s">
        <v>3902</v>
      </c>
      <c r="AO531" s="77" t="s">
        <v>3910</v>
      </c>
      <c r="AP531" s="77" t="s">
        <v>3917</v>
      </c>
      <c r="AQ531" s="77" t="s">
        <v>4060</v>
      </c>
      <c r="AR531" s="77"/>
      <c r="AS531" s="77"/>
      <c r="AT531" s="77"/>
      <c r="AU531" s="77"/>
      <c r="AV531" s="80" t="str">
        <f>HYPERLINK("https://pbs.twimg.com/media/DMV8-SsU8AAoLIA.jpg")</f>
        <v>https://pbs.twimg.com/media/DMV8-SsU8AAoLIA.jpg</v>
      </c>
      <c r="AW531" s="81" t="s">
        <v>4907</v>
      </c>
      <c r="AX531" s="81" t="s">
        <v>4907</v>
      </c>
      <c r="AY531" s="77"/>
      <c r="AZ531" s="81" t="s">
        <v>5773</v>
      </c>
      <c r="BA531" s="81" t="s">
        <v>5773</v>
      </c>
      <c r="BB531" s="81" t="s">
        <v>5773</v>
      </c>
      <c r="BC531" s="81" t="s">
        <v>4907</v>
      </c>
      <c r="BD531" s="81" t="s">
        <v>5819</v>
      </c>
      <c r="BE531" s="77"/>
      <c r="BF531" s="77"/>
      <c r="BG531" s="77"/>
      <c r="BH531" s="77"/>
      <c r="BI531" s="77"/>
    </row>
    <row r="532" spans="1:61" ht="15">
      <c r="A532" s="62" t="s">
        <v>369</v>
      </c>
      <c r="B532" s="62" t="s">
        <v>369</v>
      </c>
      <c r="C532" s="63"/>
      <c r="D532" s="64"/>
      <c r="E532" s="65"/>
      <c r="F532" s="66"/>
      <c r="G532" s="63"/>
      <c r="H532" s="67"/>
      <c r="I532" s="68"/>
      <c r="J532" s="68"/>
      <c r="K532" s="32" t="s">
        <v>65</v>
      </c>
      <c r="L532" s="75">
        <v>532</v>
      </c>
      <c r="M532" s="75"/>
      <c r="N532" s="70"/>
      <c r="O532" s="77" t="s">
        <v>179</v>
      </c>
      <c r="P532" s="79">
        <v>43025.55762731482</v>
      </c>
      <c r="Q532" s="77" t="s">
        <v>972</v>
      </c>
      <c r="R532" s="77">
        <v>0</v>
      </c>
      <c r="S532" s="77">
        <v>0</v>
      </c>
      <c r="T532" s="77">
        <v>0</v>
      </c>
      <c r="U532" s="77">
        <v>0</v>
      </c>
      <c r="V532" s="77"/>
      <c r="W532" s="81" t="s">
        <v>299</v>
      </c>
      <c r="X532" s="80" t="str">
        <f>HYPERLINK("https://goo.gl/uJA9SJ")</f>
        <v>https://goo.gl/uJA9SJ</v>
      </c>
      <c r="Y532" s="77" t="s">
        <v>1975</v>
      </c>
      <c r="Z532" s="77"/>
      <c r="AA532" s="77" t="s">
        <v>2246</v>
      </c>
      <c r="AB532" s="77" t="s">
        <v>2696</v>
      </c>
      <c r="AC532" s="81" t="s">
        <v>2705</v>
      </c>
      <c r="AD532" s="77" t="s">
        <v>2751</v>
      </c>
      <c r="AE532" s="80" t="str">
        <f>HYPERLINK("https://twitter.com/suryakotianu/status/920278971790475264")</f>
        <v>https://twitter.com/suryakotianu/status/920278971790475264</v>
      </c>
      <c r="AF532" s="79">
        <v>43025.55762731482</v>
      </c>
      <c r="AG532" s="85">
        <v>43025</v>
      </c>
      <c r="AH532" s="81" t="s">
        <v>3162</v>
      </c>
      <c r="AI532" s="77" t="b">
        <v>0</v>
      </c>
      <c r="AJ532" s="77" t="s">
        <v>3881</v>
      </c>
      <c r="AK532" s="77" t="s">
        <v>3889</v>
      </c>
      <c r="AL532" s="77" t="s">
        <v>3892</v>
      </c>
      <c r="AM532" s="77" t="s">
        <v>3895</v>
      </c>
      <c r="AN532" s="77" t="s">
        <v>3902</v>
      </c>
      <c r="AO532" s="77" t="s">
        <v>3910</v>
      </c>
      <c r="AP532" s="77" t="s">
        <v>3917</v>
      </c>
      <c r="AQ532" s="77" t="s">
        <v>4061</v>
      </c>
      <c r="AR532" s="77"/>
      <c r="AS532" s="77"/>
      <c r="AT532" s="77"/>
      <c r="AU532" s="77"/>
      <c r="AV532" s="80" t="str">
        <f>HYPERLINK("https://pbs.twimg.com/media/DMV81isUEAAHpzg.jpg")</f>
        <v>https://pbs.twimg.com/media/DMV81isUEAAHpzg.jpg</v>
      </c>
      <c r="AW532" s="81" t="s">
        <v>4908</v>
      </c>
      <c r="AX532" s="81" t="s">
        <v>4908</v>
      </c>
      <c r="AY532" s="77"/>
      <c r="AZ532" s="81" t="s">
        <v>5773</v>
      </c>
      <c r="BA532" s="81" t="s">
        <v>5773</v>
      </c>
      <c r="BB532" s="81" t="s">
        <v>5773</v>
      </c>
      <c r="BC532" s="81" t="s">
        <v>4908</v>
      </c>
      <c r="BD532" s="81" t="s">
        <v>5819</v>
      </c>
      <c r="BE532" s="77"/>
      <c r="BF532" s="77"/>
      <c r="BG532" s="77"/>
      <c r="BH532" s="77"/>
      <c r="BI532" s="77"/>
    </row>
    <row r="533" spans="1:61" ht="15">
      <c r="A533" s="62" t="s">
        <v>369</v>
      </c>
      <c r="B533" s="62" t="s">
        <v>369</v>
      </c>
      <c r="C533" s="63"/>
      <c r="D533" s="64"/>
      <c r="E533" s="65"/>
      <c r="F533" s="66"/>
      <c r="G533" s="63"/>
      <c r="H533" s="67"/>
      <c r="I533" s="68"/>
      <c r="J533" s="68"/>
      <c r="K533" s="32" t="s">
        <v>65</v>
      </c>
      <c r="L533" s="75">
        <v>533</v>
      </c>
      <c r="M533" s="75"/>
      <c r="N533" s="70"/>
      <c r="O533" s="77" t="s">
        <v>179</v>
      </c>
      <c r="P533" s="79">
        <v>43025.55721064815</v>
      </c>
      <c r="Q533" s="77" t="s">
        <v>973</v>
      </c>
      <c r="R533" s="77">
        <v>0</v>
      </c>
      <c r="S533" s="77">
        <v>0</v>
      </c>
      <c r="T533" s="77">
        <v>0</v>
      </c>
      <c r="U533" s="77">
        <v>0</v>
      </c>
      <c r="V533" s="77"/>
      <c r="W533" s="81" t="s">
        <v>299</v>
      </c>
      <c r="X533" s="80" t="str">
        <f>HYPERLINK("https://goo.gl/eWoz58")</f>
        <v>https://goo.gl/eWoz58</v>
      </c>
      <c r="Y533" s="77" t="s">
        <v>1975</v>
      </c>
      <c r="Z533" s="77"/>
      <c r="AA533" s="77" t="s">
        <v>2247</v>
      </c>
      <c r="AB533" s="77" t="s">
        <v>2696</v>
      </c>
      <c r="AC533" s="81" t="s">
        <v>2705</v>
      </c>
      <c r="AD533" s="77" t="s">
        <v>2751</v>
      </c>
      <c r="AE533" s="80" t="str">
        <f>HYPERLINK("https://twitter.com/suryakotianu/status/920278819432361984")</f>
        <v>https://twitter.com/suryakotianu/status/920278819432361984</v>
      </c>
      <c r="AF533" s="79">
        <v>43025.55721064815</v>
      </c>
      <c r="AG533" s="85">
        <v>43025</v>
      </c>
      <c r="AH533" s="81" t="s">
        <v>3163</v>
      </c>
      <c r="AI533" s="77" t="b">
        <v>0</v>
      </c>
      <c r="AJ533" s="77" t="s">
        <v>3881</v>
      </c>
      <c r="AK533" s="77" t="s">
        <v>3889</v>
      </c>
      <c r="AL533" s="77" t="s">
        <v>3892</v>
      </c>
      <c r="AM533" s="77" t="s">
        <v>3895</v>
      </c>
      <c r="AN533" s="77" t="s">
        <v>3902</v>
      </c>
      <c r="AO533" s="77" t="s">
        <v>3910</v>
      </c>
      <c r="AP533" s="77" t="s">
        <v>3917</v>
      </c>
      <c r="AQ533" s="77" t="s">
        <v>4062</v>
      </c>
      <c r="AR533" s="77"/>
      <c r="AS533" s="77"/>
      <c r="AT533" s="77"/>
      <c r="AU533" s="77"/>
      <c r="AV533" s="80" t="str">
        <f>HYPERLINK("https://pbs.twimg.com/media/DMV8sy5U8AENcmu.jpg")</f>
        <v>https://pbs.twimg.com/media/DMV8sy5U8AENcmu.jpg</v>
      </c>
      <c r="AW533" s="81" t="s">
        <v>4909</v>
      </c>
      <c r="AX533" s="81" t="s">
        <v>4909</v>
      </c>
      <c r="AY533" s="77"/>
      <c r="AZ533" s="81" t="s">
        <v>5773</v>
      </c>
      <c r="BA533" s="81" t="s">
        <v>5773</v>
      </c>
      <c r="BB533" s="81" t="s">
        <v>5773</v>
      </c>
      <c r="BC533" s="81" t="s">
        <v>4909</v>
      </c>
      <c r="BD533" s="81" t="s">
        <v>5819</v>
      </c>
      <c r="BE533" s="77"/>
      <c r="BF533" s="77"/>
      <c r="BG533" s="77"/>
      <c r="BH533" s="77"/>
      <c r="BI533" s="77"/>
    </row>
    <row r="534" spans="1:61" ht="15">
      <c r="A534" s="62" t="s">
        <v>369</v>
      </c>
      <c r="B534" s="62" t="s">
        <v>369</v>
      </c>
      <c r="C534" s="63"/>
      <c r="D534" s="64"/>
      <c r="E534" s="65"/>
      <c r="F534" s="66"/>
      <c r="G534" s="63"/>
      <c r="H534" s="67"/>
      <c r="I534" s="68"/>
      <c r="J534" s="68"/>
      <c r="K534" s="32" t="s">
        <v>65</v>
      </c>
      <c r="L534" s="75">
        <v>534</v>
      </c>
      <c r="M534" s="75"/>
      <c r="N534" s="70"/>
      <c r="O534" s="77" t="s">
        <v>179</v>
      </c>
      <c r="P534" s="79">
        <v>43025.55679398148</v>
      </c>
      <c r="Q534" s="77" t="s">
        <v>974</v>
      </c>
      <c r="R534" s="77">
        <v>0</v>
      </c>
      <c r="S534" s="77">
        <v>0</v>
      </c>
      <c r="T534" s="77">
        <v>0</v>
      </c>
      <c r="U534" s="77">
        <v>0</v>
      </c>
      <c r="V534" s="77"/>
      <c r="W534" s="81" t="s">
        <v>299</v>
      </c>
      <c r="X534" s="80" t="str">
        <f>HYPERLINK("https://goo.gl/PwtyPa")</f>
        <v>https://goo.gl/PwtyPa</v>
      </c>
      <c r="Y534" s="77" t="s">
        <v>1975</v>
      </c>
      <c r="Z534" s="77"/>
      <c r="AA534" s="77" t="s">
        <v>2248</v>
      </c>
      <c r="AB534" s="77" t="s">
        <v>2696</v>
      </c>
      <c r="AC534" s="81" t="s">
        <v>2705</v>
      </c>
      <c r="AD534" s="77" t="s">
        <v>2751</v>
      </c>
      <c r="AE534" s="80" t="str">
        <f>HYPERLINK("https://twitter.com/suryakotianu/status/920278668886208512")</f>
        <v>https://twitter.com/suryakotianu/status/920278668886208512</v>
      </c>
      <c r="AF534" s="79">
        <v>43025.55679398148</v>
      </c>
      <c r="AG534" s="85">
        <v>43025</v>
      </c>
      <c r="AH534" s="81" t="s">
        <v>3164</v>
      </c>
      <c r="AI534" s="77" t="b">
        <v>0</v>
      </c>
      <c r="AJ534" s="77" t="s">
        <v>3881</v>
      </c>
      <c r="AK534" s="77" t="s">
        <v>3889</v>
      </c>
      <c r="AL534" s="77" t="s">
        <v>3892</v>
      </c>
      <c r="AM534" s="77" t="s">
        <v>3895</v>
      </c>
      <c r="AN534" s="77" t="s">
        <v>3902</v>
      </c>
      <c r="AO534" s="77" t="s">
        <v>3910</v>
      </c>
      <c r="AP534" s="77" t="s">
        <v>3917</v>
      </c>
      <c r="AQ534" s="77" t="s">
        <v>4063</v>
      </c>
      <c r="AR534" s="77"/>
      <c r="AS534" s="77"/>
      <c r="AT534" s="77"/>
      <c r="AU534" s="77"/>
      <c r="AV534" s="80" t="str">
        <f>HYPERLINK("https://pbs.twimg.com/media/DMV8j9iUIAEol_v.jpg")</f>
        <v>https://pbs.twimg.com/media/DMV8j9iUIAEol_v.jpg</v>
      </c>
      <c r="AW534" s="81" t="s">
        <v>4910</v>
      </c>
      <c r="AX534" s="81" t="s">
        <v>4910</v>
      </c>
      <c r="AY534" s="77"/>
      <c r="AZ534" s="81" t="s">
        <v>5773</v>
      </c>
      <c r="BA534" s="81" t="s">
        <v>5773</v>
      </c>
      <c r="BB534" s="81" t="s">
        <v>5773</v>
      </c>
      <c r="BC534" s="81" t="s">
        <v>4910</v>
      </c>
      <c r="BD534" s="81" t="s">
        <v>5819</v>
      </c>
      <c r="BE534" s="77"/>
      <c r="BF534" s="77"/>
      <c r="BG534" s="77"/>
      <c r="BH534" s="77"/>
      <c r="BI534" s="77"/>
    </row>
    <row r="535" spans="1:61" ht="15">
      <c r="A535" s="62" t="s">
        <v>369</v>
      </c>
      <c r="B535" s="62" t="s">
        <v>369</v>
      </c>
      <c r="C535" s="63"/>
      <c r="D535" s="64"/>
      <c r="E535" s="65"/>
      <c r="F535" s="66"/>
      <c r="G535" s="63"/>
      <c r="H535" s="67"/>
      <c r="I535" s="68"/>
      <c r="J535" s="68"/>
      <c r="K535" s="32" t="s">
        <v>65</v>
      </c>
      <c r="L535" s="75">
        <v>535</v>
      </c>
      <c r="M535" s="75"/>
      <c r="N535" s="70"/>
      <c r="O535" s="77" t="s">
        <v>179</v>
      </c>
      <c r="P535" s="79">
        <v>43025.556238425925</v>
      </c>
      <c r="Q535" s="77" t="s">
        <v>975</v>
      </c>
      <c r="R535" s="77">
        <v>0</v>
      </c>
      <c r="S535" s="77">
        <v>0</v>
      </c>
      <c r="T535" s="77">
        <v>0</v>
      </c>
      <c r="U535" s="77">
        <v>0</v>
      </c>
      <c r="V535" s="77"/>
      <c r="W535" s="81" t="s">
        <v>299</v>
      </c>
      <c r="X535" s="80" t="str">
        <f>HYPERLINK("https://goo.gl/iUnktc")</f>
        <v>https://goo.gl/iUnktc</v>
      </c>
      <c r="Y535" s="77" t="s">
        <v>1975</v>
      </c>
      <c r="Z535" s="77"/>
      <c r="AA535" s="77" t="s">
        <v>2249</v>
      </c>
      <c r="AB535" s="77" t="s">
        <v>2696</v>
      </c>
      <c r="AC535" s="81" t="s">
        <v>2705</v>
      </c>
      <c r="AD535" s="77" t="s">
        <v>2751</v>
      </c>
      <c r="AE535" s="80" t="str">
        <f>HYPERLINK("https://twitter.com/suryakotianu/status/920278469983977472")</f>
        <v>https://twitter.com/suryakotianu/status/920278469983977472</v>
      </c>
      <c r="AF535" s="79">
        <v>43025.556238425925</v>
      </c>
      <c r="AG535" s="85">
        <v>43025</v>
      </c>
      <c r="AH535" s="81" t="s">
        <v>3165</v>
      </c>
      <c r="AI535" s="77" t="b">
        <v>0</v>
      </c>
      <c r="AJ535" s="77" t="s">
        <v>3881</v>
      </c>
      <c r="AK535" s="77" t="s">
        <v>3889</v>
      </c>
      <c r="AL535" s="77" t="s">
        <v>3892</v>
      </c>
      <c r="AM535" s="77" t="s">
        <v>3895</v>
      </c>
      <c r="AN535" s="77" t="s">
        <v>3902</v>
      </c>
      <c r="AO535" s="77" t="s">
        <v>3910</v>
      </c>
      <c r="AP535" s="77" t="s">
        <v>3917</v>
      </c>
      <c r="AQ535" s="77" t="s">
        <v>4064</v>
      </c>
      <c r="AR535" s="77"/>
      <c r="AS535" s="77"/>
      <c r="AT535" s="77"/>
      <c r="AU535" s="77"/>
      <c r="AV535" s="80" t="str">
        <f>HYPERLINK("https://pbs.twimg.com/media/DMV8XZQU8AEZY9d.jpg")</f>
        <v>https://pbs.twimg.com/media/DMV8XZQU8AEZY9d.jpg</v>
      </c>
      <c r="AW535" s="81" t="s">
        <v>4911</v>
      </c>
      <c r="AX535" s="81" t="s">
        <v>4911</v>
      </c>
      <c r="AY535" s="77"/>
      <c r="AZ535" s="81" t="s">
        <v>5773</v>
      </c>
      <c r="BA535" s="81" t="s">
        <v>5773</v>
      </c>
      <c r="BB535" s="81" t="s">
        <v>5773</v>
      </c>
      <c r="BC535" s="81" t="s">
        <v>4911</v>
      </c>
      <c r="BD535" s="81" t="s">
        <v>5819</v>
      </c>
      <c r="BE535" s="77"/>
      <c r="BF535" s="77"/>
      <c r="BG535" s="77"/>
      <c r="BH535" s="77"/>
      <c r="BI535" s="77"/>
    </row>
    <row r="536" spans="1:61" ht="15">
      <c r="A536" s="62" t="s">
        <v>369</v>
      </c>
      <c r="B536" s="62" t="s">
        <v>369</v>
      </c>
      <c r="C536" s="63"/>
      <c r="D536" s="64"/>
      <c r="E536" s="65"/>
      <c r="F536" s="66"/>
      <c r="G536" s="63"/>
      <c r="H536" s="67"/>
      <c r="I536" s="68"/>
      <c r="J536" s="68"/>
      <c r="K536" s="32" t="s">
        <v>65</v>
      </c>
      <c r="L536" s="75">
        <v>536</v>
      </c>
      <c r="M536" s="75"/>
      <c r="N536" s="70"/>
      <c r="O536" s="77" t="s">
        <v>179</v>
      </c>
      <c r="P536" s="79">
        <v>43025.55570601852</v>
      </c>
      <c r="Q536" s="77" t="s">
        <v>976</v>
      </c>
      <c r="R536" s="77">
        <v>0</v>
      </c>
      <c r="S536" s="77">
        <v>0</v>
      </c>
      <c r="T536" s="77">
        <v>0</v>
      </c>
      <c r="U536" s="77">
        <v>0</v>
      </c>
      <c r="V536" s="77"/>
      <c r="W536" s="81" t="s">
        <v>299</v>
      </c>
      <c r="X536" s="80" t="str">
        <f>HYPERLINK("https://goo.gl/5CFM7S")</f>
        <v>https://goo.gl/5CFM7S</v>
      </c>
      <c r="Y536" s="77" t="s">
        <v>1975</v>
      </c>
      <c r="Z536" s="77"/>
      <c r="AA536" s="77" t="s">
        <v>2250</v>
      </c>
      <c r="AB536" s="77" t="s">
        <v>2696</v>
      </c>
      <c r="AC536" s="81" t="s">
        <v>2705</v>
      </c>
      <c r="AD536" s="77" t="s">
        <v>2751</v>
      </c>
      <c r="AE536" s="80" t="str">
        <f>HYPERLINK("https://twitter.com/suryakotianu/status/920278277599535106")</f>
        <v>https://twitter.com/suryakotianu/status/920278277599535106</v>
      </c>
      <c r="AF536" s="79">
        <v>43025.55570601852</v>
      </c>
      <c r="AG536" s="85">
        <v>43025</v>
      </c>
      <c r="AH536" s="81" t="s">
        <v>3166</v>
      </c>
      <c r="AI536" s="77" t="b">
        <v>0</v>
      </c>
      <c r="AJ536" s="77" t="s">
        <v>3881</v>
      </c>
      <c r="AK536" s="77" t="s">
        <v>3889</v>
      </c>
      <c r="AL536" s="77" t="s">
        <v>3892</v>
      </c>
      <c r="AM536" s="77" t="s">
        <v>3895</v>
      </c>
      <c r="AN536" s="77" t="s">
        <v>3902</v>
      </c>
      <c r="AO536" s="77" t="s">
        <v>3910</v>
      </c>
      <c r="AP536" s="77" t="s">
        <v>3917</v>
      </c>
      <c r="AQ536" s="77" t="s">
        <v>4065</v>
      </c>
      <c r="AR536" s="77"/>
      <c r="AS536" s="77"/>
      <c r="AT536" s="77"/>
      <c r="AU536" s="77"/>
      <c r="AV536" s="80" t="str">
        <f>HYPERLINK("https://pbs.twimg.com/media/DMV8M9cVwAAe6i4.jpg")</f>
        <v>https://pbs.twimg.com/media/DMV8M9cVwAAe6i4.jpg</v>
      </c>
      <c r="AW536" s="81" t="s">
        <v>4912</v>
      </c>
      <c r="AX536" s="81" t="s">
        <v>4912</v>
      </c>
      <c r="AY536" s="77"/>
      <c r="AZ536" s="81" t="s">
        <v>5773</v>
      </c>
      <c r="BA536" s="81" t="s">
        <v>5773</v>
      </c>
      <c r="BB536" s="81" t="s">
        <v>5773</v>
      </c>
      <c r="BC536" s="81" t="s">
        <v>4912</v>
      </c>
      <c r="BD536" s="81" t="s">
        <v>5819</v>
      </c>
      <c r="BE536" s="77"/>
      <c r="BF536" s="77"/>
      <c r="BG536" s="77"/>
      <c r="BH536" s="77"/>
      <c r="BI536" s="77"/>
    </row>
    <row r="537" spans="1:61" ht="15">
      <c r="A537" s="62" t="s">
        <v>369</v>
      </c>
      <c r="B537" s="62" t="s">
        <v>369</v>
      </c>
      <c r="C537" s="63"/>
      <c r="D537" s="64"/>
      <c r="E537" s="65"/>
      <c r="F537" s="66"/>
      <c r="G537" s="63"/>
      <c r="H537" s="67"/>
      <c r="I537" s="68"/>
      <c r="J537" s="68"/>
      <c r="K537" s="32" t="s">
        <v>65</v>
      </c>
      <c r="L537" s="75">
        <v>537</v>
      </c>
      <c r="M537" s="75"/>
      <c r="N537" s="70"/>
      <c r="O537" s="77" t="s">
        <v>179</v>
      </c>
      <c r="P537" s="79">
        <v>43025.555243055554</v>
      </c>
      <c r="Q537" s="77" t="s">
        <v>977</v>
      </c>
      <c r="R537" s="77">
        <v>0</v>
      </c>
      <c r="S537" s="77">
        <v>0</v>
      </c>
      <c r="T537" s="77">
        <v>0</v>
      </c>
      <c r="U537" s="77">
        <v>0</v>
      </c>
      <c r="V537" s="77"/>
      <c r="W537" s="81" t="s">
        <v>299</v>
      </c>
      <c r="X537" s="80" t="str">
        <f>HYPERLINK("https://goo.gl/LKgeKr")</f>
        <v>https://goo.gl/LKgeKr</v>
      </c>
      <c r="Y537" s="77" t="s">
        <v>1975</v>
      </c>
      <c r="Z537" s="77"/>
      <c r="AA537" s="77" t="s">
        <v>2251</v>
      </c>
      <c r="AB537" s="77" t="s">
        <v>2696</v>
      </c>
      <c r="AC537" s="81" t="s">
        <v>2705</v>
      </c>
      <c r="AD537" s="77" t="s">
        <v>2751</v>
      </c>
      <c r="AE537" s="80" t="str">
        <f>HYPERLINK("https://twitter.com/suryakotianu/status/920278107273048066")</f>
        <v>https://twitter.com/suryakotianu/status/920278107273048066</v>
      </c>
      <c r="AF537" s="79">
        <v>43025.555243055554</v>
      </c>
      <c r="AG537" s="85">
        <v>43025</v>
      </c>
      <c r="AH537" s="81" t="s">
        <v>3167</v>
      </c>
      <c r="AI537" s="77" t="b">
        <v>0</v>
      </c>
      <c r="AJ537" s="77" t="s">
        <v>3881</v>
      </c>
      <c r="AK537" s="77" t="s">
        <v>3889</v>
      </c>
      <c r="AL537" s="77" t="s">
        <v>3892</v>
      </c>
      <c r="AM537" s="77" t="s">
        <v>3895</v>
      </c>
      <c r="AN537" s="77" t="s">
        <v>3902</v>
      </c>
      <c r="AO537" s="77" t="s">
        <v>3910</v>
      </c>
      <c r="AP537" s="77" t="s">
        <v>3917</v>
      </c>
      <c r="AQ537" s="77" t="s">
        <v>4066</v>
      </c>
      <c r="AR537" s="77"/>
      <c r="AS537" s="77"/>
      <c r="AT537" s="77"/>
      <c r="AU537" s="77"/>
      <c r="AV537" s="80" t="str">
        <f>HYPERLINK("https://pbs.twimg.com/media/DMV8Db_UEAEtsOc.jpg")</f>
        <v>https://pbs.twimg.com/media/DMV8Db_UEAEtsOc.jpg</v>
      </c>
      <c r="AW537" s="81" t="s">
        <v>4913</v>
      </c>
      <c r="AX537" s="81" t="s">
        <v>4913</v>
      </c>
      <c r="AY537" s="77"/>
      <c r="AZ537" s="81" t="s">
        <v>5773</v>
      </c>
      <c r="BA537" s="81" t="s">
        <v>5773</v>
      </c>
      <c r="BB537" s="81" t="s">
        <v>5773</v>
      </c>
      <c r="BC537" s="81" t="s">
        <v>4913</v>
      </c>
      <c r="BD537" s="81" t="s">
        <v>5819</v>
      </c>
      <c r="BE537" s="77"/>
      <c r="BF537" s="77"/>
      <c r="BG537" s="77"/>
      <c r="BH537" s="77"/>
      <c r="BI537" s="77"/>
    </row>
    <row r="538" spans="1:61" ht="15">
      <c r="A538" s="62" t="s">
        <v>369</v>
      </c>
      <c r="B538" s="62" t="s">
        <v>369</v>
      </c>
      <c r="C538" s="63"/>
      <c r="D538" s="64"/>
      <c r="E538" s="65"/>
      <c r="F538" s="66"/>
      <c r="G538" s="63"/>
      <c r="H538" s="67"/>
      <c r="I538" s="68"/>
      <c r="J538" s="68"/>
      <c r="K538" s="32" t="s">
        <v>65</v>
      </c>
      <c r="L538" s="75">
        <v>538</v>
      </c>
      <c r="M538" s="75"/>
      <c r="N538" s="70"/>
      <c r="O538" s="77" t="s">
        <v>179</v>
      </c>
      <c r="P538" s="79">
        <v>43025.54162037037</v>
      </c>
      <c r="Q538" s="77" t="s">
        <v>978</v>
      </c>
      <c r="R538" s="77">
        <v>0</v>
      </c>
      <c r="S538" s="77">
        <v>0</v>
      </c>
      <c r="T538" s="77">
        <v>0</v>
      </c>
      <c r="U538" s="77">
        <v>0</v>
      </c>
      <c r="V538" s="77"/>
      <c r="W538" s="81" t="s">
        <v>1821</v>
      </c>
      <c r="X538" s="80" t="str">
        <f>HYPERLINK("https://goo.gl/mcphR5")</f>
        <v>https://goo.gl/mcphR5</v>
      </c>
      <c r="Y538" s="77" t="s">
        <v>1975</v>
      </c>
      <c r="Z538" s="77"/>
      <c r="AA538" s="77" t="s">
        <v>2252</v>
      </c>
      <c r="AB538" s="77" t="s">
        <v>2696</v>
      </c>
      <c r="AC538" s="81" t="s">
        <v>2705</v>
      </c>
      <c r="AD538" s="77" t="s">
        <v>2751</v>
      </c>
      <c r="AE538" s="80" t="str">
        <f>HYPERLINK("https://twitter.com/suryakotianu/status/920273172989059072")</f>
        <v>https://twitter.com/suryakotianu/status/920273172989059072</v>
      </c>
      <c r="AF538" s="79">
        <v>43025.54162037037</v>
      </c>
      <c r="AG538" s="85">
        <v>43025</v>
      </c>
      <c r="AH538" s="81" t="s">
        <v>3168</v>
      </c>
      <c r="AI538" s="77" t="b">
        <v>0</v>
      </c>
      <c r="AJ538" s="77" t="s">
        <v>3881</v>
      </c>
      <c r="AK538" s="77" t="s">
        <v>3889</v>
      </c>
      <c r="AL538" s="77" t="s">
        <v>3892</v>
      </c>
      <c r="AM538" s="77" t="s">
        <v>3895</v>
      </c>
      <c r="AN538" s="77" t="s">
        <v>3902</v>
      </c>
      <c r="AO538" s="77" t="s">
        <v>3910</v>
      </c>
      <c r="AP538" s="77" t="s">
        <v>3917</v>
      </c>
      <c r="AQ538" s="77" t="s">
        <v>4067</v>
      </c>
      <c r="AR538" s="77"/>
      <c r="AS538" s="77"/>
      <c r="AT538" s="77"/>
      <c r="AU538" s="77"/>
      <c r="AV538" s="80" t="str">
        <f>HYPERLINK("https://pbs.twimg.com/media/DMV3kP8VwAA4w5y.jpg")</f>
        <v>https://pbs.twimg.com/media/DMV3kP8VwAA4w5y.jpg</v>
      </c>
      <c r="AW538" s="81" t="s">
        <v>4914</v>
      </c>
      <c r="AX538" s="81" t="s">
        <v>4914</v>
      </c>
      <c r="AY538" s="77"/>
      <c r="AZ538" s="81" t="s">
        <v>5773</v>
      </c>
      <c r="BA538" s="81" t="s">
        <v>5773</v>
      </c>
      <c r="BB538" s="81" t="s">
        <v>5773</v>
      </c>
      <c r="BC538" s="81" t="s">
        <v>4914</v>
      </c>
      <c r="BD538" s="81" t="s">
        <v>5819</v>
      </c>
      <c r="BE538" s="77"/>
      <c r="BF538" s="77"/>
      <c r="BG538" s="77"/>
      <c r="BH538" s="77"/>
      <c r="BI538" s="77"/>
    </row>
    <row r="539" spans="1:61" ht="15">
      <c r="A539" s="62" t="s">
        <v>369</v>
      </c>
      <c r="B539" s="62" t="s">
        <v>369</v>
      </c>
      <c r="C539" s="63"/>
      <c r="D539" s="64"/>
      <c r="E539" s="65"/>
      <c r="F539" s="66"/>
      <c r="G539" s="63"/>
      <c r="H539" s="67"/>
      <c r="I539" s="68"/>
      <c r="J539" s="68"/>
      <c r="K539" s="32" t="s">
        <v>65</v>
      </c>
      <c r="L539" s="75">
        <v>539</v>
      </c>
      <c r="M539" s="75"/>
      <c r="N539" s="70"/>
      <c r="O539" s="77" t="s">
        <v>179</v>
      </c>
      <c r="P539" s="79">
        <v>43025.54068287037</v>
      </c>
      <c r="Q539" s="77" t="s">
        <v>979</v>
      </c>
      <c r="R539" s="77">
        <v>0</v>
      </c>
      <c r="S539" s="77">
        <v>0</v>
      </c>
      <c r="T539" s="77">
        <v>0</v>
      </c>
      <c r="U539" s="77">
        <v>0</v>
      </c>
      <c r="V539" s="77"/>
      <c r="W539" s="81" t="s">
        <v>1822</v>
      </c>
      <c r="X539" s="80" t="str">
        <f>HYPERLINK("https://goo.gl/AvKviQ")</f>
        <v>https://goo.gl/AvKviQ</v>
      </c>
      <c r="Y539" s="77" t="s">
        <v>1975</v>
      </c>
      <c r="Z539" s="77"/>
      <c r="AA539" s="77" t="s">
        <v>2253</v>
      </c>
      <c r="AB539" s="77" t="s">
        <v>2696</v>
      </c>
      <c r="AC539" s="81" t="s">
        <v>2705</v>
      </c>
      <c r="AD539" s="77" t="s">
        <v>2751</v>
      </c>
      <c r="AE539" s="80" t="str">
        <f>HYPERLINK("https://twitter.com/suryakotianu/status/920272833237749761")</f>
        <v>https://twitter.com/suryakotianu/status/920272833237749761</v>
      </c>
      <c r="AF539" s="79">
        <v>43025.54068287037</v>
      </c>
      <c r="AG539" s="85">
        <v>43025</v>
      </c>
      <c r="AH539" s="81" t="s">
        <v>3169</v>
      </c>
      <c r="AI539" s="77" t="b">
        <v>0</v>
      </c>
      <c r="AJ539" s="77" t="s">
        <v>3881</v>
      </c>
      <c r="AK539" s="77" t="s">
        <v>3889</v>
      </c>
      <c r="AL539" s="77" t="s">
        <v>3892</v>
      </c>
      <c r="AM539" s="77" t="s">
        <v>3895</v>
      </c>
      <c r="AN539" s="77" t="s">
        <v>3902</v>
      </c>
      <c r="AO539" s="77" t="s">
        <v>3910</v>
      </c>
      <c r="AP539" s="77" t="s">
        <v>3917</v>
      </c>
      <c r="AQ539" s="77" t="s">
        <v>4068</v>
      </c>
      <c r="AR539" s="77"/>
      <c r="AS539" s="77"/>
      <c r="AT539" s="77"/>
      <c r="AU539" s="77"/>
      <c r="AV539" s="80" t="str">
        <f>HYPERLINK("https://pbs.twimg.com/media/DMV3QOFVAAEJQqN.jpg")</f>
        <v>https://pbs.twimg.com/media/DMV3QOFVAAEJQqN.jpg</v>
      </c>
      <c r="AW539" s="81" t="s">
        <v>4915</v>
      </c>
      <c r="AX539" s="81" t="s">
        <v>4915</v>
      </c>
      <c r="AY539" s="77"/>
      <c r="AZ539" s="81" t="s">
        <v>5773</v>
      </c>
      <c r="BA539" s="81" t="s">
        <v>5773</v>
      </c>
      <c r="BB539" s="81" t="s">
        <v>5773</v>
      </c>
      <c r="BC539" s="81" t="s">
        <v>4915</v>
      </c>
      <c r="BD539" s="81" t="s">
        <v>5819</v>
      </c>
      <c r="BE539" s="77"/>
      <c r="BF539" s="77"/>
      <c r="BG539" s="77"/>
      <c r="BH539" s="77"/>
      <c r="BI539" s="77"/>
    </row>
    <row r="540" spans="1:61" ht="15">
      <c r="A540" s="62" t="s">
        <v>369</v>
      </c>
      <c r="B540" s="62" t="s">
        <v>369</v>
      </c>
      <c r="C540" s="63"/>
      <c r="D540" s="64"/>
      <c r="E540" s="65"/>
      <c r="F540" s="66"/>
      <c r="G540" s="63"/>
      <c r="H540" s="67"/>
      <c r="I540" s="68"/>
      <c r="J540" s="68"/>
      <c r="K540" s="32" t="s">
        <v>65</v>
      </c>
      <c r="L540" s="75">
        <v>540</v>
      </c>
      <c r="M540" s="75"/>
      <c r="N540" s="70"/>
      <c r="O540" s="77" t="s">
        <v>179</v>
      </c>
      <c r="P540" s="79">
        <v>43025.540185185186</v>
      </c>
      <c r="Q540" s="77" t="s">
        <v>980</v>
      </c>
      <c r="R540" s="77">
        <v>0</v>
      </c>
      <c r="S540" s="77">
        <v>0</v>
      </c>
      <c r="T540" s="77">
        <v>0</v>
      </c>
      <c r="U540" s="77">
        <v>0</v>
      </c>
      <c r="V540" s="77"/>
      <c r="W540" s="81" t="s">
        <v>1823</v>
      </c>
      <c r="X540" s="80" t="str">
        <f>HYPERLINK("https://goo.gl/3NToVr")</f>
        <v>https://goo.gl/3NToVr</v>
      </c>
      <c r="Y540" s="77" t="s">
        <v>1975</v>
      </c>
      <c r="Z540" s="77"/>
      <c r="AA540" s="77" t="s">
        <v>2254</v>
      </c>
      <c r="AB540" s="77" t="s">
        <v>2696</v>
      </c>
      <c r="AC540" s="81" t="s">
        <v>2705</v>
      </c>
      <c r="AD540" s="77" t="s">
        <v>2751</v>
      </c>
      <c r="AE540" s="80" t="str">
        <f>HYPERLINK("https://twitter.com/suryakotianu/status/920272651838308352")</f>
        <v>https://twitter.com/suryakotianu/status/920272651838308352</v>
      </c>
      <c r="AF540" s="79">
        <v>43025.540185185186</v>
      </c>
      <c r="AG540" s="85">
        <v>43025</v>
      </c>
      <c r="AH540" s="81" t="s">
        <v>3170</v>
      </c>
      <c r="AI540" s="77" t="b">
        <v>0</v>
      </c>
      <c r="AJ540" s="77" t="s">
        <v>3881</v>
      </c>
      <c r="AK540" s="77" t="s">
        <v>3889</v>
      </c>
      <c r="AL540" s="77" t="s">
        <v>3892</v>
      </c>
      <c r="AM540" s="77" t="s">
        <v>3895</v>
      </c>
      <c r="AN540" s="77" t="s">
        <v>3902</v>
      </c>
      <c r="AO540" s="77" t="s">
        <v>3910</v>
      </c>
      <c r="AP540" s="77" t="s">
        <v>3917</v>
      </c>
      <c r="AQ540" s="77" t="s">
        <v>4069</v>
      </c>
      <c r="AR540" s="77"/>
      <c r="AS540" s="77"/>
      <c r="AT540" s="77"/>
      <c r="AU540" s="77"/>
      <c r="AV540" s="80" t="str">
        <f>HYPERLINK("https://pbs.twimg.com/media/DMV3CUkVwAAXLgH.jpg")</f>
        <v>https://pbs.twimg.com/media/DMV3CUkVwAAXLgH.jpg</v>
      </c>
      <c r="AW540" s="81" t="s">
        <v>4916</v>
      </c>
      <c r="AX540" s="81" t="s">
        <v>4916</v>
      </c>
      <c r="AY540" s="77"/>
      <c r="AZ540" s="81" t="s">
        <v>5773</v>
      </c>
      <c r="BA540" s="81" t="s">
        <v>5773</v>
      </c>
      <c r="BB540" s="81" t="s">
        <v>5773</v>
      </c>
      <c r="BC540" s="81" t="s">
        <v>4916</v>
      </c>
      <c r="BD540" s="81" t="s">
        <v>5819</v>
      </c>
      <c r="BE540" s="77"/>
      <c r="BF540" s="77"/>
      <c r="BG540" s="77"/>
      <c r="BH540" s="77"/>
      <c r="BI540" s="77"/>
    </row>
    <row r="541" spans="1:61" ht="15">
      <c r="A541" s="62" t="s">
        <v>369</v>
      </c>
      <c r="B541" s="62" t="s">
        <v>369</v>
      </c>
      <c r="C541" s="63"/>
      <c r="D541" s="64"/>
      <c r="E541" s="65"/>
      <c r="F541" s="66"/>
      <c r="G541" s="63"/>
      <c r="H541" s="67"/>
      <c r="I541" s="68"/>
      <c r="J541" s="68"/>
      <c r="K541" s="32" t="s">
        <v>65</v>
      </c>
      <c r="L541" s="75">
        <v>541</v>
      </c>
      <c r="M541" s="75"/>
      <c r="N541" s="70"/>
      <c r="O541" s="77" t="s">
        <v>179</v>
      </c>
      <c r="P541" s="79">
        <v>43025.53934027778</v>
      </c>
      <c r="Q541" s="77" t="s">
        <v>981</v>
      </c>
      <c r="R541" s="77">
        <v>0</v>
      </c>
      <c r="S541" s="77">
        <v>0</v>
      </c>
      <c r="T541" s="77">
        <v>0</v>
      </c>
      <c r="U541" s="77">
        <v>0</v>
      </c>
      <c r="V541" s="77"/>
      <c r="W541" s="81" t="s">
        <v>1824</v>
      </c>
      <c r="X541" s="80" t="str">
        <f>HYPERLINK("https://goo.gl/c6bQLQ")</f>
        <v>https://goo.gl/c6bQLQ</v>
      </c>
      <c r="Y541" s="77" t="s">
        <v>1975</v>
      </c>
      <c r="Z541" s="77"/>
      <c r="AA541" s="77" t="s">
        <v>2255</v>
      </c>
      <c r="AB541" s="77" t="s">
        <v>2696</v>
      </c>
      <c r="AC541" s="81" t="s">
        <v>2705</v>
      </c>
      <c r="AD541" s="77" t="s">
        <v>2751</v>
      </c>
      <c r="AE541" s="80" t="str">
        <f>HYPERLINK("https://twitter.com/suryakotianu/status/920272344894996480")</f>
        <v>https://twitter.com/suryakotianu/status/920272344894996480</v>
      </c>
      <c r="AF541" s="79">
        <v>43025.53934027778</v>
      </c>
      <c r="AG541" s="85">
        <v>43025</v>
      </c>
      <c r="AH541" s="81" t="s">
        <v>3171</v>
      </c>
      <c r="AI541" s="77" t="b">
        <v>0</v>
      </c>
      <c r="AJ541" s="77" t="s">
        <v>3881</v>
      </c>
      <c r="AK541" s="77" t="s">
        <v>3889</v>
      </c>
      <c r="AL541" s="77" t="s">
        <v>3892</v>
      </c>
      <c r="AM541" s="77" t="s">
        <v>3895</v>
      </c>
      <c r="AN541" s="77" t="s">
        <v>3902</v>
      </c>
      <c r="AO541" s="77" t="s">
        <v>3910</v>
      </c>
      <c r="AP541" s="77" t="s">
        <v>3917</v>
      </c>
      <c r="AQ541" s="77" t="s">
        <v>4070</v>
      </c>
      <c r="AR541" s="77"/>
      <c r="AS541" s="77"/>
      <c r="AT541" s="77"/>
      <c r="AU541" s="77"/>
      <c r="AV541" s="80" t="str">
        <f>HYPERLINK("https://pbs.twimg.com/media/DMV20GwV4AA_VO6.jpg")</f>
        <v>https://pbs.twimg.com/media/DMV20GwV4AA_VO6.jpg</v>
      </c>
      <c r="AW541" s="81" t="s">
        <v>4917</v>
      </c>
      <c r="AX541" s="81" t="s">
        <v>4917</v>
      </c>
      <c r="AY541" s="77"/>
      <c r="AZ541" s="81" t="s">
        <v>5773</v>
      </c>
      <c r="BA541" s="81" t="s">
        <v>5773</v>
      </c>
      <c r="BB541" s="81" t="s">
        <v>5773</v>
      </c>
      <c r="BC541" s="81" t="s">
        <v>4917</v>
      </c>
      <c r="BD541" s="81" t="s">
        <v>5819</v>
      </c>
      <c r="BE541" s="77"/>
      <c r="BF541" s="77"/>
      <c r="BG541" s="77"/>
      <c r="BH541" s="77"/>
      <c r="BI541" s="77"/>
    </row>
    <row r="542" spans="1:61" ht="15">
      <c r="A542" s="62" t="s">
        <v>369</v>
      </c>
      <c r="B542" s="62" t="s">
        <v>369</v>
      </c>
      <c r="C542" s="63"/>
      <c r="D542" s="64"/>
      <c r="E542" s="65"/>
      <c r="F542" s="66"/>
      <c r="G542" s="63"/>
      <c r="H542" s="67"/>
      <c r="I542" s="68"/>
      <c r="J542" s="68"/>
      <c r="K542" s="32" t="s">
        <v>65</v>
      </c>
      <c r="L542" s="75">
        <v>542</v>
      </c>
      <c r="M542" s="75"/>
      <c r="N542" s="70"/>
      <c r="O542" s="77" t="s">
        <v>179</v>
      </c>
      <c r="P542" s="79">
        <v>43025.538993055554</v>
      </c>
      <c r="Q542" s="77" t="s">
        <v>982</v>
      </c>
      <c r="R542" s="77">
        <v>0</v>
      </c>
      <c r="S542" s="77">
        <v>0</v>
      </c>
      <c r="T542" s="77">
        <v>0</v>
      </c>
      <c r="U542" s="77">
        <v>0</v>
      </c>
      <c r="V542" s="77"/>
      <c r="W542" s="81" t="s">
        <v>1824</v>
      </c>
      <c r="X542" s="80" t="str">
        <f>HYPERLINK("https://goo.gl/c6bQLQ")</f>
        <v>https://goo.gl/c6bQLQ</v>
      </c>
      <c r="Y542" s="77" t="s">
        <v>1975</v>
      </c>
      <c r="Z542" s="77"/>
      <c r="AA542" s="77"/>
      <c r="AB542" s="77"/>
      <c r="AC542" s="81" t="s">
        <v>2705</v>
      </c>
      <c r="AD542" s="77" t="s">
        <v>2751</v>
      </c>
      <c r="AE542" s="80" t="str">
        <f>HYPERLINK("https://twitter.com/suryakotianu/status/920272217815973888")</f>
        <v>https://twitter.com/suryakotianu/status/920272217815973888</v>
      </c>
      <c r="AF542" s="79">
        <v>43025.538993055554</v>
      </c>
      <c r="AG542" s="85">
        <v>43025</v>
      </c>
      <c r="AH542" s="81" t="s">
        <v>3172</v>
      </c>
      <c r="AI542" s="77" t="b">
        <v>0</v>
      </c>
      <c r="AJ542" s="77" t="s">
        <v>3881</v>
      </c>
      <c r="AK542" s="77" t="s">
        <v>3889</v>
      </c>
      <c r="AL542" s="77" t="s">
        <v>3892</v>
      </c>
      <c r="AM542" s="77" t="s">
        <v>3895</v>
      </c>
      <c r="AN542" s="77" t="s">
        <v>3902</v>
      </c>
      <c r="AO542" s="77" t="s">
        <v>3910</v>
      </c>
      <c r="AP542" s="77" t="s">
        <v>3917</v>
      </c>
      <c r="AQ542" s="77"/>
      <c r="AR542" s="77"/>
      <c r="AS542" s="77"/>
      <c r="AT542" s="77"/>
      <c r="AU542" s="77"/>
      <c r="AV542" s="80" t="str">
        <f>HYPERLINK("https://pbs.twimg.com/profile_images/1402842160508981252/1dGsTHpA_normal.jpg")</f>
        <v>https://pbs.twimg.com/profile_images/1402842160508981252/1dGsTHpA_normal.jpg</v>
      </c>
      <c r="AW542" s="81" t="s">
        <v>4918</v>
      </c>
      <c r="AX542" s="81" t="s">
        <v>4918</v>
      </c>
      <c r="AY542" s="77"/>
      <c r="AZ542" s="81" t="s">
        <v>5773</v>
      </c>
      <c r="BA542" s="81" t="s">
        <v>5773</v>
      </c>
      <c r="BB542" s="81" t="s">
        <v>5773</v>
      </c>
      <c r="BC542" s="81" t="s">
        <v>4918</v>
      </c>
      <c r="BD542" s="81" t="s">
        <v>5819</v>
      </c>
      <c r="BE542" s="77"/>
      <c r="BF542" s="77"/>
      <c r="BG542" s="77"/>
      <c r="BH542" s="77"/>
      <c r="BI542" s="77"/>
    </row>
    <row r="543" spans="1:61" ht="15">
      <c r="A543" s="62" t="s">
        <v>369</v>
      </c>
      <c r="B543" s="62" t="s">
        <v>369</v>
      </c>
      <c r="C543" s="63"/>
      <c r="D543" s="64"/>
      <c r="E543" s="65"/>
      <c r="F543" s="66"/>
      <c r="G543" s="63"/>
      <c r="H543" s="67"/>
      <c r="I543" s="68"/>
      <c r="J543" s="68"/>
      <c r="K543" s="32" t="s">
        <v>65</v>
      </c>
      <c r="L543" s="75">
        <v>543</v>
      </c>
      <c r="M543" s="75"/>
      <c r="N543" s="70"/>
      <c r="O543" s="77" t="s">
        <v>179</v>
      </c>
      <c r="P543" s="79">
        <v>43025.53778935185</v>
      </c>
      <c r="Q543" s="77" t="s">
        <v>983</v>
      </c>
      <c r="R543" s="77">
        <v>0</v>
      </c>
      <c r="S543" s="77">
        <v>0</v>
      </c>
      <c r="T543" s="77">
        <v>0</v>
      </c>
      <c r="U543" s="77">
        <v>0</v>
      </c>
      <c r="V543" s="77"/>
      <c r="W543" s="81" t="s">
        <v>1825</v>
      </c>
      <c r="X543" s="80" t="str">
        <f>HYPERLINK("https://goo.gl/hAuhY4")</f>
        <v>https://goo.gl/hAuhY4</v>
      </c>
      <c r="Y543" s="77" t="s">
        <v>1975</v>
      </c>
      <c r="Z543" s="77"/>
      <c r="AA543" s="77" t="s">
        <v>2256</v>
      </c>
      <c r="AB543" s="77" t="s">
        <v>2696</v>
      </c>
      <c r="AC543" s="81" t="s">
        <v>2705</v>
      </c>
      <c r="AD543" s="77" t="s">
        <v>2751</v>
      </c>
      <c r="AE543" s="80" t="str">
        <f>HYPERLINK("https://twitter.com/suryakotianu/status/920271783655178240")</f>
        <v>https://twitter.com/suryakotianu/status/920271783655178240</v>
      </c>
      <c r="AF543" s="79">
        <v>43025.53778935185</v>
      </c>
      <c r="AG543" s="85">
        <v>43025</v>
      </c>
      <c r="AH543" s="81" t="s">
        <v>3173</v>
      </c>
      <c r="AI543" s="77" t="b">
        <v>0</v>
      </c>
      <c r="AJ543" s="77" t="s">
        <v>3881</v>
      </c>
      <c r="AK543" s="77" t="s">
        <v>3889</v>
      </c>
      <c r="AL543" s="77" t="s">
        <v>3892</v>
      </c>
      <c r="AM543" s="77" t="s">
        <v>3895</v>
      </c>
      <c r="AN543" s="77" t="s">
        <v>3902</v>
      </c>
      <c r="AO543" s="77" t="s">
        <v>3910</v>
      </c>
      <c r="AP543" s="77" t="s">
        <v>3917</v>
      </c>
      <c r="AQ543" s="77" t="s">
        <v>4071</v>
      </c>
      <c r="AR543" s="77"/>
      <c r="AS543" s="77"/>
      <c r="AT543" s="77"/>
      <c r="AU543" s="77"/>
      <c r="AV543" s="80" t="str">
        <f>HYPERLINK("https://pbs.twimg.com/media/DMV2TbWVoAAYNNb.jpg")</f>
        <v>https://pbs.twimg.com/media/DMV2TbWVoAAYNNb.jpg</v>
      </c>
      <c r="AW543" s="81" t="s">
        <v>4919</v>
      </c>
      <c r="AX543" s="81" t="s">
        <v>4919</v>
      </c>
      <c r="AY543" s="77"/>
      <c r="AZ543" s="81" t="s">
        <v>5773</v>
      </c>
      <c r="BA543" s="81" t="s">
        <v>5773</v>
      </c>
      <c r="BB543" s="81" t="s">
        <v>5773</v>
      </c>
      <c r="BC543" s="81" t="s">
        <v>4919</v>
      </c>
      <c r="BD543" s="81" t="s">
        <v>5819</v>
      </c>
      <c r="BE543" s="77"/>
      <c r="BF543" s="77"/>
      <c r="BG543" s="77"/>
      <c r="BH543" s="77"/>
      <c r="BI543" s="77"/>
    </row>
    <row r="544" spans="1:61" ht="15">
      <c r="A544" s="62" t="s">
        <v>369</v>
      </c>
      <c r="B544" s="62" t="s">
        <v>369</v>
      </c>
      <c r="C544" s="63"/>
      <c r="D544" s="64"/>
      <c r="E544" s="65"/>
      <c r="F544" s="66"/>
      <c r="G544" s="63"/>
      <c r="H544" s="67"/>
      <c r="I544" s="68"/>
      <c r="J544" s="68"/>
      <c r="K544" s="32" t="s">
        <v>65</v>
      </c>
      <c r="L544" s="75">
        <v>544</v>
      </c>
      <c r="M544" s="75"/>
      <c r="N544" s="70"/>
      <c r="O544" s="77" t="s">
        <v>179</v>
      </c>
      <c r="P544" s="79">
        <v>43025.535092592596</v>
      </c>
      <c r="Q544" s="77" t="s">
        <v>984</v>
      </c>
      <c r="R544" s="77">
        <v>0</v>
      </c>
      <c r="S544" s="77">
        <v>0</v>
      </c>
      <c r="T544" s="77">
        <v>0</v>
      </c>
      <c r="U544" s="77">
        <v>0</v>
      </c>
      <c r="V544" s="77"/>
      <c r="W544" s="81" t="s">
        <v>1826</v>
      </c>
      <c r="X544" s="80" t="str">
        <f>HYPERLINK("https://goo.gl/6V3REh")</f>
        <v>https://goo.gl/6V3REh</v>
      </c>
      <c r="Y544" s="77" t="s">
        <v>1975</v>
      </c>
      <c r="Z544" s="77"/>
      <c r="AA544" s="77" t="s">
        <v>2257</v>
      </c>
      <c r="AB544" s="77" t="s">
        <v>2696</v>
      </c>
      <c r="AC544" s="81" t="s">
        <v>2705</v>
      </c>
      <c r="AD544" s="77" t="s">
        <v>2751</v>
      </c>
      <c r="AE544" s="80" t="str">
        <f>HYPERLINK("https://twitter.com/suryakotianu/status/920270806420094977")</f>
        <v>https://twitter.com/suryakotianu/status/920270806420094977</v>
      </c>
      <c r="AF544" s="79">
        <v>43025.535092592596</v>
      </c>
      <c r="AG544" s="85">
        <v>43025</v>
      </c>
      <c r="AH544" s="81" t="s">
        <v>3174</v>
      </c>
      <c r="AI544" s="77" t="b">
        <v>0</v>
      </c>
      <c r="AJ544" s="77" t="s">
        <v>3881</v>
      </c>
      <c r="AK544" s="77" t="s">
        <v>3889</v>
      </c>
      <c r="AL544" s="77" t="s">
        <v>3892</v>
      </c>
      <c r="AM544" s="77" t="s">
        <v>3895</v>
      </c>
      <c r="AN544" s="77" t="s">
        <v>3902</v>
      </c>
      <c r="AO544" s="77" t="s">
        <v>3910</v>
      </c>
      <c r="AP544" s="77" t="s">
        <v>3917</v>
      </c>
      <c r="AQ544" s="77" t="s">
        <v>4072</v>
      </c>
      <c r="AR544" s="77"/>
      <c r="AS544" s="77"/>
      <c r="AT544" s="77"/>
      <c r="AU544" s="77"/>
      <c r="AV544" s="80" t="str">
        <f>HYPERLINK("https://pbs.twimg.com/media/DMV1aO9UEAIRL84.jpg")</f>
        <v>https://pbs.twimg.com/media/DMV1aO9UEAIRL84.jpg</v>
      </c>
      <c r="AW544" s="81" t="s">
        <v>4920</v>
      </c>
      <c r="AX544" s="81" t="s">
        <v>4920</v>
      </c>
      <c r="AY544" s="77"/>
      <c r="AZ544" s="81" t="s">
        <v>5773</v>
      </c>
      <c r="BA544" s="81" t="s">
        <v>5773</v>
      </c>
      <c r="BB544" s="81" t="s">
        <v>5773</v>
      </c>
      <c r="BC544" s="81" t="s">
        <v>4920</v>
      </c>
      <c r="BD544" s="81" t="s">
        <v>5819</v>
      </c>
      <c r="BE544" s="77"/>
      <c r="BF544" s="77"/>
      <c r="BG544" s="77"/>
      <c r="BH544" s="77"/>
      <c r="BI544" s="77"/>
    </row>
    <row r="545" spans="1:61" ht="15">
      <c r="A545" s="62" t="s">
        <v>369</v>
      </c>
      <c r="B545" s="62" t="s">
        <v>369</v>
      </c>
      <c r="C545" s="63"/>
      <c r="D545" s="64"/>
      <c r="E545" s="65"/>
      <c r="F545" s="66"/>
      <c r="G545" s="63"/>
      <c r="H545" s="67"/>
      <c r="I545" s="68"/>
      <c r="J545" s="68"/>
      <c r="K545" s="32" t="s">
        <v>65</v>
      </c>
      <c r="L545" s="75">
        <v>545</v>
      </c>
      <c r="M545" s="75"/>
      <c r="N545" s="70"/>
      <c r="O545" s="77" t="s">
        <v>179</v>
      </c>
      <c r="P545" s="79">
        <v>43025.53381944444</v>
      </c>
      <c r="Q545" s="77" t="s">
        <v>985</v>
      </c>
      <c r="R545" s="77">
        <v>0</v>
      </c>
      <c r="S545" s="77">
        <v>0</v>
      </c>
      <c r="T545" s="77">
        <v>0</v>
      </c>
      <c r="U545" s="77">
        <v>0</v>
      </c>
      <c r="V545" s="77"/>
      <c r="W545" s="81" t="s">
        <v>1827</v>
      </c>
      <c r="X545" s="80" t="str">
        <f>HYPERLINK("https://goo.gl/Vbj9Mq")</f>
        <v>https://goo.gl/Vbj9Mq</v>
      </c>
      <c r="Y545" s="77" t="s">
        <v>1975</v>
      </c>
      <c r="Z545" s="77"/>
      <c r="AA545" s="77" t="s">
        <v>2258</v>
      </c>
      <c r="AB545" s="77" t="s">
        <v>2696</v>
      </c>
      <c r="AC545" s="81" t="s">
        <v>2705</v>
      </c>
      <c r="AD545" s="77" t="s">
        <v>2751</v>
      </c>
      <c r="AE545" s="80" t="str">
        <f>HYPERLINK("https://twitter.com/suryakotianu/status/920270342068641793")</f>
        <v>https://twitter.com/suryakotianu/status/920270342068641793</v>
      </c>
      <c r="AF545" s="79">
        <v>43025.53381944444</v>
      </c>
      <c r="AG545" s="85">
        <v>43025</v>
      </c>
      <c r="AH545" s="81" t="s">
        <v>3175</v>
      </c>
      <c r="AI545" s="77" t="b">
        <v>0</v>
      </c>
      <c r="AJ545" s="77" t="s">
        <v>3881</v>
      </c>
      <c r="AK545" s="77" t="s">
        <v>3889</v>
      </c>
      <c r="AL545" s="77" t="s">
        <v>3892</v>
      </c>
      <c r="AM545" s="77" t="s">
        <v>3895</v>
      </c>
      <c r="AN545" s="77" t="s">
        <v>3902</v>
      </c>
      <c r="AO545" s="77" t="s">
        <v>3910</v>
      </c>
      <c r="AP545" s="77" t="s">
        <v>3917</v>
      </c>
      <c r="AQ545" s="77" t="s">
        <v>4073</v>
      </c>
      <c r="AR545" s="77"/>
      <c r="AS545" s="77"/>
      <c r="AT545" s="77"/>
      <c r="AU545" s="77"/>
      <c r="AV545" s="80" t="str">
        <f>HYPERLINK("https://pbs.twimg.com/media/DMV0-qIUEAEFDFu.jpg")</f>
        <v>https://pbs.twimg.com/media/DMV0-qIUEAEFDFu.jpg</v>
      </c>
      <c r="AW545" s="81" t="s">
        <v>4921</v>
      </c>
      <c r="AX545" s="81" t="s">
        <v>4921</v>
      </c>
      <c r="AY545" s="77"/>
      <c r="AZ545" s="81" t="s">
        <v>5773</v>
      </c>
      <c r="BA545" s="81" t="s">
        <v>5773</v>
      </c>
      <c r="BB545" s="81" t="s">
        <v>5773</v>
      </c>
      <c r="BC545" s="81" t="s">
        <v>4921</v>
      </c>
      <c r="BD545" s="81" t="s">
        <v>5819</v>
      </c>
      <c r="BE545" s="77"/>
      <c r="BF545" s="77"/>
      <c r="BG545" s="77"/>
      <c r="BH545" s="77"/>
      <c r="BI545" s="77"/>
    </row>
    <row r="546" spans="1:61" ht="15">
      <c r="A546" s="62" t="s">
        <v>369</v>
      </c>
      <c r="B546" s="62" t="s">
        <v>369</v>
      </c>
      <c r="C546" s="63"/>
      <c r="D546" s="64"/>
      <c r="E546" s="65"/>
      <c r="F546" s="66"/>
      <c r="G546" s="63"/>
      <c r="H546" s="67"/>
      <c r="I546" s="68"/>
      <c r="J546" s="68"/>
      <c r="K546" s="32" t="s">
        <v>65</v>
      </c>
      <c r="L546" s="75">
        <v>546</v>
      </c>
      <c r="M546" s="75"/>
      <c r="N546" s="70"/>
      <c r="O546" s="77" t="s">
        <v>179</v>
      </c>
      <c r="P546" s="79">
        <v>43025.55945601852</v>
      </c>
      <c r="Q546" s="77" t="s">
        <v>986</v>
      </c>
      <c r="R546" s="77">
        <v>0</v>
      </c>
      <c r="S546" s="77">
        <v>0</v>
      </c>
      <c r="T546" s="77">
        <v>0</v>
      </c>
      <c r="U546" s="77">
        <v>0</v>
      </c>
      <c r="V546" s="77"/>
      <c r="W546" s="81" t="s">
        <v>299</v>
      </c>
      <c r="X546" s="80" t="str">
        <f>HYPERLINK("https://goo.gl/5NgYsf")</f>
        <v>https://goo.gl/5NgYsf</v>
      </c>
      <c r="Y546" s="77" t="s">
        <v>1975</v>
      </c>
      <c r="Z546" s="77"/>
      <c r="AA546" s="77" t="s">
        <v>2259</v>
      </c>
      <c r="AB546" s="77" t="s">
        <v>2696</v>
      </c>
      <c r="AC546" s="81" t="s">
        <v>2705</v>
      </c>
      <c r="AD546" s="77" t="s">
        <v>2751</v>
      </c>
      <c r="AE546" s="80" t="str">
        <f>HYPERLINK("https://twitter.com/suryakotianu/status/920279636084264961")</f>
        <v>https://twitter.com/suryakotianu/status/920279636084264961</v>
      </c>
      <c r="AF546" s="79">
        <v>43025.55945601852</v>
      </c>
      <c r="AG546" s="85">
        <v>43025</v>
      </c>
      <c r="AH546" s="81" t="s">
        <v>3176</v>
      </c>
      <c r="AI546" s="77" t="b">
        <v>0</v>
      </c>
      <c r="AJ546" s="77" t="s">
        <v>3881</v>
      </c>
      <c r="AK546" s="77" t="s">
        <v>3889</v>
      </c>
      <c r="AL546" s="77" t="s">
        <v>3892</v>
      </c>
      <c r="AM546" s="77" t="s">
        <v>3895</v>
      </c>
      <c r="AN546" s="77" t="s">
        <v>3902</v>
      </c>
      <c r="AO546" s="77" t="s">
        <v>3910</v>
      </c>
      <c r="AP546" s="77" t="s">
        <v>3917</v>
      </c>
      <c r="AQ546" s="77" t="s">
        <v>4074</v>
      </c>
      <c r="AR546" s="77"/>
      <c r="AS546" s="77"/>
      <c r="AT546" s="77"/>
      <c r="AU546" s="77"/>
      <c r="AV546" s="80" t="str">
        <f>HYPERLINK("https://pbs.twimg.com/media/DMV9cYRUEAEllUk.jpg")</f>
        <v>https://pbs.twimg.com/media/DMV9cYRUEAEllUk.jpg</v>
      </c>
      <c r="AW546" s="81" t="s">
        <v>4922</v>
      </c>
      <c r="AX546" s="81" t="s">
        <v>4922</v>
      </c>
      <c r="AY546" s="77"/>
      <c r="AZ546" s="81" t="s">
        <v>5773</v>
      </c>
      <c r="BA546" s="81" t="s">
        <v>5773</v>
      </c>
      <c r="BB546" s="81" t="s">
        <v>5773</v>
      </c>
      <c r="BC546" s="81" t="s">
        <v>4922</v>
      </c>
      <c r="BD546" s="81" t="s">
        <v>5819</v>
      </c>
      <c r="BE546" s="77"/>
      <c r="BF546" s="77"/>
      <c r="BG546" s="77"/>
      <c r="BH546" s="77"/>
      <c r="BI546" s="77"/>
    </row>
    <row r="547" spans="1:61" ht="15">
      <c r="A547" s="62" t="s">
        <v>369</v>
      </c>
      <c r="B547" s="62" t="s">
        <v>369</v>
      </c>
      <c r="C547" s="63"/>
      <c r="D547" s="64"/>
      <c r="E547" s="65"/>
      <c r="F547" s="66"/>
      <c r="G547" s="63"/>
      <c r="H547" s="67"/>
      <c r="I547" s="68"/>
      <c r="J547" s="68"/>
      <c r="K547" s="32" t="s">
        <v>65</v>
      </c>
      <c r="L547" s="75">
        <v>547</v>
      </c>
      <c r="M547" s="75"/>
      <c r="N547" s="70"/>
      <c r="O547" s="77" t="s">
        <v>179</v>
      </c>
      <c r="P547" s="79">
        <v>43025.55899305556</v>
      </c>
      <c r="Q547" s="77" t="s">
        <v>987</v>
      </c>
      <c r="R547" s="77">
        <v>0</v>
      </c>
      <c r="S547" s="77">
        <v>0</v>
      </c>
      <c r="T547" s="77">
        <v>0</v>
      </c>
      <c r="U547" s="77">
        <v>0</v>
      </c>
      <c r="V547" s="77"/>
      <c r="W547" s="81" t="s">
        <v>299</v>
      </c>
      <c r="X547" s="80" t="str">
        <f>HYPERLINK("https://goo.gl/Ufe6Fp")</f>
        <v>https://goo.gl/Ufe6Fp</v>
      </c>
      <c r="Y547" s="77" t="s">
        <v>1975</v>
      </c>
      <c r="Z547" s="77"/>
      <c r="AA547" s="77" t="s">
        <v>2260</v>
      </c>
      <c r="AB547" s="77" t="s">
        <v>2696</v>
      </c>
      <c r="AC547" s="81" t="s">
        <v>2705</v>
      </c>
      <c r="AD547" s="77" t="s">
        <v>2751</v>
      </c>
      <c r="AE547" s="80" t="str">
        <f>HYPERLINK("https://twitter.com/suryakotianu/status/920279465443311616")</f>
        <v>https://twitter.com/suryakotianu/status/920279465443311616</v>
      </c>
      <c r="AF547" s="79">
        <v>43025.55899305556</v>
      </c>
      <c r="AG547" s="85">
        <v>43025</v>
      </c>
      <c r="AH547" s="81" t="s">
        <v>3177</v>
      </c>
      <c r="AI547" s="77" t="b">
        <v>0</v>
      </c>
      <c r="AJ547" s="77" t="s">
        <v>3881</v>
      </c>
      <c r="AK547" s="77" t="s">
        <v>3889</v>
      </c>
      <c r="AL547" s="77" t="s">
        <v>3892</v>
      </c>
      <c r="AM547" s="77" t="s">
        <v>3895</v>
      </c>
      <c r="AN547" s="77" t="s">
        <v>3902</v>
      </c>
      <c r="AO547" s="77" t="s">
        <v>3910</v>
      </c>
      <c r="AP547" s="77" t="s">
        <v>3917</v>
      </c>
      <c r="AQ547" s="77" t="s">
        <v>4075</v>
      </c>
      <c r="AR547" s="77"/>
      <c r="AS547" s="77"/>
      <c r="AT547" s="77"/>
      <c r="AU547" s="77"/>
      <c r="AV547" s="80" t="str">
        <f>HYPERLINK("https://pbs.twimg.com/media/DMV9SMeUQAAF_pX.jpg")</f>
        <v>https://pbs.twimg.com/media/DMV9SMeUQAAF_pX.jpg</v>
      </c>
      <c r="AW547" s="81" t="s">
        <v>4923</v>
      </c>
      <c r="AX547" s="81" t="s">
        <v>4923</v>
      </c>
      <c r="AY547" s="77"/>
      <c r="AZ547" s="81" t="s">
        <v>5773</v>
      </c>
      <c r="BA547" s="81" t="s">
        <v>5773</v>
      </c>
      <c r="BB547" s="81" t="s">
        <v>5773</v>
      </c>
      <c r="BC547" s="81" t="s">
        <v>4923</v>
      </c>
      <c r="BD547" s="81" t="s">
        <v>5819</v>
      </c>
      <c r="BE547" s="77"/>
      <c r="BF547" s="77"/>
      <c r="BG547" s="77"/>
      <c r="BH547" s="77"/>
      <c r="BI547" s="77"/>
    </row>
    <row r="548" spans="1:61" ht="15">
      <c r="A548" s="62" t="s">
        <v>369</v>
      </c>
      <c r="B548" s="62" t="s">
        <v>369</v>
      </c>
      <c r="C548" s="63"/>
      <c r="D548" s="64"/>
      <c r="E548" s="65"/>
      <c r="F548" s="66"/>
      <c r="G548" s="63"/>
      <c r="H548" s="67"/>
      <c r="I548" s="68"/>
      <c r="J548" s="68"/>
      <c r="K548" s="32" t="s">
        <v>65</v>
      </c>
      <c r="L548" s="75">
        <v>548</v>
      </c>
      <c r="M548" s="75"/>
      <c r="N548" s="70"/>
      <c r="O548" s="77" t="s">
        <v>179</v>
      </c>
      <c r="P548" s="79">
        <v>43025.5459837963</v>
      </c>
      <c r="Q548" s="77" t="s">
        <v>988</v>
      </c>
      <c r="R548" s="77">
        <v>0</v>
      </c>
      <c r="S548" s="77">
        <v>0</v>
      </c>
      <c r="T548" s="77">
        <v>0</v>
      </c>
      <c r="U548" s="77">
        <v>0</v>
      </c>
      <c r="V548" s="77"/>
      <c r="W548" s="81" t="s">
        <v>299</v>
      </c>
      <c r="X548" s="80" t="str">
        <f>HYPERLINK("https://goo.gl/94r4Nq")</f>
        <v>https://goo.gl/94r4Nq</v>
      </c>
      <c r="Y548" s="77" t="s">
        <v>1975</v>
      </c>
      <c r="Z548" s="77"/>
      <c r="AA548" s="77" t="s">
        <v>2261</v>
      </c>
      <c r="AB548" s="77" t="s">
        <v>2696</v>
      </c>
      <c r="AC548" s="81" t="s">
        <v>2705</v>
      </c>
      <c r="AD548" s="77" t="s">
        <v>2751</v>
      </c>
      <c r="AE548" s="80" t="str">
        <f>HYPERLINK("https://twitter.com/suryakotianu/status/920274751314042884")</f>
        <v>https://twitter.com/suryakotianu/status/920274751314042884</v>
      </c>
      <c r="AF548" s="79">
        <v>43025.5459837963</v>
      </c>
      <c r="AG548" s="85">
        <v>43025</v>
      </c>
      <c r="AH548" s="81" t="s">
        <v>3178</v>
      </c>
      <c r="AI548" s="77" t="b">
        <v>0</v>
      </c>
      <c r="AJ548" s="77" t="s">
        <v>3881</v>
      </c>
      <c r="AK548" s="77" t="s">
        <v>3889</v>
      </c>
      <c r="AL548" s="77" t="s">
        <v>3892</v>
      </c>
      <c r="AM548" s="77" t="s">
        <v>3895</v>
      </c>
      <c r="AN548" s="77" t="s">
        <v>3902</v>
      </c>
      <c r="AO548" s="77" t="s">
        <v>3910</v>
      </c>
      <c r="AP548" s="77" t="s">
        <v>3917</v>
      </c>
      <c r="AQ548" s="77" t="s">
        <v>4076</v>
      </c>
      <c r="AR548" s="77"/>
      <c r="AS548" s="77"/>
      <c r="AT548" s="77"/>
      <c r="AU548" s="77"/>
      <c r="AV548" s="80" t="str">
        <f>HYPERLINK("https://pbs.twimg.com/media/DMV4_8wVQAAjHT_.jpg")</f>
        <v>https://pbs.twimg.com/media/DMV4_8wVQAAjHT_.jpg</v>
      </c>
      <c r="AW548" s="81" t="s">
        <v>4924</v>
      </c>
      <c r="AX548" s="81" t="s">
        <v>4924</v>
      </c>
      <c r="AY548" s="77"/>
      <c r="AZ548" s="81" t="s">
        <v>5773</v>
      </c>
      <c r="BA548" s="81" t="s">
        <v>5773</v>
      </c>
      <c r="BB548" s="81" t="s">
        <v>5773</v>
      </c>
      <c r="BC548" s="81" t="s">
        <v>4924</v>
      </c>
      <c r="BD548" s="81" t="s">
        <v>5819</v>
      </c>
      <c r="BE548" s="77"/>
      <c r="BF548" s="77"/>
      <c r="BG548" s="77"/>
      <c r="BH548" s="77"/>
      <c r="BI548" s="77"/>
    </row>
    <row r="549" spans="1:61" ht="15">
      <c r="A549" s="62" t="s">
        <v>369</v>
      </c>
      <c r="B549" s="62" t="s">
        <v>369</v>
      </c>
      <c r="C549" s="63"/>
      <c r="D549" s="64"/>
      <c r="E549" s="65"/>
      <c r="F549" s="66"/>
      <c r="G549" s="63"/>
      <c r="H549" s="67"/>
      <c r="I549" s="68"/>
      <c r="J549" s="68"/>
      <c r="K549" s="32" t="s">
        <v>65</v>
      </c>
      <c r="L549" s="75">
        <v>549</v>
      </c>
      <c r="M549" s="75"/>
      <c r="N549" s="70"/>
      <c r="O549" s="77" t="s">
        <v>179</v>
      </c>
      <c r="P549" s="79">
        <v>43025.545578703706</v>
      </c>
      <c r="Q549" s="77" t="s">
        <v>989</v>
      </c>
      <c r="R549" s="77">
        <v>0</v>
      </c>
      <c r="S549" s="77">
        <v>0</v>
      </c>
      <c r="T549" s="77">
        <v>0</v>
      </c>
      <c r="U549" s="77">
        <v>0</v>
      </c>
      <c r="V549" s="77"/>
      <c r="W549" s="81" t="s">
        <v>299</v>
      </c>
      <c r="X549" s="80" t="str">
        <f>HYPERLINK("https://goo.gl/z7peks")</f>
        <v>https://goo.gl/z7peks</v>
      </c>
      <c r="Y549" s="77" t="s">
        <v>1975</v>
      </c>
      <c r="Z549" s="77"/>
      <c r="AA549" s="77" t="s">
        <v>2262</v>
      </c>
      <c r="AB549" s="77" t="s">
        <v>2698</v>
      </c>
      <c r="AC549" s="81" t="s">
        <v>2705</v>
      </c>
      <c r="AD549" s="77" t="s">
        <v>2751</v>
      </c>
      <c r="AE549" s="80" t="str">
        <f>HYPERLINK("https://twitter.com/suryakotianu/status/920274605192839178")</f>
        <v>https://twitter.com/suryakotianu/status/920274605192839178</v>
      </c>
      <c r="AF549" s="79">
        <v>43025.545578703706</v>
      </c>
      <c r="AG549" s="85">
        <v>43025</v>
      </c>
      <c r="AH549" s="81" t="s">
        <v>3179</v>
      </c>
      <c r="AI549" s="77" t="b">
        <v>0</v>
      </c>
      <c r="AJ549" s="77" t="s">
        <v>3881</v>
      </c>
      <c r="AK549" s="77" t="s">
        <v>3889</v>
      </c>
      <c r="AL549" s="77" t="s">
        <v>3892</v>
      </c>
      <c r="AM549" s="77" t="s">
        <v>3895</v>
      </c>
      <c r="AN549" s="77" t="s">
        <v>3902</v>
      </c>
      <c r="AO549" s="77" t="s">
        <v>3910</v>
      </c>
      <c r="AP549" s="77" t="s">
        <v>3917</v>
      </c>
      <c r="AQ549" s="77" t="s">
        <v>4077</v>
      </c>
      <c r="AR549" s="77"/>
      <c r="AS549" s="77"/>
      <c r="AT549" s="77"/>
      <c r="AU549" s="77"/>
      <c r="AV549" s="80" t="str">
        <f>HYPERLINK("https://pbs.twimg.com/tweet_video_thumb/DMV42FDUMAAYf4x.jpg")</f>
        <v>https://pbs.twimg.com/tweet_video_thumb/DMV42FDUMAAYf4x.jpg</v>
      </c>
      <c r="AW549" s="81" t="s">
        <v>4925</v>
      </c>
      <c r="AX549" s="81" t="s">
        <v>4925</v>
      </c>
      <c r="AY549" s="77"/>
      <c r="AZ549" s="81" t="s">
        <v>5773</v>
      </c>
      <c r="BA549" s="81" t="s">
        <v>5773</v>
      </c>
      <c r="BB549" s="81" t="s">
        <v>5773</v>
      </c>
      <c r="BC549" s="81" t="s">
        <v>4925</v>
      </c>
      <c r="BD549" s="81" t="s">
        <v>5819</v>
      </c>
      <c r="BE549" s="77"/>
      <c r="BF549" s="77"/>
      <c r="BG549" s="77"/>
      <c r="BH549" s="77"/>
      <c r="BI549" s="77"/>
    </row>
    <row r="550" spans="1:61" ht="15">
      <c r="A550" s="62" t="s">
        <v>369</v>
      </c>
      <c r="B550" s="62" t="s">
        <v>369</v>
      </c>
      <c r="C550" s="63"/>
      <c r="D550" s="64"/>
      <c r="E550" s="65"/>
      <c r="F550" s="66"/>
      <c r="G550" s="63"/>
      <c r="H550" s="67"/>
      <c r="I550" s="68"/>
      <c r="J550" s="68"/>
      <c r="K550" s="32" t="s">
        <v>65</v>
      </c>
      <c r="L550" s="75">
        <v>550</v>
      </c>
      <c r="M550" s="75"/>
      <c r="N550" s="70"/>
      <c r="O550" s="77" t="s">
        <v>179</v>
      </c>
      <c r="P550" s="79">
        <v>43033.48510416667</v>
      </c>
      <c r="Q550" s="77" t="s">
        <v>990</v>
      </c>
      <c r="R550" s="77">
        <v>0</v>
      </c>
      <c r="S550" s="77">
        <v>0</v>
      </c>
      <c r="T550" s="77">
        <v>0</v>
      </c>
      <c r="U550" s="77">
        <v>0</v>
      </c>
      <c r="V550" s="77"/>
      <c r="W550" s="81" t="s">
        <v>1828</v>
      </c>
      <c r="X550" s="80" t="str">
        <f>HYPERLINK("https://www.inovies.com/web-design/logo-design-company")</f>
        <v>https://www.inovies.com/web-design/logo-design-company</v>
      </c>
      <c r="Y550" s="77" t="s">
        <v>1982</v>
      </c>
      <c r="Z550" s="77"/>
      <c r="AA550" s="77" t="s">
        <v>2263</v>
      </c>
      <c r="AB550" s="77" t="s">
        <v>2696</v>
      </c>
      <c r="AC550" s="81" t="s">
        <v>2705</v>
      </c>
      <c r="AD550" s="77" t="s">
        <v>2751</v>
      </c>
      <c r="AE550" s="80" t="str">
        <f>HYPERLINK("https://twitter.com/suryakotianu/status/923151794221465601")</f>
        <v>https://twitter.com/suryakotianu/status/923151794221465601</v>
      </c>
      <c r="AF550" s="79">
        <v>43033.48510416667</v>
      </c>
      <c r="AG550" s="85">
        <v>43033</v>
      </c>
      <c r="AH550" s="81" t="s">
        <v>3180</v>
      </c>
      <c r="AI550" s="77" t="b">
        <v>0</v>
      </c>
      <c r="AJ550" s="77"/>
      <c r="AK550" s="77"/>
      <c r="AL550" s="77"/>
      <c r="AM550" s="77"/>
      <c r="AN550" s="77"/>
      <c r="AO550" s="77"/>
      <c r="AP550" s="77"/>
      <c r="AQ550" s="77" t="s">
        <v>4078</v>
      </c>
      <c r="AR550" s="77"/>
      <c r="AS550" s="77"/>
      <c r="AT550" s="77"/>
      <c r="AU550" s="77"/>
      <c r="AV550" s="80" t="str">
        <f>HYPERLINK("https://pbs.twimg.com/media/DM-xfdHVAAIeN9O.jpg")</f>
        <v>https://pbs.twimg.com/media/DM-xfdHVAAIeN9O.jpg</v>
      </c>
      <c r="AW550" s="81" t="s">
        <v>4926</v>
      </c>
      <c r="AX550" s="81" t="s">
        <v>4926</v>
      </c>
      <c r="AY550" s="77"/>
      <c r="AZ550" s="81" t="s">
        <v>5773</v>
      </c>
      <c r="BA550" s="81" t="s">
        <v>5773</v>
      </c>
      <c r="BB550" s="81" t="s">
        <v>5773</v>
      </c>
      <c r="BC550" s="81" t="s">
        <v>4926</v>
      </c>
      <c r="BD550" s="81" t="s">
        <v>5819</v>
      </c>
      <c r="BE550" s="77"/>
      <c r="BF550" s="77"/>
      <c r="BG550" s="77"/>
      <c r="BH550" s="77"/>
      <c r="BI550" s="77"/>
    </row>
    <row r="551" spans="1:61" ht="15">
      <c r="A551" s="62" t="s">
        <v>369</v>
      </c>
      <c r="B551" s="62" t="s">
        <v>369</v>
      </c>
      <c r="C551" s="63"/>
      <c r="D551" s="64"/>
      <c r="E551" s="65"/>
      <c r="F551" s="66"/>
      <c r="G551" s="63"/>
      <c r="H551" s="67"/>
      <c r="I551" s="68"/>
      <c r="J551" s="68"/>
      <c r="K551" s="32" t="s">
        <v>65</v>
      </c>
      <c r="L551" s="75">
        <v>551</v>
      </c>
      <c r="M551" s="75"/>
      <c r="N551" s="70"/>
      <c r="O551" s="77" t="s">
        <v>179</v>
      </c>
      <c r="P551" s="79">
        <v>43025.55479166667</v>
      </c>
      <c r="Q551" s="77" t="s">
        <v>991</v>
      </c>
      <c r="R551" s="77">
        <v>0</v>
      </c>
      <c r="S551" s="77">
        <v>0</v>
      </c>
      <c r="T551" s="77">
        <v>0</v>
      </c>
      <c r="U551" s="77">
        <v>0</v>
      </c>
      <c r="V551" s="77"/>
      <c r="W551" s="81" t="s">
        <v>299</v>
      </c>
      <c r="X551" s="80" t="str">
        <f>HYPERLINK("https://goo.gl/oisuc3")</f>
        <v>https://goo.gl/oisuc3</v>
      </c>
      <c r="Y551" s="77" t="s">
        <v>1975</v>
      </c>
      <c r="Z551" s="77"/>
      <c r="AA551" s="77" t="s">
        <v>2264</v>
      </c>
      <c r="AB551" s="77" t="s">
        <v>2696</v>
      </c>
      <c r="AC551" s="81" t="s">
        <v>2705</v>
      </c>
      <c r="AD551" s="77" t="s">
        <v>2751</v>
      </c>
      <c r="AE551" s="80" t="str">
        <f>HYPERLINK("https://twitter.com/suryakotianu/status/920277945704366080")</f>
        <v>https://twitter.com/suryakotianu/status/920277945704366080</v>
      </c>
      <c r="AF551" s="79">
        <v>43025.55479166667</v>
      </c>
      <c r="AG551" s="85">
        <v>43025</v>
      </c>
      <c r="AH551" s="81" t="s">
        <v>3181</v>
      </c>
      <c r="AI551" s="77" t="b">
        <v>0</v>
      </c>
      <c r="AJ551" s="77" t="s">
        <v>3881</v>
      </c>
      <c r="AK551" s="77" t="s">
        <v>3889</v>
      </c>
      <c r="AL551" s="77" t="s">
        <v>3892</v>
      </c>
      <c r="AM551" s="77" t="s">
        <v>3895</v>
      </c>
      <c r="AN551" s="77" t="s">
        <v>3902</v>
      </c>
      <c r="AO551" s="77" t="s">
        <v>3910</v>
      </c>
      <c r="AP551" s="77" t="s">
        <v>3917</v>
      </c>
      <c r="AQ551" s="77" t="s">
        <v>4079</v>
      </c>
      <c r="AR551" s="77"/>
      <c r="AS551" s="77"/>
      <c r="AT551" s="77"/>
      <c r="AU551" s="77"/>
      <c r="AV551" s="80" t="str">
        <f>HYPERLINK("https://pbs.twimg.com/media/DMV754RUMAEGym4.jpg")</f>
        <v>https://pbs.twimg.com/media/DMV754RUMAEGym4.jpg</v>
      </c>
      <c r="AW551" s="81" t="s">
        <v>4927</v>
      </c>
      <c r="AX551" s="81" t="s">
        <v>4927</v>
      </c>
      <c r="AY551" s="77"/>
      <c r="AZ551" s="81" t="s">
        <v>5773</v>
      </c>
      <c r="BA551" s="81" t="s">
        <v>5773</v>
      </c>
      <c r="BB551" s="81" t="s">
        <v>5773</v>
      </c>
      <c r="BC551" s="81" t="s">
        <v>4927</v>
      </c>
      <c r="BD551" s="81" t="s">
        <v>5819</v>
      </c>
      <c r="BE551" s="77"/>
      <c r="BF551" s="77"/>
      <c r="BG551" s="77"/>
      <c r="BH551" s="77"/>
      <c r="BI551" s="77"/>
    </row>
    <row r="552" spans="1:61" ht="15">
      <c r="A552" s="62" t="s">
        <v>369</v>
      </c>
      <c r="B552" s="62" t="s">
        <v>369</v>
      </c>
      <c r="C552" s="63"/>
      <c r="D552" s="64"/>
      <c r="E552" s="65"/>
      <c r="F552" s="66"/>
      <c r="G552" s="63"/>
      <c r="H552" s="67"/>
      <c r="I552" s="68"/>
      <c r="J552" s="68"/>
      <c r="K552" s="32" t="s">
        <v>65</v>
      </c>
      <c r="L552" s="75">
        <v>552</v>
      </c>
      <c r="M552" s="75"/>
      <c r="N552" s="70"/>
      <c r="O552" s="77" t="s">
        <v>179</v>
      </c>
      <c r="P552" s="79">
        <v>43025.55436342592</v>
      </c>
      <c r="Q552" s="77" t="s">
        <v>992</v>
      </c>
      <c r="R552" s="77">
        <v>0</v>
      </c>
      <c r="S552" s="77">
        <v>0</v>
      </c>
      <c r="T552" s="77">
        <v>0</v>
      </c>
      <c r="U552" s="77">
        <v>0</v>
      </c>
      <c r="V552" s="77"/>
      <c r="W552" s="81" t="s">
        <v>299</v>
      </c>
      <c r="X552" s="80" t="str">
        <f>HYPERLINK("https://goo.gl/GW6d6d")</f>
        <v>https://goo.gl/GW6d6d</v>
      </c>
      <c r="Y552" s="77" t="s">
        <v>1975</v>
      </c>
      <c r="Z552" s="77"/>
      <c r="AA552" s="77" t="s">
        <v>2265</v>
      </c>
      <c r="AB552" s="77" t="s">
        <v>2696</v>
      </c>
      <c r="AC552" s="81" t="s">
        <v>2705</v>
      </c>
      <c r="AD552" s="77" t="s">
        <v>2751</v>
      </c>
      <c r="AE552" s="80" t="str">
        <f>HYPERLINK("https://twitter.com/suryakotianu/status/920277787046330368")</f>
        <v>https://twitter.com/suryakotianu/status/920277787046330368</v>
      </c>
      <c r="AF552" s="79">
        <v>43025.55436342592</v>
      </c>
      <c r="AG552" s="85">
        <v>43025</v>
      </c>
      <c r="AH552" s="81" t="s">
        <v>3182</v>
      </c>
      <c r="AI552" s="77" t="b">
        <v>0</v>
      </c>
      <c r="AJ552" s="77" t="s">
        <v>3881</v>
      </c>
      <c r="AK552" s="77" t="s">
        <v>3889</v>
      </c>
      <c r="AL552" s="77" t="s">
        <v>3892</v>
      </c>
      <c r="AM552" s="77" t="s">
        <v>3895</v>
      </c>
      <c r="AN552" s="77" t="s">
        <v>3902</v>
      </c>
      <c r="AO552" s="77" t="s">
        <v>3910</v>
      </c>
      <c r="AP552" s="77" t="s">
        <v>3917</v>
      </c>
      <c r="AQ552" s="77" t="s">
        <v>4080</v>
      </c>
      <c r="AR552" s="77"/>
      <c r="AS552" s="77"/>
      <c r="AT552" s="77"/>
      <c r="AU552" s="77"/>
      <c r="AV552" s="80" t="str">
        <f>HYPERLINK("https://pbs.twimg.com/media/DMV7w0mVwAAHG5D.jpg")</f>
        <v>https://pbs.twimg.com/media/DMV7w0mVwAAHG5D.jpg</v>
      </c>
      <c r="AW552" s="81" t="s">
        <v>4928</v>
      </c>
      <c r="AX552" s="81" t="s">
        <v>4928</v>
      </c>
      <c r="AY552" s="77"/>
      <c r="AZ552" s="81" t="s">
        <v>5773</v>
      </c>
      <c r="BA552" s="81" t="s">
        <v>5773</v>
      </c>
      <c r="BB552" s="81" t="s">
        <v>5773</v>
      </c>
      <c r="BC552" s="81" t="s">
        <v>4928</v>
      </c>
      <c r="BD552" s="81" t="s">
        <v>5819</v>
      </c>
      <c r="BE552" s="77"/>
      <c r="BF552" s="77"/>
      <c r="BG552" s="77"/>
      <c r="BH552" s="77"/>
      <c r="BI552" s="77"/>
    </row>
    <row r="553" spans="1:61" ht="15">
      <c r="A553" s="62" t="s">
        <v>369</v>
      </c>
      <c r="B553" s="62" t="s">
        <v>369</v>
      </c>
      <c r="C553" s="63"/>
      <c r="D553" s="64"/>
      <c r="E553" s="65"/>
      <c r="F553" s="66"/>
      <c r="G553" s="63"/>
      <c r="H553" s="67"/>
      <c r="I553" s="68"/>
      <c r="J553" s="68"/>
      <c r="K553" s="32" t="s">
        <v>65</v>
      </c>
      <c r="L553" s="75">
        <v>553</v>
      </c>
      <c r="M553" s="75"/>
      <c r="N553" s="70"/>
      <c r="O553" s="77" t="s">
        <v>179</v>
      </c>
      <c r="P553" s="79">
        <v>43025.5541087963</v>
      </c>
      <c r="Q553" s="77" t="s">
        <v>993</v>
      </c>
      <c r="R553" s="77">
        <v>0</v>
      </c>
      <c r="S553" s="77">
        <v>0</v>
      </c>
      <c r="T553" s="77">
        <v>0</v>
      </c>
      <c r="U553" s="77">
        <v>0</v>
      </c>
      <c r="V553" s="77"/>
      <c r="W553" s="81" t="s">
        <v>299</v>
      </c>
      <c r="X553" s="80" t="str">
        <f>HYPERLINK("https://goo.gl/WptreJ")</f>
        <v>https://goo.gl/WptreJ</v>
      </c>
      <c r="Y553" s="77" t="s">
        <v>1975</v>
      </c>
      <c r="Z553" s="77"/>
      <c r="AA553" s="77" t="s">
        <v>2266</v>
      </c>
      <c r="AB553" s="77" t="s">
        <v>2696</v>
      </c>
      <c r="AC553" s="81" t="s">
        <v>2705</v>
      </c>
      <c r="AD553" s="77" t="s">
        <v>2751</v>
      </c>
      <c r="AE553" s="80" t="str">
        <f>HYPERLINK("https://twitter.com/suryakotianu/status/920277696692723715")</f>
        <v>https://twitter.com/suryakotianu/status/920277696692723715</v>
      </c>
      <c r="AF553" s="79">
        <v>43025.5541087963</v>
      </c>
      <c r="AG553" s="85">
        <v>43025</v>
      </c>
      <c r="AH553" s="81" t="s">
        <v>3183</v>
      </c>
      <c r="AI553" s="77" t="b">
        <v>0</v>
      </c>
      <c r="AJ553" s="77" t="s">
        <v>3881</v>
      </c>
      <c r="AK553" s="77" t="s">
        <v>3889</v>
      </c>
      <c r="AL553" s="77" t="s">
        <v>3892</v>
      </c>
      <c r="AM553" s="77" t="s">
        <v>3895</v>
      </c>
      <c r="AN553" s="77" t="s">
        <v>3902</v>
      </c>
      <c r="AO553" s="77" t="s">
        <v>3910</v>
      </c>
      <c r="AP553" s="77" t="s">
        <v>3917</v>
      </c>
      <c r="AQ553" s="77" t="s">
        <v>4081</v>
      </c>
      <c r="AR553" s="77"/>
      <c r="AS553" s="77"/>
      <c r="AT553" s="77"/>
      <c r="AU553" s="77"/>
      <c r="AV553" s="80" t="str">
        <f>HYPERLINK("https://pbs.twimg.com/media/DMV7mraV4AAcfFz.jpg")</f>
        <v>https://pbs.twimg.com/media/DMV7mraV4AAcfFz.jpg</v>
      </c>
      <c r="AW553" s="81" t="s">
        <v>4929</v>
      </c>
      <c r="AX553" s="81" t="s">
        <v>4929</v>
      </c>
      <c r="AY553" s="77"/>
      <c r="AZ553" s="81" t="s">
        <v>5773</v>
      </c>
      <c r="BA553" s="81" t="s">
        <v>5773</v>
      </c>
      <c r="BB553" s="81" t="s">
        <v>5773</v>
      </c>
      <c r="BC553" s="81" t="s">
        <v>4929</v>
      </c>
      <c r="BD553" s="81" t="s">
        <v>5819</v>
      </c>
      <c r="BE553" s="77"/>
      <c r="BF553" s="77"/>
      <c r="BG553" s="77"/>
      <c r="BH553" s="77"/>
      <c r="BI553" s="77"/>
    </row>
    <row r="554" spans="1:61" ht="15">
      <c r="A554" s="62" t="s">
        <v>369</v>
      </c>
      <c r="B554" s="62" t="s">
        <v>369</v>
      </c>
      <c r="C554" s="63"/>
      <c r="D554" s="64"/>
      <c r="E554" s="65"/>
      <c r="F554" s="66"/>
      <c r="G554" s="63"/>
      <c r="H554" s="67"/>
      <c r="I554" s="68"/>
      <c r="J554" s="68"/>
      <c r="K554" s="32" t="s">
        <v>65</v>
      </c>
      <c r="L554" s="75">
        <v>554</v>
      </c>
      <c r="M554" s="75"/>
      <c r="N554" s="70"/>
      <c r="O554" s="77" t="s">
        <v>179</v>
      </c>
      <c r="P554" s="79">
        <v>43025.553391203706</v>
      </c>
      <c r="Q554" s="77" t="s">
        <v>994</v>
      </c>
      <c r="R554" s="77">
        <v>0</v>
      </c>
      <c r="S554" s="77">
        <v>0</v>
      </c>
      <c r="T554" s="77">
        <v>0</v>
      </c>
      <c r="U554" s="77">
        <v>0</v>
      </c>
      <c r="V554" s="77"/>
      <c r="W554" s="81" t="s">
        <v>299</v>
      </c>
      <c r="X554" s="80" t="str">
        <f>HYPERLINK("https://goo.gl/EfHGFG")</f>
        <v>https://goo.gl/EfHGFG</v>
      </c>
      <c r="Y554" s="77" t="s">
        <v>1975</v>
      </c>
      <c r="Z554" s="77"/>
      <c r="AA554" s="77" t="s">
        <v>2267</v>
      </c>
      <c r="AB554" s="77" t="s">
        <v>2696</v>
      </c>
      <c r="AC554" s="81" t="s">
        <v>2705</v>
      </c>
      <c r="AD554" s="77" t="s">
        <v>2751</v>
      </c>
      <c r="AE554" s="80" t="str">
        <f>HYPERLINK("https://twitter.com/suryakotianu/status/920277436821995521")</f>
        <v>https://twitter.com/suryakotianu/status/920277436821995521</v>
      </c>
      <c r="AF554" s="79">
        <v>43025.553391203706</v>
      </c>
      <c r="AG554" s="85">
        <v>43025</v>
      </c>
      <c r="AH554" s="81" t="s">
        <v>3184</v>
      </c>
      <c r="AI554" s="77" t="b">
        <v>0</v>
      </c>
      <c r="AJ554" s="77" t="s">
        <v>3881</v>
      </c>
      <c r="AK554" s="77" t="s">
        <v>3889</v>
      </c>
      <c r="AL554" s="77" t="s">
        <v>3892</v>
      </c>
      <c r="AM554" s="77" t="s">
        <v>3895</v>
      </c>
      <c r="AN554" s="77" t="s">
        <v>3902</v>
      </c>
      <c r="AO554" s="77" t="s">
        <v>3910</v>
      </c>
      <c r="AP554" s="77" t="s">
        <v>3917</v>
      </c>
      <c r="AQ554" s="77" t="s">
        <v>4082</v>
      </c>
      <c r="AR554" s="77"/>
      <c r="AS554" s="77"/>
      <c r="AT554" s="77"/>
      <c r="AU554" s="77"/>
      <c r="AV554" s="80" t="str">
        <f>HYPERLINK("https://pbs.twimg.com/media/DMV7cfNVoAI6i-Y.jpg")</f>
        <v>https://pbs.twimg.com/media/DMV7cfNVoAI6i-Y.jpg</v>
      </c>
      <c r="AW554" s="81" t="s">
        <v>4930</v>
      </c>
      <c r="AX554" s="81" t="s">
        <v>4930</v>
      </c>
      <c r="AY554" s="77"/>
      <c r="AZ554" s="81" t="s">
        <v>5773</v>
      </c>
      <c r="BA554" s="81" t="s">
        <v>5773</v>
      </c>
      <c r="BB554" s="81" t="s">
        <v>5773</v>
      </c>
      <c r="BC554" s="81" t="s">
        <v>4930</v>
      </c>
      <c r="BD554" s="81" t="s">
        <v>5819</v>
      </c>
      <c r="BE554" s="77"/>
      <c r="BF554" s="77"/>
      <c r="BG554" s="77"/>
      <c r="BH554" s="77"/>
      <c r="BI554" s="77"/>
    </row>
    <row r="555" spans="1:61" ht="15">
      <c r="A555" s="62" t="s">
        <v>369</v>
      </c>
      <c r="B555" s="62" t="s">
        <v>369</v>
      </c>
      <c r="C555" s="63"/>
      <c r="D555" s="64"/>
      <c r="E555" s="65"/>
      <c r="F555" s="66"/>
      <c r="G555" s="63"/>
      <c r="H555" s="67"/>
      <c r="I555" s="68"/>
      <c r="J555" s="68"/>
      <c r="K555" s="32" t="s">
        <v>65</v>
      </c>
      <c r="L555" s="75">
        <v>555</v>
      </c>
      <c r="M555" s="75"/>
      <c r="N555" s="70"/>
      <c r="O555" s="77" t="s">
        <v>179</v>
      </c>
      <c r="P555" s="79">
        <v>43025.54832175926</v>
      </c>
      <c r="Q555" s="77" t="s">
        <v>995</v>
      </c>
      <c r="R555" s="77">
        <v>0</v>
      </c>
      <c r="S555" s="77">
        <v>0</v>
      </c>
      <c r="T555" s="77">
        <v>0</v>
      </c>
      <c r="U555" s="77">
        <v>0</v>
      </c>
      <c r="V555" s="77"/>
      <c r="W555" s="81" t="s">
        <v>299</v>
      </c>
      <c r="X555" s="80" t="str">
        <f>HYPERLINK("https://goo.gl/drhcMB")</f>
        <v>https://goo.gl/drhcMB</v>
      </c>
      <c r="Y555" s="77" t="s">
        <v>1975</v>
      </c>
      <c r="Z555" s="77"/>
      <c r="AA555" s="77" t="s">
        <v>2268</v>
      </c>
      <c r="AB555" s="77" t="s">
        <v>2698</v>
      </c>
      <c r="AC555" s="81" t="s">
        <v>2705</v>
      </c>
      <c r="AD555" s="77" t="s">
        <v>2751</v>
      </c>
      <c r="AE555" s="80" t="str">
        <f>HYPERLINK("https://twitter.com/suryakotianu/status/920275598739509248")</f>
        <v>https://twitter.com/suryakotianu/status/920275598739509248</v>
      </c>
      <c r="AF555" s="79">
        <v>43025.54832175926</v>
      </c>
      <c r="AG555" s="85">
        <v>43025</v>
      </c>
      <c r="AH555" s="81" t="s">
        <v>3185</v>
      </c>
      <c r="AI555" s="77" t="b">
        <v>0</v>
      </c>
      <c r="AJ555" s="77" t="s">
        <v>3881</v>
      </c>
      <c r="AK555" s="77" t="s">
        <v>3889</v>
      </c>
      <c r="AL555" s="77" t="s">
        <v>3892</v>
      </c>
      <c r="AM555" s="77" t="s">
        <v>3895</v>
      </c>
      <c r="AN555" s="77" t="s">
        <v>3902</v>
      </c>
      <c r="AO555" s="77" t="s">
        <v>3910</v>
      </c>
      <c r="AP555" s="77" t="s">
        <v>3917</v>
      </c>
      <c r="AQ555" s="77" t="s">
        <v>4083</v>
      </c>
      <c r="AR555" s="77"/>
      <c r="AS555" s="77"/>
      <c r="AT555" s="77"/>
      <c r="AU555" s="77"/>
      <c r="AV555" s="80" t="str">
        <f>HYPERLINK("https://pbs.twimg.com/tweet_video_thumb/DMV5wpmUMAAhOz7.jpg")</f>
        <v>https://pbs.twimg.com/tweet_video_thumb/DMV5wpmUMAAhOz7.jpg</v>
      </c>
      <c r="AW555" s="81" t="s">
        <v>4931</v>
      </c>
      <c r="AX555" s="81" t="s">
        <v>4931</v>
      </c>
      <c r="AY555" s="77"/>
      <c r="AZ555" s="81" t="s">
        <v>5773</v>
      </c>
      <c r="BA555" s="81" t="s">
        <v>5773</v>
      </c>
      <c r="BB555" s="81" t="s">
        <v>5773</v>
      </c>
      <c r="BC555" s="81" t="s">
        <v>4931</v>
      </c>
      <c r="BD555" s="81" t="s">
        <v>5819</v>
      </c>
      <c r="BE555" s="77"/>
      <c r="BF555" s="77"/>
      <c r="BG555" s="77"/>
      <c r="BH555" s="77"/>
      <c r="BI555" s="77"/>
    </row>
    <row r="556" spans="1:61" ht="15">
      <c r="A556" s="62" t="s">
        <v>369</v>
      </c>
      <c r="B556" s="62" t="s">
        <v>369</v>
      </c>
      <c r="C556" s="63"/>
      <c r="D556" s="64"/>
      <c r="E556" s="65"/>
      <c r="F556" s="66"/>
      <c r="G556" s="63"/>
      <c r="H556" s="67"/>
      <c r="I556" s="68"/>
      <c r="J556" s="68"/>
      <c r="K556" s="32" t="s">
        <v>65</v>
      </c>
      <c r="L556" s="75">
        <v>556</v>
      </c>
      <c r="M556" s="75"/>
      <c r="N556" s="70"/>
      <c r="O556" s="77" t="s">
        <v>179</v>
      </c>
      <c r="P556" s="79">
        <v>43025.547638888886</v>
      </c>
      <c r="Q556" s="77" t="s">
        <v>996</v>
      </c>
      <c r="R556" s="77">
        <v>0</v>
      </c>
      <c r="S556" s="77">
        <v>0</v>
      </c>
      <c r="T556" s="77">
        <v>0</v>
      </c>
      <c r="U556" s="77">
        <v>0</v>
      </c>
      <c r="V556" s="77"/>
      <c r="W556" s="81" t="s">
        <v>299</v>
      </c>
      <c r="X556" s="80" t="str">
        <f>HYPERLINK("https://goo.gl/En75zz")</f>
        <v>https://goo.gl/En75zz</v>
      </c>
      <c r="Y556" s="77" t="s">
        <v>1975</v>
      </c>
      <c r="Z556" s="77"/>
      <c r="AA556" s="77" t="s">
        <v>2269</v>
      </c>
      <c r="AB556" s="77" t="s">
        <v>2698</v>
      </c>
      <c r="AC556" s="81" t="s">
        <v>2705</v>
      </c>
      <c r="AD556" s="77" t="s">
        <v>2751</v>
      </c>
      <c r="AE556" s="80" t="str">
        <f>HYPERLINK("https://twitter.com/suryakotianu/status/920275353372786689")</f>
        <v>https://twitter.com/suryakotianu/status/920275353372786689</v>
      </c>
      <c r="AF556" s="79">
        <v>43025.547638888886</v>
      </c>
      <c r="AG556" s="85">
        <v>43025</v>
      </c>
      <c r="AH556" s="81" t="s">
        <v>3186</v>
      </c>
      <c r="AI556" s="77" t="b">
        <v>0</v>
      </c>
      <c r="AJ556" s="77" t="s">
        <v>3881</v>
      </c>
      <c r="AK556" s="77" t="s">
        <v>3889</v>
      </c>
      <c r="AL556" s="77" t="s">
        <v>3892</v>
      </c>
      <c r="AM556" s="77" t="s">
        <v>3895</v>
      </c>
      <c r="AN556" s="77" t="s">
        <v>3902</v>
      </c>
      <c r="AO556" s="77" t="s">
        <v>3910</v>
      </c>
      <c r="AP556" s="77" t="s">
        <v>3917</v>
      </c>
      <c r="AQ556" s="77" t="s">
        <v>4084</v>
      </c>
      <c r="AR556" s="77"/>
      <c r="AS556" s="77"/>
      <c r="AT556" s="77"/>
      <c r="AU556" s="77"/>
      <c r="AV556" s="80" t="str">
        <f>HYPERLINK("https://pbs.twimg.com/tweet_video_thumb/DMV5hg7VoAUwQaT.jpg")</f>
        <v>https://pbs.twimg.com/tweet_video_thumb/DMV5hg7VoAUwQaT.jpg</v>
      </c>
      <c r="AW556" s="81" t="s">
        <v>4932</v>
      </c>
      <c r="AX556" s="81" t="s">
        <v>4932</v>
      </c>
      <c r="AY556" s="77"/>
      <c r="AZ556" s="81" t="s">
        <v>5773</v>
      </c>
      <c r="BA556" s="81" t="s">
        <v>5773</v>
      </c>
      <c r="BB556" s="81" t="s">
        <v>5773</v>
      </c>
      <c r="BC556" s="81" t="s">
        <v>4932</v>
      </c>
      <c r="BD556" s="81" t="s">
        <v>5819</v>
      </c>
      <c r="BE556" s="77"/>
      <c r="BF556" s="77"/>
      <c r="BG556" s="77"/>
      <c r="BH556" s="77"/>
      <c r="BI556" s="77"/>
    </row>
    <row r="557" spans="1:61" ht="15">
      <c r="A557" s="62" t="s">
        <v>369</v>
      </c>
      <c r="B557" s="62" t="s">
        <v>369</v>
      </c>
      <c r="C557" s="63"/>
      <c r="D557" s="64"/>
      <c r="E557" s="65"/>
      <c r="F557" s="66"/>
      <c r="G557" s="63"/>
      <c r="H557" s="67"/>
      <c r="I557" s="68"/>
      <c r="J557" s="68"/>
      <c r="K557" s="32" t="s">
        <v>65</v>
      </c>
      <c r="L557" s="75">
        <v>557</v>
      </c>
      <c r="M557" s="75"/>
      <c r="N557" s="70"/>
      <c r="O557" s="77" t="s">
        <v>179</v>
      </c>
      <c r="P557" s="79">
        <v>43025.54708333333</v>
      </c>
      <c r="Q557" s="77" t="s">
        <v>997</v>
      </c>
      <c r="R557" s="77">
        <v>0</v>
      </c>
      <c r="S557" s="77">
        <v>0</v>
      </c>
      <c r="T557" s="77">
        <v>0</v>
      </c>
      <c r="U557" s="77">
        <v>0</v>
      </c>
      <c r="V557" s="77"/>
      <c r="W557" s="81" t="s">
        <v>299</v>
      </c>
      <c r="X557" s="80" t="str">
        <f>HYPERLINK("https://goo.gl/D1t8HH")</f>
        <v>https://goo.gl/D1t8HH</v>
      </c>
      <c r="Y557" s="77" t="s">
        <v>1975</v>
      </c>
      <c r="Z557" s="77"/>
      <c r="AA557" s="77" t="s">
        <v>2270</v>
      </c>
      <c r="AB557" s="77" t="s">
        <v>2698</v>
      </c>
      <c r="AC557" s="81" t="s">
        <v>2705</v>
      </c>
      <c r="AD557" s="77" t="s">
        <v>2751</v>
      </c>
      <c r="AE557" s="80" t="str">
        <f>HYPERLINK("https://twitter.com/suryakotianu/status/920275149290586114")</f>
        <v>https://twitter.com/suryakotianu/status/920275149290586114</v>
      </c>
      <c r="AF557" s="79">
        <v>43025.54708333333</v>
      </c>
      <c r="AG557" s="85">
        <v>43025</v>
      </c>
      <c r="AH557" s="81" t="s">
        <v>3187</v>
      </c>
      <c r="AI557" s="77" t="b">
        <v>0</v>
      </c>
      <c r="AJ557" s="77" t="s">
        <v>3881</v>
      </c>
      <c r="AK557" s="77" t="s">
        <v>3889</v>
      </c>
      <c r="AL557" s="77" t="s">
        <v>3892</v>
      </c>
      <c r="AM557" s="77" t="s">
        <v>3895</v>
      </c>
      <c r="AN557" s="77" t="s">
        <v>3902</v>
      </c>
      <c r="AO557" s="77" t="s">
        <v>3910</v>
      </c>
      <c r="AP557" s="77" t="s">
        <v>3917</v>
      </c>
      <c r="AQ557" s="77" t="s">
        <v>4085</v>
      </c>
      <c r="AR557" s="77"/>
      <c r="AS557" s="77"/>
      <c r="AT557" s="77"/>
      <c r="AU557" s="77"/>
      <c r="AV557" s="80" t="str">
        <f>HYPERLINK("https://pbs.twimg.com/tweet_video_thumb/DMV5WnhVAAAWrrb.jpg")</f>
        <v>https://pbs.twimg.com/tweet_video_thumb/DMV5WnhVAAAWrrb.jpg</v>
      </c>
      <c r="AW557" s="81" t="s">
        <v>4933</v>
      </c>
      <c r="AX557" s="81" t="s">
        <v>4933</v>
      </c>
      <c r="AY557" s="77"/>
      <c r="AZ557" s="81" t="s">
        <v>5773</v>
      </c>
      <c r="BA557" s="81" t="s">
        <v>5773</v>
      </c>
      <c r="BB557" s="81" t="s">
        <v>5773</v>
      </c>
      <c r="BC557" s="81" t="s">
        <v>4933</v>
      </c>
      <c r="BD557" s="81" t="s">
        <v>5819</v>
      </c>
      <c r="BE557" s="77"/>
      <c r="BF557" s="77"/>
      <c r="BG557" s="77"/>
      <c r="BH557" s="77"/>
      <c r="BI557" s="77"/>
    </row>
    <row r="558" spans="1:61" ht="15">
      <c r="A558" s="62" t="s">
        <v>369</v>
      </c>
      <c r="B558" s="62" t="s">
        <v>369</v>
      </c>
      <c r="C558" s="63"/>
      <c r="D558" s="64"/>
      <c r="E558" s="65"/>
      <c r="F558" s="66"/>
      <c r="G558" s="63"/>
      <c r="H558" s="67"/>
      <c r="I558" s="68"/>
      <c r="J558" s="68"/>
      <c r="K558" s="32" t="s">
        <v>65</v>
      </c>
      <c r="L558" s="75">
        <v>558</v>
      </c>
      <c r="M558" s="75"/>
      <c r="N558" s="70"/>
      <c r="O558" s="77" t="s">
        <v>179</v>
      </c>
      <c r="P558" s="79">
        <v>43025.54665509259</v>
      </c>
      <c r="Q558" s="77" t="s">
        <v>998</v>
      </c>
      <c r="R558" s="77">
        <v>0</v>
      </c>
      <c r="S558" s="77">
        <v>0</v>
      </c>
      <c r="T558" s="77">
        <v>0</v>
      </c>
      <c r="U558" s="77">
        <v>0</v>
      </c>
      <c r="V558" s="77"/>
      <c r="W558" s="81" t="s">
        <v>299</v>
      </c>
      <c r="X558" s="80" t="str">
        <f>HYPERLINK("https://goo.gl/hqoPKE")</f>
        <v>https://goo.gl/hqoPKE</v>
      </c>
      <c r="Y558" s="77" t="s">
        <v>1975</v>
      </c>
      <c r="Z558" s="77"/>
      <c r="AA558" s="77" t="s">
        <v>2271</v>
      </c>
      <c r="AB558" s="77" t="s">
        <v>2698</v>
      </c>
      <c r="AC558" s="81" t="s">
        <v>2705</v>
      </c>
      <c r="AD558" s="77" t="s">
        <v>2751</v>
      </c>
      <c r="AE558" s="80" t="str">
        <f>HYPERLINK("https://twitter.com/suryakotianu/status/920274994055094272")</f>
        <v>https://twitter.com/suryakotianu/status/920274994055094272</v>
      </c>
      <c r="AF558" s="79">
        <v>43025.54665509259</v>
      </c>
      <c r="AG558" s="85">
        <v>43025</v>
      </c>
      <c r="AH558" s="81" t="s">
        <v>3188</v>
      </c>
      <c r="AI558" s="77" t="b">
        <v>0</v>
      </c>
      <c r="AJ558" s="77" t="s">
        <v>3881</v>
      </c>
      <c r="AK558" s="77" t="s">
        <v>3889</v>
      </c>
      <c r="AL558" s="77" t="s">
        <v>3892</v>
      </c>
      <c r="AM558" s="77" t="s">
        <v>3895</v>
      </c>
      <c r="AN558" s="77" t="s">
        <v>3902</v>
      </c>
      <c r="AO558" s="77" t="s">
        <v>3910</v>
      </c>
      <c r="AP558" s="77" t="s">
        <v>3917</v>
      </c>
      <c r="AQ558" s="77" t="s">
        <v>4086</v>
      </c>
      <c r="AR558" s="77"/>
      <c r="AS558" s="77"/>
      <c r="AT558" s="77"/>
      <c r="AU558" s="77"/>
      <c r="AV558" s="80" t="str">
        <f>HYPERLINK("https://pbs.twimg.com/tweet_video_thumb/DMV5L7MVQAEmU0t.jpg")</f>
        <v>https://pbs.twimg.com/tweet_video_thumb/DMV5L7MVQAEmU0t.jpg</v>
      </c>
      <c r="AW558" s="81" t="s">
        <v>4934</v>
      </c>
      <c r="AX558" s="81" t="s">
        <v>4934</v>
      </c>
      <c r="AY558" s="77"/>
      <c r="AZ558" s="81" t="s">
        <v>5773</v>
      </c>
      <c r="BA558" s="81" t="s">
        <v>5773</v>
      </c>
      <c r="BB558" s="81" t="s">
        <v>5773</v>
      </c>
      <c r="BC558" s="81" t="s">
        <v>4934</v>
      </c>
      <c r="BD558" s="81" t="s">
        <v>5819</v>
      </c>
      <c r="BE558" s="77"/>
      <c r="BF558" s="77"/>
      <c r="BG558" s="77"/>
      <c r="BH558" s="77"/>
      <c r="BI558" s="77"/>
    </row>
    <row r="559" spans="1:61" ht="15">
      <c r="A559" s="62" t="s">
        <v>369</v>
      </c>
      <c r="B559" s="62" t="s">
        <v>369</v>
      </c>
      <c r="C559" s="63"/>
      <c r="D559" s="64"/>
      <c r="E559" s="65"/>
      <c r="F559" s="66"/>
      <c r="G559" s="63"/>
      <c r="H559" s="67"/>
      <c r="I559" s="68"/>
      <c r="J559" s="68"/>
      <c r="K559" s="32" t="s">
        <v>65</v>
      </c>
      <c r="L559" s="75">
        <v>559</v>
      </c>
      <c r="M559" s="75"/>
      <c r="N559" s="70"/>
      <c r="O559" s="77" t="s">
        <v>179</v>
      </c>
      <c r="P559" s="79">
        <v>43025.53309027778</v>
      </c>
      <c r="Q559" s="77" t="s">
        <v>999</v>
      </c>
      <c r="R559" s="77">
        <v>0</v>
      </c>
      <c r="S559" s="77">
        <v>0</v>
      </c>
      <c r="T559" s="77">
        <v>0</v>
      </c>
      <c r="U559" s="77">
        <v>0</v>
      </c>
      <c r="V559" s="77"/>
      <c r="W559" s="81" t="s">
        <v>1829</v>
      </c>
      <c r="X559" s="80" t="str">
        <f>HYPERLINK("https://goo.gl/AvXV6h")</f>
        <v>https://goo.gl/AvXV6h</v>
      </c>
      <c r="Y559" s="77" t="s">
        <v>1975</v>
      </c>
      <c r="Z559" s="77"/>
      <c r="AA559" s="77" t="s">
        <v>2272</v>
      </c>
      <c r="AB559" s="77" t="s">
        <v>2696</v>
      </c>
      <c r="AC559" s="81" t="s">
        <v>2705</v>
      </c>
      <c r="AD559" s="77" t="s">
        <v>2751</v>
      </c>
      <c r="AE559" s="80" t="str">
        <f>HYPERLINK("https://twitter.com/suryakotianu/status/920270078708400129")</f>
        <v>https://twitter.com/suryakotianu/status/920270078708400129</v>
      </c>
      <c r="AF559" s="79">
        <v>43025.53309027778</v>
      </c>
      <c r="AG559" s="85">
        <v>43025</v>
      </c>
      <c r="AH559" s="81" t="s">
        <v>3189</v>
      </c>
      <c r="AI559" s="77" t="b">
        <v>0</v>
      </c>
      <c r="AJ559" s="77" t="s">
        <v>3881</v>
      </c>
      <c r="AK559" s="77" t="s">
        <v>3889</v>
      </c>
      <c r="AL559" s="77" t="s">
        <v>3892</v>
      </c>
      <c r="AM559" s="77" t="s">
        <v>3895</v>
      </c>
      <c r="AN559" s="77" t="s">
        <v>3902</v>
      </c>
      <c r="AO559" s="77" t="s">
        <v>3910</v>
      </c>
      <c r="AP559" s="77" t="s">
        <v>3917</v>
      </c>
      <c r="AQ559" s="77" t="s">
        <v>4087</v>
      </c>
      <c r="AR559" s="77"/>
      <c r="AS559" s="77"/>
      <c r="AT559" s="77"/>
      <c r="AU559" s="77"/>
      <c r="AV559" s="80" t="str">
        <f>HYPERLINK("https://pbs.twimg.com/media/DMV0v58VoAA9W9I.jpg")</f>
        <v>https://pbs.twimg.com/media/DMV0v58VoAA9W9I.jpg</v>
      </c>
      <c r="AW559" s="81" t="s">
        <v>4935</v>
      </c>
      <c r="AX559" s="81" t="s">
        <v>4935</v>
      </c>
      <c r="AY559" s="77"/>
      <c r="AZ559" s="81" t="s">
        <v>5773</v>
      </c>
      <c r="BA559" s="81" t="s">
        <v>5773</v>
      </c>
      <c r="BB559" s="81" t="s">
        <v>5773</v>
      </c>
      <c r="BC559" s="81" t="s">
        <v>4935</v>
      </c>
      <c r="BD559" s="81" t="s">
        <v>5819</v>
      </c>
      <c r="BE559" s="77"/>
      <c r="BF559" s="77"/>
      <c r="BG559" s="77"/>
      <c r="BH559" s="77"/>
      <c r="BI559" s="77"/>
    </row>
    <row r="560" spans="1:61" ht="15">
      <c r="A560" s="62" t="s">
        <v>369</v>
      </c>
      <c r="B560" s="62" t="s">
        <v>369</v>
      </c>
      <c r="C560" s="63"/>
      <c r="D560" s="64"/>
      <c r="E560" s="65"/>
      <c r="F560" s="66"/>
      <c r="G560" s="63"/>
      <c r="H560" s="67"/>
      <c r="I560" s="68"/>
      <c r="J560" s="68"/>
      <c r="K560" s="32" t="s">
        <v>65</v>
      </c>
      <c r="L560" s="75">
        <v>560</v>
      </c>
      <c r="M560" s="75"/>
      <c r="N560" s="70"/>
      <c r="O560" s="77" t="s">
        <v>179</v>
      </c>
      <c r="P560" s="79">
        <v>43025.53087962963</v>
      </c>
      <c r="Q560" s="77" t="s">
        <v>1000</v>
      </c>
      <c r="R560" s="77">
        <v>0</v>
      </c>
      <c r="S560" s="77">
        <v>0</v>
      </c>
      <c r="T560" s="77">
        <v>0</v>
      </c>
      <c r="U560" s="77">
        <v>0</v>
      </c>
      <c r="V560" s="77"/>
      <c r="W560" s="81" t="s">
        <v>1830</v>
      </c>
      <c r="X560" s="80" t="str">
        <f>HYPERLINK("https://goo.gl/EuVw63")</f>
        <v>https://goo.gl/EuVw63</v>
      </c>
      <c r="Y560" s="77" t="s">
        <v>1975</v>
      </c>
      <c r="Z560" s="77"/>
      <c r="AA560" s="77" t="s">
        <v>2273</v>
      </c>
      <c r="AB560" s="77" t="s">
        <v>2696</v>
      </c>
      <c r="AC560" s="81" t="s">
        <v>2705</v>
      </c>
      <c r="AD560" s="77" t="s">
        <v>2751</v>
      </c>
      <c r="AE560" s="80" t="str">
        <f>HYPERLINK("https://twitter.com/suryakotianu/status/920269278686855168")</f>
        <v>https://twitter.com/suryakotianu/status/920269278686855168</v>
      </c>
      <c r="AF560" s="79">
        <v>43025.53087962963</v>
      </c>
      <c r="AG560" s="85">
        <v>43025</v>
      </c>
      <c r="AH560" s="81" t="s">
        <v>3190</v>
      </c>
      <c r="AI560" s="77" t="b">
        <v>0</v>
      </c>
      <c r="AJ560" s="77" t="s">
        <v>3881</v>
      </c>
      <c r="AK560" s="77" t="s">
        <v>3889</v>
      </c>
      <c r="AL560" s="77" t="s">
        <v>3892</v>
      </c>
      <c r="AM560" s="77" t="s">
        <v>3895</v>
      </c>
      <c r="AN560" s="77" t="s">
        <v>3902</v>
      </c>
      <c r="AO560" s="77" t="s">
        <v>3910</v>
      </c>
      <c r="AP560" s="77" t="s">
        <v>3917</v>
      </c>
      <c r="AQ560" s="77" t="s">
        <v>4088</v>
      </c>
      <c r="AR560" s="77"/>
      <c r="AS560" s="77"/>
      <c r="AT560" s="77"/>
      <c r="AU560" s="77"/>
      <c r="AV560" s="80" t="str">
        <f>HYPERLINK("https://pbs.twimg.com/media/DMV0A8WVAAAUTPC.jpg")</f>
        <v>https://pbs.twimg.com/media/DMV0A8WVAAAUTPC.jpg</v>
      </c>
      <c r="AW560" s="81" t="s">
        <v>4936</v>
      </c>
      <c r="AX560" s="81" t="s">
        <v>4936</v>
      </c>
      <c r="AY560" s="77"/>
      <c r="AZ560" s="81" t="s">
        <v>5773</v>
      </c>
      <c r="BA560" s="81" t="s">
        <v>5773</v>
      </c>
      <c r="BB560" s="81" t="s">
        <v>5773</v>
      </c>
      <c r="BC560" s="81" t="s">
        <v>4936</v>
      </c>
      <c r="BD560" s="81" t="s">
        <v>5819</v>
      </c>
      <c r="BE560" s="77"/>
      <c r="BF560" s="77"/>
      <c r="BG560" s="77"/>
      <c r="BH560" s="77"/>
      <c r="BI560" s="77"/>
    </row>
    <row r="561" spans="1:61" ht="15">
      <c r="A561" s="62" t="s">
        <v>369</v>
      </c>
      <c r="B561" s="62" t="s">
        <v>369</v>
      </c>
      <c r="C561" s="63"/>
      <c r="D561" s="64"/>
      <c r="E561" s="65"/>
      <c r="F561" s="66"/>
      <c r="G561" s="63"/>
      <c r="H561" s="67"/>
      <c r="I561" s="68"/>
      <c r="J561" s="68"/>
      <c r="K561" s="32" t="s">
        <v>65</v>
      </c>
      <c r="L561" s="75">
        <v>561</v>
      </c>
      <c r="M561" s="75"/>
      <c r="N561" s="70"/>
      <c r="O561" s="77" t="s">
        <v>179</v>
      </c>
      <c r="P561" s="79">
        <v>43025.52990740741</v>
      </c>
      <c r="Q561" s="77" t="s">
        <v>1001</v>
      </c>
      <c r="R561" s="77">
        <v>0</v>
      </c>
      <c r="S561" s="77">
        <v>0</v>
      </c>
      <c r="T561" s="77">
        <v>0</v>
      </c>
      <c r="U561" s="77">
        <v>0</v>
      </c>
      <c r="V561" s="77"/>
      <c r="W561" s="81" t="s">
        <v>1831</v>
      </c>
      <c r="X561" s="80" t="str">
        <f>HYPERLINK("https://goo.gl/z4X3eU")</f>
        <v>https://goo.gl/z4X3eU</v>
      </c>
      <c r="Y561" s="77" t="s">
        <v>1975</v>
      </c>
      <c r="Z561" s="77"/>
      <c r="AA561" s="77" t="s">
        <v>2274</v>
      </c>
      <c r="AB561" s="77" t="s">
        <v>2696</v>
      </c>
      <c r="AC561" s="81" t="s">
        <v>2705</v>
      </c>
      <c r="AD561" s="77" t="s">
        <v>2751</v>
      </c>
      <c r="AE561" s="80" t="str">
        <f>HYPERLINK("https://twitter.com/suryakotianu/status/920268925287374855")</f>
        <v>https://twitter.com/suryakotianu/status/920268925287374855</v>
      </c>
      <c r="AF561" s="79">
        <v>43025.52990740741</v>
      </c>
      <c r="AG561" s="85">
        <v>43025</v>
      </c>
      <c r="AH561" s="81" t="s">
        <v>3191</v>
      </c>
      <c r="AI561" s="77" t="b">
        <v>0</v>
      </c>
      <c r="AJ561" s="77" t="s">
        <v>3881</v>
      </c>
      <c r="AK561" s="77" t="s">
        <v>3889</v>
      </c>
      <c r="AL561" s="77" t="s">
        <v>3892</v>
      </c>
      <c r="AM561" s="77" t="s">
        <v>3895</v>
      </c>
      <c r="AN561" s="77" t="s">
        <v>3902</v>
      </c>
      <c r="AO561" s="77" t="s">
        <v>3910</v>
      </c>
      <c r="AP561" s="77" t="s">
        <v>3917</v>
      </c>
      <c r="AQ561" s="77" t="s">
        <v>4089</v>
      </c>
      <c r="AR561" s="77"/>
      <c r="AS561" s="77"/>
      <c r="AT561" s="77"/>
      <c r="AU561" s="77"/>
      <c r="AV561" s="80" t="str">
        <f>HYPERLINK("https://pbs.twimg.com/media/DMVzr3iV4AAauHo.jpg")</f>
        <v>https://pbs.twimg.com/media/DMVzr3iV4AAauHo.jpg</v>
      </c>
      <c r="AW561" s="81" t="s">
        <v>4937</v>
      </c>
      <c r="AX561" s="81" t="s">
        <v>4937</v>
      </c>
      <c r="AY561" s="77"/>
      <c r="AZ561" s="81" t="s">
        <v>5773</v>
      </c>
      <c r="BA561" s="81" t="s">
        <v>5773</v>
      </c>
      <c r="BB561" s="81" t="s">
        <v>5773</v>
      </c>
      <c r="BC561" s="81" t="s">
        <v>4937</v>
      </c>
      <c r="BD561" s="81" t="s">
        <v>5819</v>
      </c>
      <c r="BE561" s="77"/>
      <c r="BF561" s="77"/>
      <c r="BG561" s="77"/>
      <c r="BH561" s="77"/>
      <c r="BI561" s="77"/>
    </row>
    <row r="562" spans="1:61" ht="15">
      <c r="A562" s="62" t="s">
        <v>369</v>
      </c>
      <c r="B562" s="62" t="s">
        <v>369</v>
      </c>
      <c r="C562" s="63"/>
      <c r="D562" s="64"/>
      <c r="E562" s="65"/>
      <c r="F562" s="66"/>
      <c r="G562" s="63"/>
      <c r="H562" s="67"/>
      <c r="I562" s="68"/>
      <c r="J562" s="68"/>
      <c r="K562" s="32" t="s">
        <v>65</v>
      </c>
      <c r="L562" s="75">
        <v>562</v>
      </c>
      <c r="M562" s="75"/>
      <c r="N562" s="70"/>
      <c r="O562" s="77" t="s">
        <v>179</v>
      </c>
      <c r="P562" s="79">
        <v>43025.528344907405</v>
      </c>
      <c r="Q562" s="77" t="s">
        <v>1002</v>
      </c>
      <c r="R562" s="77">
        <v>0</v>
      </c>
      <c r="S562" s="77">
        <v>0</v>
      </c>
      <c r="T562" s="77">
        <v>0</v>
      </c>
      <c r="U562" s="77">
        <v>0</v>
      </c>
      <c r="V562" s="77"/>
      <c r="W562" s="81" t="s">
        <v>1832</v>
      </c>
      <c r="X562" s="80" t="str">
        <f>HYPERLINK("https://goo.gl/kpR9Xc")</f>
        <v>https://goo.gl/kpR9Xc</v>
      </c>
      <c r="Y562" s="77" t="s">
        <v>1975</v>
      </c>
      <c r="Z562" s="77"/>
      <c r="AA562" s="77" t="s">
        <v>2275</v>
      </c>
      <c r="AB562" s="77" t="s">
        <v>2696</v>
      </c>
      <c r="AC562" s="81" t="s">
        <v>2705</v>
      </c>
      <c r="AD562" s="77" t="s">
        <v>2751</v>
      </c>
      <c r="AE562" s="80" t="str">
        <f>HYPERLINK("https://twitter.com/suryakotianu/status/920268362080403456")</f>
        <v>https://twitter.com/suryakotianu/status/920268362080403456</v>
      </c>
      <c r="AF562" s="79">
        <v>43025.528344907405</v>
      </c>
      <c r="AG562" s="85">
        <v>43025</v>
      </c>
      <c r="AH562" s="81" t="s">
        <v>3192</v>
      </c>
      <c r="AI562" s="77" t="b">
        <v>0</v>
      </c>
      <c r="AJ562" s="77" t="s">
        <v>3881</v>
      </c>
      <c r="AK562" s="77" t="s">
        <v>3889</v>
      </c>
      <c r="AL562" s="77" t="s">
        <v>3892</v>
      </c>
      <c r="AM562" s="77" t="s">
        <v>3895</v>
      </c>
      <c r="AN562" s="77" t="s">
        <v>3902</v>
      </c>
      <c r="AO562" s="77" t="s">
        <v>3910</v>
      </c>
      <c r="AP562" s="77" t="s">
        <v>3917</v>
      </c>
      <c r="AQ562" s="77" t="s">
        <v>4090</v>
      </c>
      <c r="AR562" s="77"/>
      <c r="AS562" s="77"/>
      <c r="AT562" s="77"/>
      <c r="AU562" s="77"/>
      <c r="AV562" s="80" t="str">
        <f>HYPERLINK("https://pbs.twimg.com/media/DMVzLeiVAAAcjaZ.jpg")</f>
        <v>https://pbs.twimg.com/media/DMVzLeiVAAAcjaZ.jpg</v>
      </c>
      <c r="AW562" s="81" t="s">
        <v>4938</v>
      </c>
      <c r="AX562" s="81" t="s">
        <v>4938</v>
      </c>
      <c r="AY562" s="77"/>
      <c r="AZ562" s="81" t="s">
        <v>5773</v>
      </c>
      <c r="BA562" s="81" t="s">
        <v>5773</v>
      </c>
      <c r="BB562" s="81" t="s">
        <v>5773</v>
      </c>
      <c r="BC562" s="81" t="s">
        <v>4938</v>
      </c>
      <c r="BD562" s="81" t="s">
        <v>5819</v>
      </c>
      <c r="BE562" s="77"/>
      <c r="BF562" s="77"/>
      <c r="BG562" s="77"/>
      <c r="BH562" s="77"/>
      <c r="BI562" s="77"/>
    </row>
    <row r="563" spans="1:61" ht="15">
      <c r="A563" s="62" t="s">
        <v>369</v>
      </c>
      <c r="B563" s="62" t="s">
        <v>369</v>
      </c>
      <c r="C563" s="63"/>
      <c r="D563" s="64"/>
      <c r="E563" s="65"/>
      <c r="F563" s="66"/>
      <c r="G563" s="63"/>
      <c r="H563" s="67"/>
      <c r="I563" s="68"/>
      <c r="J563" s="68"/>
      <c r="K563" s="32" t="s">
        <v>65</v>
      </c>
      <c r="L563" s="75">
        <v>563</v>
      </c>
      <c r="M563" s="75"/>
      <c r="N563" s="70"/>
      <c r="O563" s="77" t="s">
        <v>179</v>
      </c>
      <c r="P563" s="79">
        <v>42906.38885416667</v>
      </c>
      <c r="Q563" s="77" t="s">
        <v>1003</v>
      </c>
      <c r="R563" s="77">
        <v>0</v>
      </c>
      <c r="S563" s="77">
        <v>3</v>
      </c>
      <c r="T563" s="77">
        <v>0</v>
      </c>
      <c r="U563" s="77">
        <v>0</v>
      </c>
      <c r="V563" s="77"/>
      <c r="W563" s="77"/>
      <c r="X563" s="80" t="str">
        <f>HYPERLINK("https://lnkd.in/fH7BB3e")</f>
        <v>https://lnkd.in/fH7BB3e</v>
      </c>
      <c r="Y563" s="77" t="s">
        <v>2013</v>
      </c>
      <c r="Z563" s="77"/>
      <c r="AA563" s="77"/>
      <c r="AB563" s="77"/>
      <c r="AC563" s="81" t="s">
        <v>2731</v>
      </c>
      <c r="AD563" s="77" t="s">
        <v>2751</v>
      </c>
      <c r="AE563" s="80" t="str">
        <f>HYPERLINK("https://twitter.com/suryakotianu/status/877093652841074688")</f>
        <v>https://twitter.com/suryakotianu/status/877093652841074688</v>
      </c>
      <c r="AF563" s="79">
        <v>42906.38885416667</v>
      </c>
      <c r="AG563" s="85">
        <v>42906</v>
      </c>
      <c r="AH563" s="81" t="s">
        <v>3193</v>
      </c>
      <c r="AI563" s="77" t="b">
        <v>0</v>
      </c>
      <c r="AJ563" s="77"/>
      <c r="AK563" s="77"/>
      <c r="AL563" s="77"/>
      <c r="AM563" s="77"/>
      <c r="AN563" s="77"/>
      <c r="AO563" s="77"/>
      <c r="AP563" s="77"/>
      <c r="AQ563" s="77"/>
      <c r="AR563" s="77"/>
      <c r="AS563" s="77"/>
      <c r="AT563" s="77"/>
      <c r="AU563" s="77"/>
      <c r="AV563" s="80" t="str">
        <f>HYPERLINK("https://pbs.twimg.com/profile_images/1402842160508981252/1dGsTHpA_normal.jpg")</f>
        <v>https://pbs.twimg.com/profile_images/1402842160508981252/1dGsTHpA_normal.jpg</v>
      </c>
      <c r="AW563" s="81" t="s">
        <v>4939</v>
      </c>
      <c r="AX563" s="81" t="s">
        <v>4939</v>
      </c>
      <c r="AY563" s="77"/>
      <c r="AZ563" s="81" t="s">
        <v>5773</v>
      </c>
      <c r="BA563" s="81" t="s">
        <v>5773</v>
      </c>
      <c r="BB563" s="81" t="s">
        <v>5773</v>
      </c>
      <c r="BC563" s="81" t="s">
        <v>4939</v>
      </c>
      <c r="BD563" s="81" t="s">
        <v>5819</v>
      </c>
      <c r="BE563" s="77"/>
      <c r="BF563" s="77"/>
      <c r="BG563" s="77"/>
      <c r="BH563" s="77"/>
      <c r="BI563" s="77"/>
    </row>
    <row r="564" spans="1:61" ht="15">
      <c r="A564" s="62" t="s">
        <v>369</v>
      </c>
      <c r="B564" s="62" t="s">
        <v>369</v>
      </c>
      <c r="C564" s="63"/>
      <c r="D564" s="64"/>
      <c r="E564" s="65"/>
      <c r="F564" s="66"/>
      <c r="G564" s="63"/>
      <c r="H564" s="67"/>
      <c r="I564" s="68"/>
      <c r="J564" s="68"/>
      <c r="K564" s="32" t="s">
        <v>65</v>
      </c>
      <c r="L564" s="75">
        <v>564</v>
      </c>
      <c r="M564" s="75"/>
      <c r="N564" s="70"/>
      <c r="O564" s="77" t="s">
        <v>179</v>
      </c>
      <c r="P564" s="79">
        <v>42906.38837962963</v>
      </c>
      <c r="Q564" s="77" t="s">
        <v>1004</v>
      </c>
      <c r="R564" s="77">
        <v>0</v>
      </c>
      <c r="S564" s="77">
        <v>1</v>
      </c>
      <c r="T564" s="77">
        <v>0</v>
      </c>
      <c r="U564" s="77">
        <v>0</v>
      </c>
      <c r="V564" s="77"/>
      <c r="W564" s="77"/>
      <c r="X564" s="80" t="str">
        <f>HYPERLINK("https://www.inovies.com/digital-marketing/growth-hacking")</f>
        <v>https://www.inovies.com/digital-marketing/growth-hacking</v>
      </c>
      <c r="Y564" s="77" t="s">
        <v>1982</v>
      </c>
      <c r="Z564" s="77"/>
      <c r="AA564" s="77" t="s">
        <v>2276</v>
      </c>
      <c r="AB564" s="77" t="s">
        <v>2696</v>
      </c>
      <c r="AC564" s="81" t="s">
        <v>2705</v>
      </c>
      <c r="AD564" s="77" t="s">
        <v>2751</v>
      </c>
      <c r="AE564" s="80" t="str">
        <f>HYPERLINK("https://twitter.com/suryakotianu/status/877093482539565056")</f>
        <v>https://twitter.com/suryakotianu/status/877093482539565056</v>
      </c>
      <c r="AF564" s="79">
        <v>42906.38837962963</v>
      </c>
      <c r="AG564" s="85">
        <v>42906</v>
      </c>
      <c r="AH564" s="81" t="s">
        <v>3194</v>
      </c>
      <c r="AI564" s="77" t="b">
        <v>0</v>
      </c>
      <c r="AJ564" s="77"/>
      <c r="AK564" s="77"/>
      <c r="AL564" s="77"/>
      <c r="AM564" s="77"/>
      <c r="AN564" s="77"/>
      <c r="AO564" s="77"/>
      <c r="AP564" s="77"/>
      <c r="AQ564" s="77" t="s">
        <v>4091</v>
      </c>
      <c r="AR564" s="77"/>
      <c r="AS564" s="77"/>
      <c r="AT564" s="77"/>
      <c r="AU564" s="77"/>
      <c r="AV564" s="80" t="str">
        <f>HYPERLINK("https://pbs.twimg.com/media/DCwP3D6UwAEgE67.jpg")</f>
        <v>https://pbs.twimg.com/media/DCwP3D6UwAEgE67.jpg</v>
      </c>
      <c r="AW564" s="81" t="s">
        <v>4940</v>
      </c>
      <c r="AX564" s="81" t="s">
        <v>4940</v>
      </c>
      <c r="AY564" s="77"/>
      <c r="AZ564" s="81" t="s">
        <v>5773</v>
      </c>
      <c r="BA564" s="81" t="s">
        <v>5773</v>
      </c>
      <c r="BB564" s="81" t="s">
        <v>5773</v>
      </c>
      <c r="BC564" s="81" t="s">
        <v>4940</v>
      </c>
      <c r="BD564" s="81" t="s">
        <v>5819</v>
      </c>
      <c r="BE564" s="77"/>
      <c r="BF564" s="77"/>
      <c r="BG564" s="77"/>
      <c r="BH564" s="77"/>
      <c r="BI564" s="77"/>
    </row>
    <row r="565" spans="1:61" ht="15">
      <c r="A565" s="62" t="s">
        <v>369</v>
      </c>
      <c r="B565" s="62" t="s">
        <v>369</v>
      </c>
      <c r="C565" s="63"/>
      <c r="D565" s="64"/>
      <c r="E565" s="65"/>
      <c r="F565" s="66"/>
      <c r="G565" s="63"/>
      <c r="H565" s="67"/>
      <c r="I565" s="68"/>
      <c r="J565" s="68"/>
      <c r="K565" s="32" t="s">
        <v>65</v>
      </c>
      <c r="L565" s="75">
        <v>565</v>
      </c>
      <c r="M565" s="75"/>
      <c r="N565" s="70"/>
      <c r="O565" s="77" t="s">
        <v>179</v>
      </c>
      <c r="P565" s="79">
        <v>42902.24454861111</v>
      </c>
      <c r="Q565" s="77" t="s">
        <v>1005</v>
      </c>
      <c r="R565" s="77">
        <v>0</v>
      </c>
      <c r="S565" s="77">
        <v>1</v>
      </c>
      <c r="T565" s="77">
        <v>0</v>
      </c>
      <c r="U565" s="77">
        <v>0</v>
      </c>
      <c r="V565" s="77"/>
      <c r="W565" s="77"/>
      <c r="X565" s="80" t="str">
        <f>HYPERLINK("https://lnkd.in/ff6fx89")</f>
        <v>https://lnkd.in/ff6fx89</v>
      </c>
      <c r="Y565" s="77" t="s">
        <v>2013</v>
      </c>
      <c r="Z565" s="77"/>
      <c r="AA565" s="77"/>
      <c r="AB565" s="77"/>
      <c r="AC565" s="81" t="s">
        <v>2731</v>
      </c>
      <c r="AD565" s="77" t="s">
        <v>2751</v>
      </c>
      <c r="AE565" s="80" t="str">
        <f>HYPERLINK("https://twitter.com/suryakotianu/status/875591810252390402")</f>
        <v>https://twitter.com/suryakotianu/status/875591810252390402</v>
      </c>
      <c r="AF565" s="79">
        <v>42902.24454861111</v>
      </c>
      <c r="AG565" s="85">
        <v>42902</v>
      </c>
      <c r="AH565" s="81" t="s">
        <v>3195</v>
      </c>
      <c r="AI565" s="77" t="b">
        <v>0</v>
      </c>
      <c r="AJ565" s="77"/>
      <c r="AK565" s="77"/>
      <c r="AL565" s="77"/>
      <c r="AM565" s="77"/>
      <c r="AN565" s="77"/>
      <c r="AO565" s="77"/>
      <c r="AP565" s="77"/>
      <c r="AQ565" s="77"/>
      <c r="AR565" s="77"/>
      <c r="AS565" s="77"/>
      <c r="AT565" s="77"/>
      <c r="AU565" s="77"/>
      <c r="AV565" s="80" t="str">
        <f>HYPERLINK("https://pbs.twimg.com/profile_images/1402842160508981252/1dGsTHpA_normal.jpg")</f>
        <v>https://pbs.twimg.com/profile_images/1402842160508981252/1dGsTHpA_normal.jpg</v>
      </c>
      <c r="AW565" s="81" t="s">
        <v>4941</v>
      </c>
      <c r="AX565" s="81" t="s">
        <v>4941</v>
      </c>
      <c r="AY565" s="77"/>
      <c r="AZ565" s="81" t="s">
        <v>5773</v>
      </c>
      <c r="BA565" s="81" t="s">
        <v>5773</v>
      </c>
      <c r="BB565" s="81" t="s">
        <v>5773</v>
      </c>
      <c r="BC565" s="81" t="s">
        <v>4941</v>
      </c>
      <c r="BD565" s="81" t="s">
        <v>5819</v>
      </c>
      <c r="BE565" s="77"/>
      <c r="BF565" s="77"/>
      <c r="BG565" s="77"/>
      <c r="BH565" s="77"/>
      <c r="BI565" s="77"/>
    </row>
    <row r="566" spans="1:61" ht="15">
      <c r="A566" s="62" t="s">
        <v>369</v>
      </c>
      <c r="B566" s="62" t="s">
        <v>369</v>
      </c>
      <c r="C566" s="63"/>
      <c r="D566" s="64"/>
      <c r="E566" s="65"/>
      <c r="F566" s="66"/>
      <c r="G566" s="63"/>
      <c r="H566" s="67"/>
      <c r="I566" s="68"/>
      <c r="J566" s="68"/>
      <c r="K566" s="32" t="s">
        <v>65</v>
      </c>
      <c r="L566" s="75">
        <v>566</v>
      </c>
      <c r="M566" s="75"/>
      <c r="N566" s="70"/>
      <c r="O566" s="77" t="s">
        <v>179</v>
      </c>
      <c r="P566" s="79">
        <v>42901.22943287037</v>
      </c>
      <c r="Q566" s="77" t="s">
        <v>1006</v>
      </c>
      <c r="R566" s="77">
        <v>0</v>
      </c>
      <c r="S566" s="77">
        <v>0</v>
      </c>
      <c r="T566" s="77">
        <v>0</v>
      </c>
      <c r="U566" s="77">
        <v>0</v>
      </c>
      <c r="V566" s="77"/>
      <c r="W566" s="77"/>
      <c r="X566" s="80" t="str">
        <f>HYPERLINK("https://lnkd.in/fi7aBWh")</f>
        <v>https://lnkd.in/fi7aBWh</v>
      </c>
      <c r="Y566" s="77" t="s">
        <v>2013</v>
      </c>
      <c r="Z566" s="77"/>
      <c r="AA566" s="77"/>
      <c r="AB566" s="77"/>
      <c r="AC566" s="81" t="s">
        <v>2731</v>
      </c>
      <c r="AD566" s="77" t="s">
        <v>2751</v>
      </c>
      <c r="AE566" s="80" t="str">
        <f>HYPERLINK("https://twitter.com/suryakotianu/status/875223943342301184")</f>
        <v>https://twitter.com/suryakotianu/status/875223943342301184</v>
      </c>
      <c r="AF566" s="79">
        <v>42901.22943287037</v>
      </c>
      <c r="AG566" s="85">
        <v>42901</v>
      </c>
      <c r="AH566" s="81" t="s">
        <v>3196</v>
      </c>
      <c r="AI566" s="77" t="b">
        <v>0</v>
      </c>
      <c r="AJ566" s="77"/>
      <c r="AK566" s="77"/>
      <c r="AL566" s="77"/>
      <c r="AM566" s="77"/>
      <c r="AN566" s="77"/>
      <c r="AO566" s="77"/>
      <c r="AP566" s="77"/>
      <c r="AQ566" s="77"/>
      <c r="AR566" s="77"/>
      <c r="AS566" s="77"/>
      <c r="AT566" s="77"/>
      <c r="AU566" s="77"/>
      <c r="AV566" s="80" t="str">
        <f>HYPERLINK("https://pbs.twimg.com/profile_images/1402842160508981252/1dGsTHpA_normal.jpg")</f>
        <v>https://pbs.twimg.com/profile_images/1402842160508981252/1dGsTHpA_normal.jpg</v>
      </c>
      <c r="AW566" s="81" t="s">
        <v>4942</v>
      </c>
      <c r="AX566" s="81" t="s">
        <v>4942</v>
      </c>
      <c r="AY566" s="77"/>
      <c r="AZ566" s="81" t="s">
        <v>5773</v>
      </c>
      <c r="BA566" s="81" t="s">
        <v>5773</v>
      </c>
      <c r="BB566" s="81" t="s">
        <v>5773</v>
      </c>
      <c r="BC566" s="81" t="s">
        <v>4942</v>
      </c>
      <c r="BD566" s="81" t="s">
        <v>5819</v>
      </c>
      <c r="BE566" s="77"/>
      <c r="BF566" s="77"/>
      <c r="BG566" s="77"/>
      <c r="BH566" s="77"/>
      <c r="BI566" s="77"/>
    </row>
    <row r="567" spans="1:61" ht="15">
      <c r="A567" s="62" t="s">
        <v>369</v>
      </c>
      <c r="B567" s="62" t="s">
        <v>369</v>
      </c>
      <c r="C567" s="63"/>
      <c r="D567" s="64"/>
      <c r="E567" s="65"/>
      <c r="F567" s="66"/>
      <c r="G567" s="63"/>
      <c r="H567" s="67"/>
      <c r="I567" s="68"/>
      <c r="J567" s="68"/>
      <c r="K567" s="32" t="s">
        <v>65</v>
      </c>
      <c r="L567" s="75">
        <v>567</v>
      </c>
      <c r="M567" s="75"/>
      <c r="N567" s="70"/>
      <c r="O567" s="77" t="s">
        <v>179</v>
      </c>
      <c r="P567" s="79">
        <v>42900.25780092592</v>
      </c>
      <c r="Q567" s="77" t="s">
        <v>1007</v>
      </c>
      <c r="R567" s="77">
        <v>0</v>
      </c>
      <c r="S567" s="77">
        <v>0</v>
      </c>
      <c r="T567" s="77">
        <v>0</v>
      </c>
      <c r="U567" s="77">
        <v>0</v>
      </c>
      <c r="V567" s="77"/>
      <c r="W567" s="77"/>
      <c r="X567" s="80" t="str">
        <f>HYPERLINK("https://lnkd.in/f8W_yYc")</f>
        <v>https://lnkd.in/f8W_yYc</v>
      </c>
      <c r="Y567" s="77" t="s">
        <v>2013</v>
      </c>
      <c r="Z567" s="77"/>
      <c r="AA567" s="77"/>
      <c r="AB567" s="77"/>
      <c r="AC567" s="81" t="s">
        <v>2731</v>
      </c>
      <c r="AD567" s="77" t="s">
        <v>2751</v>
      </c>
      <c r="AE567" s="80" t="str">
        <f>HYPERLINK("https://twitter.com/suryakotianu/status/874871833589370880")</f>
        <v>https://twitter.com/suryakotianu/status/874871833589370880</v>
      </c>
      <c r="AF567" s="79">
        <v>42900.25780092592</v>
      </c>
      <c r="AG567" s="85">
        <v>42900</v>
      </c>
      <c r="AH567" s="81" t="s">
        <v>3197</v>
      </c>
      <c r="AI567" s="77" t="b">
        <v>0</v>
      </c>
      <c r="AJ567" s="77"/>
      <c r="AK567" s="77"/>
      <c r="AL567" s="77"/>
      <c r="AM567" s="77"/>
      <c r="AN567" s="77"/>
      <c r="AO567" s="77"/>
      <c r="AP567" s="77"/>
      <c r="AQ567" s="77"/>
      <c r="AR567" s="77"/>
      <c r="AS567" s="77"/>
      <c r="AT567" s="77"/>
      <c r="AU567" s="77"/>
      <c r="AV567" s="80" t="str">
        <f>HYPERLINK("https://pbs.twimg.com/profile_images/1402842160508981252/1dGsTHpA_normal.jpg")</f>
        <v>https://pbs.twimg.com/profile_images/1402842160508981252/1dGsTHpA_normal.jpg</v>
      </c>
      <c r="AW567" s="81" t="s">
        <v>4943</v>
      </c>
      <c r="AX567" s="81" t="s">
        <v>4943</v>
      </c>
      <c r="AY567" s="77"/>
      <c r="AZ567" s="81" t="s">
        <v>5773</v>
      </c>
      <c r="BA567" s="81" t="s">
        <v>5773</v>
      </c>
      <c r="BB567" s="81" t="s">
        <v>5773</v>
      </c>
      <c r="BC567" s="81" t="s">
        <v>4943</v>
      </c>
      <c r="BD567" s="81" t="s">
        <v>5819</v>
      </c>
      <c r="BE567" s="77"/>
      <c r="BF567" s="77"/>
      <c r="BG567" s="77"/>
      <c r="BH567" s="77"/>
      <c r="BI567" s="77"/>
    </row>
    <row r="568" spans="1:61" ht="15">
      <c r="A568" s="62" t="s">
        <v>369</v>
      </c>
      <c r="B568" s="62" t="s">
        <v>369</v>
      </c>
      <c r="C568" s="63"/>
      <c r="D568" s="64"/>
      <c r="E568" s="65"/>
      <c r="F568" s="66"/>
      <c r="G568" s="63"/>
      <c r="H568" s="67"/>
      <c r="I568" s="68"/>
      <c r="J568" s="68"/>
      <c r="K568" s="32" t="s">
        <v>65</v>
      </c>
      <c r="L568" s="75">
        <v>568</v>
      </c>
      <c r="M568" s="75"/>
      <c r="N568" s="70"/>
      <c r="O568" s="77" t="s">
        <v>179</v>
      </c>
      <c r="P568" s="79">
        <v>42900.256689814814</v>
      </c>
      <c r="Q568" s="77" t="s">
        <v>1008</v>
      </c>
      <c r="R568" s="77">
        <v>1</v>
      </c>
      <c r="S568" s="77">
        <v>1</v>
      </c>
      <c r="T568" s="77">
        <v>0</v>
      </c>
      <c r="U568" s="77">
        <v>0</v>
      </c>
      <c r="V568" s="77"/>
      <c r="W568" s="77"/>
      <c r="X568" s="80" t="str">
        <f>HYPERLINK("https://lnkd.in/f9tkaQR")</f>
        <v>https://lnkd.in/f9tkaQR</v>
      </c>
      <c r="Y568" s="77" t="s">
        <v>2013</v>
      </c>
      <c r="Z568" s="77"/>
      <c r="AA568" s="77"/>
      <c r="AB568" s="77"/>
      <c r="AC568" s="81" t="s">
        <v>2731</v>
      </c>
      <c r="AD568" s="77" t="s">
        <v>2751</v>
      </c>
      <c r="AE568" s="80" t="str">
        <f>HYPERLINK("https://twitter.com/suryakotianu/status/874871433008209920")</f>
        <v>https://twitter.com/suryakotianu/status/874871433008209920</v>
      </c>
      <c r="AF568" s="79">
        <v>42900.256689814814</v>
      </c>
      <c r="AG568" s="85">
        <v>42900</v>
      </c>
      <c r="AH568" s="81" t="s">
        <v>3198</v>
      </c>
      <c r="AI568" s="77" t="b">
        <v>0</v>
      </c>
      <c r="AJ568" s="77"/>
      <c r="AK568" s="77"/>
      <c r="AL568" s="77"/>
      <c r="AM568" s="77"/>
      <c r="AN568" s="77"/>
      <c r="AO568" s="77"/>
      <c r="AP568" s="77"/>
      <c r="AQ568" s="77"/>
      <c r="AR568" s="77"/>
      <c r="AS568" s="77"/>
      <c r="AT568" s="77"/>
      <c r="AU568" s="77"/>
      <c r="AV568" s="80" t="str">
        <f>HYPERLINK("https://pbs.twimg.com/profile_images/1402842160508981252/1dGsTHpA_normal.jpg")</f>
        <v>https://pbs.twimg.com/profile_images/1402842160508981252/1dGsTHpA_normal.jpg</v>
      </c>
      <c r="AW568" s="81" t="s">
        <v>4944</v>
      </c>
      <c r="AX568" s="81" t="s">
        <v>4944</v>
      </c>
      <c r="AY568" s="77"/>
      <c r="AZ568" s="81" t="s">
        <v>5773</v>
      </c>
      <c r="BA568" s="81" t="s">
        <v>5773</v>
      </c>
      <c r="BB568" s="81" t="s">
        <v>5773</v>
      </c>
      <c r="BC568" s="81" t="s">
        <v>4944</v>
      </c>
      <c r="BD568" s="81" t="s">
        <v>5819</v>
      </c>
      <c r="BE568" s="77"/>
      <c r="BF568" s="77"/>
      <c r="BG568" s="77"/>
      <c r="BH568" s="77"/>
      <c r="BI568" s="77"/>
    </row>
    <row r="569" spans="1:61" ht="15">
      <c r="A569" s="62" t="s">
        <v>369</v>
      </c>
      <c r="B569" s="62" t="s">
        <v>369</v>
      </c>
      <c r="C569" s="63"/>
      <c r="D569" s="64"/>
      <c r="E569" s="65"/>
      <c r="F569" s="66"/>
      <c r="G569" s="63"/>
      <c r="H569" s="67"/>
      <c r="I569" s="68"/>
      <c r="J569" s="68"/>
      <c r="K569" s="32" t="s">
        <v>65</v>
      </c>
      <c r="L569" s="75">
        <v>569</v>
      </c>
      <c r="M569" s="75"/>
      <c r="N569" s="70"/>
      <c r="O569" s="77" t="s">
        <v>179</v>
      </c>
      <c r="P569" s="79">
        <v>42899.24344907407</v>
      </c>
      <c r="Q569" s="77" t="s">
        <v>1009</v>
      </c>
      <c r="R569" s="77">
        <v>0</v>
      </c>
      <c r="S569" s="77">
        <v>1</v>
      </c>
      <c r="T569" s="77">
        <v>0</v>
      </c>
      <c r="U569" s="77">
        <v>0</v>
      </c>
      <c r="V569" s="77"/>
      <c r="W569" s="77"/>
      <c r="X569" s="80" t="str">
        <f>HYPERLINK("https://goo.gl/n0eZN5")</f>
        <v>https://goo.gl/n0eZN5</v>
      </c>
      <c r="Y569" s="77" t="s">
        <v>1975</v>
      </c>
      <c r="Z569" s="77"/>
      <c r="AA569" s="77" t="s">
        <v>2277</v>
      </c>
      <c r="AB569" s="77" t="s">
        <v>2696</v>
      </c>
      <c r="AC569" s="81" t="s">
        <v>2705</v>
      </c>
      <c r="AD569" s="77" t="s">
        <v>2751</v>
      </c>
      <c r="AE569" s="80" t="str">
        <f>HYPERLINK("https://twitter.com/suryakotianu/status/874504247185784832")</f>
        <v>https://twitter.com/suryakotianu/status/874504247185784832</v>
      </c>
      <c r="AF569" s="79">
        <v>42899.24344907407</v>
      </c>
      <c r="AG569" s="85">
        <v>42899</v>
      </c>
      <c r="AH569" s="81" t="s">
        <v>3199</v>
      </c>
      <c r="AI569" s="77" t="b">
        <v>0</v>
      </c>
      <c r="AJ569" s="77"/>
      <c r="AK569" s="77"/>
      <c r="AL569" s="77"/>
      <c r="AM569" s="77"/>
      <c r="AN569" s="77"/>
      <c r="AO569" s="77"/>
      <c r="AP569" s="77"/>
      <c r="AQ569" s="77" t="s">
        <v>4092</v>
      </c>
      <c r="AR569" s="77"/>
      <c r="AS569" s="77"/>
      <c r="AT569" s="77"/>
      <c r="AU569" s="77"/>
      <c r="AV569" s="80" t="str">
        <f>HYPERLINK("https://pbs.twimg.com/media/DCLc5nAUMAA6Xaq.jpg")</f>
        <v>https://pbs.twimg.com/media/DCLc5nAUMAA6Xaq.jpg</v>
      </c>
      <c r="AW569" s="81" t="s">
        <v>4945</v>
      </c>
      <c r="AX569" s="81" t="s">
        <v>4945</v>
      </c>
      <c r="AY569" s="77"/>
      <c r="AZ569" s="81" t="s">
        <v>5773</v>
      </c>
      <c r="BA569" s="81" t="s">
        <v>5773</v>
      </c>
      <c r="BB569" s="81" t="s">
        <v>5773</v>
      </c>
      <c r="BC569" s="81" t="s">
        <v>4945</v>
      </c>
      <c r="BD569" s="81" t="s">
        <v>5819</v>
      </c>
      <c r="BE569" s="77"/>
      <c r="BF569" s="77"/>
      <c r="BG569" s="77"/>
      <c r="BH569" s="77"/>
      <c r="BI569" s="77"/>
    </row>
    <row r="570" spans="1:61" ht="15">
      <c r="A570" s="62" t="s">
        <v>369</v>
      </c>
      <c r="B570" s="62" t="s">
        <v>369</v>
      </c>
      <c r="C570" s="63"/>
      <c r="D570" s="64"/>
      <c r="E570" s="65"/>
      <c r="F570" s="66"/>
      <c r="G570" s="63"/>
      <c r="H570" s="67"/>
      <c r="I570" s="68"/>
      <c r="J570" s="68"/>
      <c r="K570" s="32" t="s">
        <v>65</v>
      </c>
      <c r="L570" s="75">
        <v>570</v>
      </c>
      <c r="M570" s="75"/>
      <c r="N570" s="70"/>
      <c r="O570" s="77" t="s">
        <v>179</v>
      </c>
      <c r="P570" s="79">
        <v>42899.23396990741</v>
      </c>
      <c r="Q570" s="77" t="s">
        <v>1010</v>
      </c>
      <c r="R570" s="77">
        <v>0</v>
      </c>
      <c r="S570" s="77">
        <v>0</v>
      </c>
      <c r="T570" s="77">
        <v>0</v>
      </c>
      <c r="U570" s="77">
        <v>0</v>
      </c>
      <c r="V570" s="77"/>
      <c r="W570" s="77"/>
      <c r="X570" s="80" t="str">
        <f>HYPERLINK("https://lnkd.in/f4aNzh2")</f>
        <v>https://lnkd.in/f4aNzh2</v>
      </c>
      <c r="Y570" s="77" t="s">
        <v>2013</v>
      </c>
      <c r="Z570" s="77"/>
      <c r="AA570" s="77"/>
      <c r="AB570" s="77"/>
      <c r="AC570" s="81" t="s">
        <v>2731</v>
      </c>
      <c r="AD570" s="77" t="s">
        <v>2751</v>
      </c>
      <c r="AE570" s="80" t="str">
        <f>HYPERLINK("https://twitter.com/suryakotianu/status/874500812357160960")</f>
        <v>https://twitter.com/suryakotianu/status/874500812357160960</v>
      </c>
      <c r="AF570" s="79">
        <v>42899.23396990741</v>
      </c>
      <c r="AG570" s="85">
        <v>42899</v>
      </c>
      <c r="AH570" s="81" t="s">
        <v>3200</v>
      </c>
      <c r="AI570" s="77" t="b">
        <v>0</v>
      </c>
      <c r="AJ570" s="77"/>
      <c r="AK570" s="77"/>
      <c r="AL570" s="77"/>
      <c r="AM570" s="77"/>
      <c r="AN570" s="77"/>
      <c r="AO570" s="77"/>
      <c r="AP570" s="77"/>
      <c r="AQ570" s="77"/>
      <c r="AR570" s="77"/>
      <c r="AS570" s="77"/>
      <c r="AT570" s="77"/>
      <c r="AU570" s="77"/>
      <c r="AV570" s="80" t="str">
        <f>HYPERLINK("https://pbs.twimg.com/profile_images/1402842160508981252/1dGsTHpA_normal.jpg")</f>
        <v>https://pbs.twimg.com/profile_images/1402842160508981252/1dGsTHpA_normal.jpg</v>
      </c>
      <c r="AW570" s="81" t="s">
        <v>4946</v>
      </c>
      <c r="AX570" s="81" t="s">
        <v>4946</v>
      </c>
      <c r="AY570" s="77"/>
      <c r="AZ570" s="81" t="s">
        <v>5773</v>
      </c>
      <c r="BA570" s="81" t="s">
        <v>5773</v>
      </c>
      <c r="BB570" s="81" t="s">
        <v>5773</v>
      </c>
      <c r="BC570" s="81" t="s">
        <v>4946</v>
      </c>
      <c r="BD570" s="81" t="s">
        <v>5819</v>
      </c>
      <c r="BE570" s="77"/>
      <c r="BF570" s="77"/>
      <c r="BG570" s="77"/>
      <c r="BH570" s="77"/>
      <c r="BI570" s="77"/>
    </row>
    <row r="571" spans="1:61" ht="15">
      <c r="A571" s="62" t="s">
        <v>369</v>
      </c>
      <c r="B571" s="62" t="s">
        <v>369</v>
      </c>
      <c r="C571" s="63"/>
      <c r="D571" s="64"/>
      <c r="E571" s="65"/>
      <c r="F571" s="66"/>
      <c r="G571" s="63"/>
      <c r="H571" s="67"/>
      <c r="I571" s="68"/>
      <c r="J571" s="68"/>
      <c r="K571" s="32" t="s">
        <v>65</v>
      </c>
      <c r="L571" s="75">
        <v>571</v>
      </c>
      <c r="M571" s="75"/>
      <c r="N571" s="70"/>
      <c r="O571" s="77" t="s">
        <v>179</v>
      </c>
      <c r="P571" s="79">
        <v>43034.51016203704</v>
      </c>
      <c r="Q571" s="77" t="s">
        <v>1011</v>
      </c>
      <c r="R571" s="77">
        <v>0</v>
      </c>
      <c r="S571" s="77">
        <v>0</v>
      </c>
      <c r="T571" s="77">
        <v>0</v>
      </c>
      <c r="U571" s="77">
        <v>0</v>
      </c>
      <c r="V571" s="77"/>
      <c r="W571" s="81" t="s">
        <v>1833</v>
      </c>
      <c r="X571" s="80" t="str">
        <f>HYPERLINK("https://www.inovies.com/digital-marketing/growth-hacking")</f>
        <v>https://www.inovies.com/digital-marketing/growth-hacking</v>
      </c>
      <c r="Y571" s="77" t="s">
        <v>1982</v>
      </c>
      <c r="Z571" s="77"/>
      <c r="AA571" s="77" t="s">
        <v>2278</v>
      </c>
      <c r="AB571" s="77" t="s">
        <v>2696</v>
      </c>
      <c r="AC571" s="81" t="s">
        <v>2705</v>
      </c>
      <c r="AD571" s="77" t="s">
        <v>2751</v>
      </c>
      <c r="AE571" s="80" t="str">
        <f>HYPERLINK("https://twitter.com/suryakotianu/status/923523261715005441")</f>
        <v>https://twitter.com/suryakotianu/status/923523261715005441</v>
      </c>
      <c r="AF571" s="79">
        <v>43034.51016203704</v>
      </c>
      <c r="AG571" s="85">
        <v>43034</v>
      </c>
      <c r="AH571" s="81" t="s">
        <v>3201</v>
      </c>
      <c r="AI571" s="77" t="b">
        <v>0</v>
      </c>
      <c r="AJ571" s="77"/>
      <c r="AK571" s="77"/>
      <c r="AL571" s="77"/>
      <c r="AM571" s="77"/>
      <c r="AN571" s="77"/>
      <c r="AO571" s="77"/>
      <c r="AP571" s="77"/>
      <c r="AQ571" s="77" t="s">
        <v>4093</v>
      </c>
      <c r="AR571" s="77"/>
      <c r="AS571" s="77"/>
      <c r="AT571" s="77"/>
      <c r="AU571" s="77"/>
      <c r="AV571" s="80" t="str">
        <f>HYPERLINK("https://pbs.twimg.com/media/DNEDgNLVoAEHO3x.jpg")</f>
        <v>https://pbs.twimg.com/media/DNEDgNLVoAEHO3x.jpg</v>
      </c>
      <c r="AW571" s="81" t="s">
        <v>4947</v>
      </c>
      <c r="AX571" s="81" t="s">
        <v>4947</v>
      </c>
      <c r="AY571" s="77"/>
      <c r="AZ571" s="81" t="s">
        <v>5773</v>
      </c>
      <c r="BA571" s="81" t="s">
        <v>5773</v>
      </c>
      <c r="BB571" s="81" t="s">
        <v>5773</v>
      </c>
      <c r="BC571" s="81" t="s">
        <v>4947</v>
      </c>
      <c r="BD571" s="81" t="s">
        <v>5819</v>
      </c>
      <c r="BE571" s="77"/>
      <c r="BF571" s="77"/>
      <c r="BG571" s="77"/>
      <c r="BH571" s="77"/>
      <c r="BI571" s="77"/>
    </row>
    <row r="572" spans="1:61" ht="15">
      <c r="A572" s="62" t="s">
        <v>369</v>
      </c>
      <c r="B572" s="62" t="s">
        <v>369</v>
      </c>
      <c r="C572" s="63"/>
      <c r="D572" s="64"/>
      <c r="E572" s="65"/>
      <c r="F572" s="66"/>
      <c r="G572" s="63"/>
      <c r="H572" s="67"/>
      <c r="I572" s="68"/>
      <c r="J572" s="68"/>
      <c r="K572" s="32" t="s">
        <v>65</v>
      </c>
      <c r="L572" s="75">
        <v>572</v>
      </c>
      <c r="M572" s="75"/>
      <c r="N572" s="70"/>
      <c r="O572" s="77" t="s">
        <v>179</v>
      </c>
      <c r="P572" s="79">
        <v>43033.558391203704</v>
      </c>
      <c r="Q572" s="77" t="s">
        <v>1012</v>
      </c>
      <c r="R572" s="77">
        <v>0</v>
      </c>
      <c r="S572" s="77">
        <v>0</v>
      </c>
      <c r="T572" s="77">
        <v>0</v>
      </c>
      <c r="U572" s="77">
        <v>0</v>
      </c>
      <c r="V572" s="77"/>
      <c r="W572" s="81" t="s">
        <v>1834</v>
      </c>
      <c r="X572" s="80" t="str">
        <f>HYPERLINK("https://www.inovies.com/digital-marketing/email-marketing-company")</f>
        <v>https://www.inovies.com/digital-marketing/email-marketing-company</v>
      </c>
      <c r="Y572" s="77" t="s">
        <v>1982</v>
      </c>
      <c r="Z572" s="77"/>
      <c r="AA572" s="77" t="s">
        <v>2279</v>
      </c>
      <c r="AB572" s="77" t="s">
        <v>2696</v>
      </c>
      <c r="AC572" s="81" t="s">
        <v>2705</v>
      </c>
      <c r="AD572" s="77" t="s">
        <v>2751</v>
      </c>
      <c r="AE572" s="80" t="str">
        <f>HYPERLINK("https://twitter.com/suryakotianu/status/923178351409250305")</f>
        <v>https://twitter.com/suryakotianu/status/923178351409250305</v>
      </c>
      <c r="AF572" s="79">
        <v>43033.558391203704</v>
      </c>
      <c r="AG572" s="85">
        <v>43033</v>
      </c>
      <c r="AH572" s="81" t="s">
        <v>3202</v>
      </c>
      <c r="AI572" s="77" t="b">
        <v>0</v>
      </c>
      <c r="AJ572" s="77"/>
      <c r="AK572" s="77"/>
      <c r="AL572" s="77"/>
      <c r="AM572" s="77"/>
      <c r="AN572" s="77"/>
      <c r="AO572" s="77"/>
      <c r="AP572" s="77"/>
      <c r="AQ572" s="77" t="s">
        <v>4094</v>
      </c>
      <c r="AR572" s="77"/>
      <c r="AS572" s="77"/>
      <c r="AT572" s="77"/>
      <c r="AU572" s="77"/>
      <c r="AV572" s="80" t="str">
        <f>HYPERLINK("https://pbs.twimg.com/media/DM_JynNV4AYDh4h.jpg")</f>
        <v>https://pbs.twimg.com/media/DM_JynNV4AYDh4h.jpg</v>
      </c>
      <c r="AW572" s="81" t="s">
        <v>4948</v>
      </c>
      <c r="AX572" s="81" t="s">
        <v>4948</v>
      </c>
      <c r="AY572" s="77"/>
      <c r="AZ572" s="81" t="s">
        <v>5773</v>
      </c>
      <c r="BA572" s="81" t="s">
        <v>5773</v>
      </c>
      <c r="BB572" s="81" t="s">
        <v>5773</v>
      </c>
      <c r="BC572" s="81" t="s">
        <v>4948</v>
      </c>
      <c r="BD572" s="81" t="s">
        <v>5819</v>
      </c>
      <c r="BE572" s="77"/>
      <c r="BF572" s="77"/>
      <c r="BG572" s="77"/>
      <c r="BH572" s="77"/>
      <c r="BI572" s="77"/>
    </row>
    <row r="573" spans="1:61" ht="15">
      <c r="A573" s="62" t="s">
        <v>369</v>
      </c>
      <c r="B573" s="62" t="s">
        <v>369</v>
      </c>
      <c r="C573" s="63"/>
      <c r="D573" s="64"/>
      <c r="E573" s="65"/>
      <c r="F573" s="66"/>
      <c r="G573" s="63"/>
      <c r="H573" s="67"/>
      <c r="I573" s="68"/>
      <c r="J573" s="68"/>
      <c r="K573" s="32" t="s">
        <v>65</v>
      </c>
      <c r="L573" s="75">
        <v>573</v>
      </c>
      <c r="M573" s="75"/>
      <c r="N573" s="70"/>
      <c r="O573" s="77" t="s">
        <v>179</v>
      </c>
      <c r="P573" s="79">
        <v>43033.54336805556</v>
      </c>
      <c r="Q573" s="77" t="s">
        <v>1013</v>
      </c>
      <c r="R573" s="77">
        <v>0</v>
      </c>
      <c r="S573" s="77">
        <v>1</v>
      </c>
      <c r="T573" s="77">
        <v>0</v>
      </c>
      <c r="U573" s="77">
        <v>0</v>
      </c>
      <c r="V573" s="77"/>
      <c r="W573" s="81" t="s">
        <v>1835</v>
      </c>
      <c r="X573" s="80" t="str">
        <f>HYPERLINK("https://www.inovies.com/web-development/dynamic-website-development-company")</f>
        <v>https://www.inovies.com/web-development/dynamic-website-development-company</v>
      </c>
      <c r="Y573" s="77" t="s">
        <v>1982</v>
      </c>
      <c r="Z573" s="77"/>
      <c r="AA573" s="77" t="s">
        <v>2280</v>
      </c>
      <c r="AB573" s="77" t="s">
        <v>2696</v>
      </c>
      <c r="AC573" s="81" t="s">
        <v>2705</v>
      </c>
      <c r="AD573" s="77" t="s">
        <v>2751</v>
      </c>
      <c r="AE573" s="80" t="str">
        <f>HYPERLINK("https://twitter.com/suryakotianu/status/923172907617882113")</f>
        <v>https://twitter.com/suryakotianu/status/923172907617882113</v>
      </c>
      <c r="AF573" s="79">
        <v>43033.54336805556</v>
      </c>
      <c r="AG573" s="85">
        <v>43033</v>
      </c>
      <c r="AH573" s="81" t="s">
        <v>3203</v>
      </c>
      <c r="AI573" s="77" t="b">
        <v>0</v>
      </c>
      <c r="AJ573" s="77"/>
      <c r="AK573" s="77"/>
      <c r="AL573" s="77"/>
      <c r="AM573" s="77"/>
      <c r="AN573" s="77"/>
      <c r="AO573" s="77"/>
      <c r="AP573" s="77"/>
      <c r="AQ573" s="77" t="s">
        <v>4095</v>
      </c>
      <c r="AR573" s="77"/>
      <c r="AS573" s="77"/>
      <c r="AT573" s="77"/>
      <c r="AU573" s="77"/>
      <c r="AV573" s="80" t="str">
        <f>HYPERLINK("https://pbs.twimg.com/media/DM_EpnxUMAAJB-3.jpg")</f>
        <v>https://pbs.twimg.com/media/DM_EpnxUMAAJB-3.jpg</v>
      </c>
      <c r="AW573" s="81" t="s">
        <v>4949</v>
      </c>
      <c r="AX573" s="81" t="s">
        <v>4949</v>
      </c>
      <c r="AY573" s="77"/>
      <c r="AZ573" s="81" t="s">
        <v>5773</v>
      </c>
      <c r="BA573" s="81" t="s">
        <v>5773</v>
      </c>
      <c r="BB573" s="81" t="s">
        <v>5773</v>
      </c>
      <c r="BC573" s="81" t="s">
        <v>4949</v>
      </c>
      <c r="BD573" s="81" t="s">
        <v>5819</v>
      </c>
      <c r="BE573" s="77"/>
      <c r="BF573" s="77"/>
      <c r="BG573" s="77"/>
      <c r="BH573" s="77"/>
      <c r="BI573" s="77"/>
    </row>
    <row r="574" spans="1:61" ht="15">
      <c r="A574" s="62" t="s">
        <v>369</v>
      </c>
      <c r="B574" s="62" t="s">
        <v>369</v>
      </c>
      <c r="C574" s="63"/>
      <c r="D574" s="64"/>
      <c r="E574" s="65"/>
      <c r="F574" s="66"/>
      <c r="G574" s="63"/>
      <c r="H574" s="67"/>
      <c r="I574" s="68"/>
      <c r="J574" s="68"/>
      <c r="K574" s="32" t="s">
        <v>65</v>
      </c>
      <c r="L574" s="75">
        <v>574</v>
      </c>
      <c r="M574" s="75"/>
      <c r="N574" s="70"/>
      <c r="O574" s="77" t="s">
        <v>179</v>
      </c>
      <c r="P574" s="79">
        <v>43033.51967592593</v>
      </c>
      <c r="Q574" s="77" t="s">
        <v>1014</v>
      </c>
      <c r="R574" s="77">
        <v>0</v>
      </c>
      <c r="S574" s="77">
        <v>0</v>
      </c>
      <c r="T574" s="77">
        <v>0</v>
      </c>
      <c r="U574" s="77">
        <v>0</v>
      </c>
      <c r="V574" s="77"/>
      <c r="W574" s="81" t="s">
        <v>1836</v>
      </c>
      <c r="X574" s="80" t="str">
        <f>HYPERLINK("https://www.inovies.com/web-design/hire-ui-developer")</f>
        <v>https://www.inovies.com/web-design/hire-ui-developer</v>
      </c>
      <c r="Y574" s="77" t="s">
        <v>1982</v>
      </c>
      <c r="Z574" s="77"/>
      <c r="AA574" s="77" t="s">
        <v>2281</v>
      </c>
      <c r="AB574" s="77" t="s">
        <v>2696</v>
      </c>
      <c r="AC574" s="81" t="s">
        <v>2705</v>
      </c>
      <c r="AD574" s="77" t="s">
        <v>2751</v>
      </c>
      <c r="AE574" s="80" t="str">
        <f>HYPERLINK("https://twitter.com/suryakotianu/status/923164321604972544")</f>
        <v>https://twitter.com/suryakotianu/status/923164321604972544</v>
      </c>
      <c r="AF574" s="79">
        <v>43033.51967592593</v>
      </c>
      <c r="AG574" s="85">
        <v>43033</v>
      </c>
      <c r="AH574" s="81" t="s">
        <v>3204</v>
      </c>
      <c r="AI574" s="77" t="b">
        <v>0</v>
      </c>
      <c r="AJ574" s="77"/>
      <c r="AK574" s="77"/>
      <c r="AL574" s="77"/>
      <c r="AM574" s="77"/>
      <c r="AN574" s="77"/>
      <c r="AO574" s="77"/>
      <c r="AP574" s="77"/>
      <c r="AQ574" s="77" t="s">
        <v>4096</v>
      </c>
      <c r="AR574" s="77"/>
      <c r="AS574" s="77"/>
      <c r="AT574" s="77"/>
      <c r="AU574" s="77"/>
      <c r="AV574" s="80" t="str">
        <f>HYPERLINK("https://pbs.twimg.com/media/DM-9C3aUQAA7LS5.jpg")</f>
        <v>https://pbs.twimg.com/media/DM-9C3aUQAA7LS5.jpg</v>
      </c>
      <c r="AW574" s="81" t="s">
        <v>4950</v>
      </c>
      <c r="AX574" s="81" t="s">
        <v>4950</v>
      </c>
      <c r="AY574" s="77"/>
      <c r="AZ574" s="81" t="s">
        <v>5773</v>
      </c>
      <c r="BA574" s="81" t="s">
        <v>5773</v>
      </c>
      <c r="BB574" s="81" t="s">
        <v>5773</v>
      </c>
      <c r="BC574" s="81" t="s">
        <v>4950</v>
      </c>
      <c r="BD574" s="81" t="s">
        <v>5819</v>
      </c>
      <c r="BE574" s="77"/>
      <c r="BF574" s="77"/>
      <c r="BG574" s="77"/>
      <c r="BH574" s="77"/>
      <c r="BI574" s="77"/>
    </row>
    <row r="575" spans="1:61" ht="15">
      <c r="A575" s="62" t="s">
        <v>369</v>
      </c>
      <c r="B575" s="62" t="s">
        <v>369</v>
      </c>
      <c r="C575" s="63"/>
      <c r="D575" s="64"/>
      <c r="E575" s="65"/>
      <c r="F575" s="66"/>
      <c r="G575" s="63"/>
      <c r="H575" s="67"/>
      <c r="I575" s="68"/>
      <c r="J575" s="68"/>
      <c r="K575" s="32" t="s">
        <v>65</v>
      </c>
      <c r="L575" s="75">
        <v>575</v>
      </c>
      <c r="M575" s="75"/>
      <c r="N575" s="70"/>
      <c r="O575" s="77" t="s">
        <v>179</v>
      </c>
      <c r="P575" s="79">
        <v>43033.49880787037</v>
      </c>
      <c r="Q575" s="77" t="s">
        <v>1015</v>
      </c>
      <c r="R575" s="77">
        <v>0</v>
      </c>
      <c r="S575" s="77">
        <v>0</v>
      </c>
      <c r="T575" s="77">
        <v>0</v>
      </c>
      <c r="U575" s="77">
        <v>0</v>
      </c>
      <c r="V575" s="77"/>
      <c r="W575" s="81" t="s">
        <v>1837</v>
      </c>
      <c r="X575" s="80" t="str">
        <f>HYPERLINK("https://www.inovies.com/web-design/mobile-app-design-company")</f>
        <v>https://www.inovies.com/web-design/mobile-app-design-company</v>
      </c>
      <c r="Y575" s="77" t="s">
        <v>1982</v>
      </c>
      <c r="Z575" s="77"/>
      <c r="AA575" s="77" t="s">
        <v>2282</v>
      </c>
      <c r="AB575" s="77" t="s">
        <v>2696</v>
      </c>
      <c r="AC575" s="81" t="s">
        <v>2705</v>
      </c>
      <c r="AD575" s="77" t="s">
        <v>2751</v>
      </c>
      <c r="AE575" s="80" t="str">
        <f>HYPERLINK("https://twitter.com/suryakotianu/status/923156759245553664")</f>
        <v>https://twitter.com/suryakotianu/status/923156759245553664</v>
      </c>
      <c r="AF575" s="79">
        <v>43033.49880787037</v>
      </c>
      <c r="AG575" s="85">
        <v>43033</v>
      </c>
      <c r="AH575" s="81" t="s">
        <v>3205</v>
      </c>
      <c r="AI575" s="77" t="b">
        <v>0</v>
      </c>
      <c r="AJ575" s="77"/>
      <c r="AK575" s="77"/>
      <c r="AL575" s="77"/>
      <c r="AM575" s="77"/>
      <c r="AN575" s="77"/>
      <c r="AO575" s="77"/>
      <c r="AP575" s="77"/>
      <c r="AQ575" s="77" t="s">
        <v>4097</v>
      </c>
      <c r="AR575" s="77"/>
      <c r="AS575" s="77"/>
      <c r="AT575" s="77"/>
      <c r="AU575" s="77"/>
      <c r="AV575" s="80" t="str">
        <f>HYPERLINK("https://pbs.twimg.com/media/DM-2J9TUQAAurDC.jpg")</f>
        <v>https://pbs.twimg.com/media/DM-2J9TUQAAurDC.jpg</v>
      </c>
      <c r="AW575" s="81" t="s">
        <v>4951</v>
      </c>
      <c r="AX575" s="81" t="s">
        <v>4951</v>
      </c>
      <c r="AY575" s="77"/>
      <c r="AZ575" s="81" t="s">
        <v>5773</v>
      </c>
      <c r="BA575" s="81" t="s">
        <v>5773</v>
      </c>
      <c r="BB575" s="81" t="s">
        <v>5773</v>
      </c>
      <c r="BC575" s="81" t="s">
        <v>4951</v>
      </c>
      <c r="BD575" s="81" t="s">
        <v>5819</v>
      </c>
      <c r="BE575" s="77"/>
      <c r="BF575" s="77"/>
      <c r="BG575" s="77"/>
      <c r="BH575" s="77"/>
      <c r="BI575" s="77"/>
    </row>
    <row r="576" spans="1:61" ht="15">
      <c r="A576" s="62" t="s">
        <v>369</v>
      </c>
      <c r="B576" s="62" t="s">
        <v>369</v>
      </c>
      <c r="C576" s="63"/>
      <c r="D576" s="64"/>
      <c r="E576" s="65"/>
      <c r="F576" s="66"/>
      <c r="G576" s="63"/>
      <c r="H576" s="67"/>
      <c r="I576" s="68"/>
      <c r="J576" s="68"/>
      <c r="K576" s="32" t="s">
        <v>65</v>
      </c>
      <c r="L576" s="75">
        <v>576</v>
      </c>
      <c r="M576" s="75"/>
      <c r="N576" s="70"/>
      <c r="O576" s="77" t="s">
        <v>179</v>
      </c>
      <c r="P576" s="79">
        <v>43033.47740740741</v>
      </c>
      <c r="Q576" s="77" t="s">
        <v>1016</v>
      </c>
      <c r="R576" s="77">
        <v>0</v>
      </c>
      <c r="S576" s="77">
        <v>0</v>
      </c>
      <c r="T576" s="77">
        <v>0</v>
      </c>
      <c r="U576" s="77">
        <v>0</v>
      </c>
      <c r="V576" s="77"/>
      <c r="W576" s="81" t="s">
        <v>1838</v>
      </c>
      <c r="X576" s="80" t="str">
        <f>HYPERLINK("https://www.inovies.com/web-design/website-design-company")</f>
        <v>https://www.inovies.com/web-design/website-design-company</v>
      </c>
      <c r="Y576" s="77" t="s">
        <v>1982</v>
      </c>
      <c r="Z576" s="77"/>
      <c r="AA576" s="77" t="s">
        <v>2283</v>
      </c>
      <c r="AB576" s="77" t="s">
        <v>2696</v>
      </c>
      <c r="AC576" s="81" t="s">
        <v>2705</v>
      </c>
      <c r="AD576" s="77" t="s">
        <v>2751</v>
      </c>
      <c r="AE576" s="80" t="str">
        <f>HYPERLINK("https://twitter.com/suryakotianu/status/923149004996689921")</f>
        <v>https://twitter.com/suryakotianu/status/923149004996689921</v>
      </c>
      <c r="AF576" s="79">
        <v>43033.47740740741</v>
      </c>
      <c r="AG576" s="85">
        <v>43033</v>
      </c>
      <c r="AH576" s="81" t="s">
        <v>3206</v>
      </c>
      <c r="AI576" s="77" t="b">
        <v>0</v>
      </c>
      <c r="AJ576" s="77"/>
      <c r="AK576" s="77"/>
      <c r="AL576" s="77"/>
      <c r="AM576" s="77"/>
      <c r="AN576" s="77"/>
      <c r="AO576" s="77"/>
      <c r="AP576" s="77"/>
      <c r="AQ576" s="77" t="s">
        <v>4098</v>
      </c>
      <c r="AR576" s="77"/>
      <c r="AS576" s="77"/>
      <c r="AT576" s="77"/>
      <c r="AU576" s="77"/>
      <c r="AV576" s="80" t="str">
        <f>HYPERLINK("https://pbs.twimg.com/media/DM-vHbOVwAAHEGJ.jpg")</f>
        <v>https://pbs.twimg.com/media/DM-vHbOVwAAHEGJ.jpg</v>
      </c>
      <c r="AW576" s="81" t="s">
        <v>4952</v>
      </c>
      <c r="AX576" s="81" t="s">
        <v>4952</v>
      </c>
      <c r="AY576" s="77"/>
      <c r="AZ576" s="81" t="s">
        <v>5773</v>
      </c>
      <c r="BA576" s="81" t="s">
        <v>5773</v>
      </c>
      <c r="BB576" s="81" t="s">
        <v>5773</v>
      </c>
      <c r="BC576" s="81" t="s">
        <v>4952</v>
      </c>
      <c r="BD576" s="81" t="s">
        <v>5819</v>
      </c>
      <c r="BE576" s="77"/>
      <c r="BF576" s="77"/>
      <c r="BG576" s="77"/>
      <c r="BH576" s="77"/>
      <c r="BI576" s="77"/>
    </row>
    <row r="577" spans="1:61" ht="15">
      <c r="A577" s="62" t="s">
        <v>369</v>
      </c>
      <c r="B577" s="62" t="s">
        <v>369</v>
      </c>
      <c r="C577" s="63"/>
      <c r="D577" s="64"/>
      <c r="E577" s="65"/>
      <c r="F577" s="66"/>
      <c r="G577" s="63"/>
      <c r="H577" s="67"/>
      <c r="I577" s="68"/>
      <c r="J577" s="68"/>
      <c r="K577" s="32" t="s">
        <v>65</v>
      </c>
      <c r="L577" s="75">
        <v>577</v>
      </c>
      <c r="M577" s="75"/>
      <c r="N577" s="70"/>
      <c r="O577" s="77" t="s">
        <v>179</v>
      </c>
      <c r="P577" s="79">
        <v>43025.55289351852</v>
      </c>
      <c r="Q577" s="77" t="s">
        <v>1017</v>
      </c>
      <c r="R577" s="77">
        <v>0</v>
      </c>
      <c r="S577" s="77">
        <v>0</v>
      </c>
      <c r="T577" s="77">
        <v>0</v>
      </c>
      <c r="U577" s="77">
        <v>0</v>
      </c>
      <c r="V577" s="77"/>
      <c r="W577" s="81" t="s">
        <v>299</v>
      </c>
      <c r="X577" s="80" t="str">
        <f>HYPERLINK("https://goo.gl/W1XhLR")</f>
        <v>https://goo.gl/W1XhLR</v>
      </c>
      <c r="Y577" s="77" t="s">
        <v>1975</v>
      </c>
      <c r="Z577" s="77"/>
      <c r="AA577" s="77" t="s">
        <v>2284</v>
      </c>
      <c r="AB577" s="77" t="s">
        <v>2696</v>
      </c>
      <c r="AC577" s="81" t="s">
        <v>2705</v>
      </c>
      <c r="AD577" s="77" t="s">
        <v>2751</v>
      </c>
      <c r="AE577" s="80" t="str">
        <f>HYPERLINK("https://twitter.com/suryakotianu/status/920277255242137600")</f>
        <v>https://twitter.com/suryakotianu/status/920277255242137600</v>
      </c>
      <c r="AF577" s="79">
        <v>43025.55289351852</v>
      </c>
      <c r="AG577" s="85">
        <v>43025</v>
      </c>
      <c r="AH577" s="81" t="s">
        <v>3207</v>
      </c>
      <c r="AI577" s="77" t="b">
        <v>0</v>
      </c>
      <c r="AJ577" s="77" t="s">
        <v>3881</v>
      </c>
      <c r="AK577" s="77" t="s">
        <v>3889</v>
      </c>
      <c r="AL577" s="77" t="s">
        <v>3892</v>
      </c>
      <c r="AM577" s="77" t="s">
        <v>3895</v>
      </c>
      <c r="AN577" s="77" t="s">
        <v>3902</v>
      </c>
      <c r="AO577" s="77" t="s">
        <v>3910</v>
      </c>
      <c r="AP577" s="77" t="s">
        <v>3917</v>
      </c>
      <c r="AQ577" s="77" t="s">
        <v>4099</v>
      </c>
      <c r="AR577" s="77"/>
      <c r="AS577" s="77"/>
      <c r="AT577" s="77"/>
      <c r="AU577" s="77"/>
      <c r="AV577" s="80" t="str">
        <f>HYPERLINK("https://pbs.twimg.com/media/DMV7RcXUQAUoXpT.jpg")</f>
        <v>https://pbs.twimg.com/media/DMV7RcXUQAUoXpT.jpg</v>
      </c>
      <c r="AW577" s="81" t="s">
        <v>4953</v>
      </c>
      <c r="AX577" s="81" t="s">
        <v>4953</v>
      </c>
      <c r="AY577" s="77"/>
      <c r="AZ577" s="81" t="s">
        <v>5773</v>
      </c>
      <c r="BA577" s="81" t="s">
        <v>5773</v>
      </c>
      <c r="BB577" s="81" t="s">
        <v>5773</v>
      </c>
      <c r="BC577" s="81" t="s">
        <v>4953</v>
      </c>
      <c r="BD577" s="81" t="s">
        <v>5819</v>
      </c>
      <c r="BE577" s="77"/>
      <c r="BF577" s="77"/>
      <c r="BG577" s="77"/>
      <c r="BH577" s="77"/>
      <c r="BI577" s="77"/>
    </row>
    <row r="578" spans="1:61" ht="15">
      <c r="A578" s="62" t="s">
        <v>369</v>
      </c>
      <c r="B578" s="62" t="s">
        <v>369</v>
      </c>
      <c r="C578" s="63"/>
      <c r="D578" s="64"/>
      <c r="E578" s="65"/>
      <c r="F578" s="66"/>
      <c r="G578" s="63"/>
      <c r="H578" s="67"/>
      <c r="I578" s="68"/>
      <c r="J578" s="68"/>
      <c r="K578" s="32" t="s">
        <v>65</v>
      </c>
      <c r="L578" s="75">
        <v>578</v>
      </c>
      <c r="M578" s="75"/>
      <c r="N578" s="70"/>
      <c r="O578" s="77" t="s">
        <v>179</v>
      </c>
      <c r="P578" s="79">
        <v>43025.55100694444</v>
      </c>
      <c r="Q578" s="77" t="s">
        <v>1018</v>
      </c>
      <c r="R578" s="77">
        <v>0</v>
      </c>
      <c r="S578" s="77">
        <v>0</v>
      </c>
      <c r="T578" s="77">
        <v>0</v>
      </c>
      <c r="U578" s="77">
        <v>0</v>
      </c>
      <c r="V578" s="77"/>
      <c r="W578" s="81" t="s">
        <v>299</v>
      </c>
      <c r="X578" s="80" t="str">
        <f>HYPERLINK("https://goo.gl/quRwif")</f>
        <v>https://goo.gl/quRwif</v>
      </c>
      <c r="Y578" s="77" t="s">
        <v>1975</v>
      </c>
      <c r="Z578" s="77"/>
      <c r="AA578" s="77" t="s">
        <v>2285</v>
      </c>
      <c r="AB578" s="77" t="s">
        <v>2696</v>
      </c>
      <c r="AC578" s="81" t="s">
        <v>2705</v>
      </c>
      <c r="AD578" s="77" t="s">
        <v>2751</v>
      </c>
      <c r="AE578" s="80" t="str">
        <f>HYPERLINK("https://twitter.com/suryakotianu/status/920276570643709953")</f>
        <v>https://twitter.com/suryakotianu/status/920276570643709953</v>
      </c>
      <c r="AF578" s="79">
        <v>43025.55100694444</v>
      </c>
      <c r="AG578" s="85">
        <v>43025</v>
      </c>
      <c r="AH578" s="81" t="s">
        <v>3208</v>
      </c>
      <c r="AI578" s="77" t="b">
        <v>0</v>
      </c>
      <c r="AJ578" s="77" t="s">
        <v>3881</v>
      </c>
      <c r="AK578" s="77" t="s">
        <v>3889</v>
      </c>
      <c r="AL578" s="77" t="s">
        <v>3892</v>
      </c>
      <c r="AM578" s="77" t="s">
        <v>3895</v>
      </c>
      <c r="AN578" s="77" t="s">
        <v>3902</v>
      </c>
      <c r="AO578" s="77" t="s">
        <v>3910</v>
      </c>
      <c r="AP578" s="77" t="s">
        <v>3917</v>
      </c>
      <c r="AQ578" s="77" t="s">
        <v>4100</v>
      </c>
      <c r="AR578" s="77"/>
      <c r="AS578" s="77"/>
      <c r="AT578" s="77"/>
      <c r="AU578" s="77"/>
      <c r="AV578" s="80" t="str">
        <f>HYPERLINK("https://pbs.twimg.com/media/DMV6pGUVAAUQw1u.jpg")</f>
        <v>https://pbs.twimg.com/media/DMV6pGUVAAUQw1u.jpg</v>
      </c>
      <c r="AW578" s="81" t="s">
        <v>4954</v>
      </c>
      <c r="AX578" s="81" t="s">
        <v>4954</v>
      </c>
      <c r="AY578" s="77"/>
      <c r="AZ578" s="81" t="s">
        <v>5773</v>
      </c>
      <c r="BA578" s="81" t="s">
        <v>5773</v>
      </c>
      <c r="BB578" s="81" t="s">
        <v>5773</v>
      </c>
      <c r="BC578" s="81" t="s">
        <v>4954</v>
      </c>
      <c r="BD578" s="81" t="s">
        <v>5819</v>
      </c>
      <c r="BE578" s="77"/>
      <c r="BF578" s="77"/>
      <c r="BG578" s="77"/>
      <c r="BH578" s="77"/>
      <c r="BI578" s="77"/>
    </row>
    <row r="579" spans="1:61" ht="15">
      <c r="A579" s="62" t="s">
        <v>369</v>
      </c>
      <c r="B579" s="62" t="s">
        <v>369</v>
      </c>
      <c r="C579" s="63"/>
      <c r="D579" s="64"/>
      <c r="E579" s="65"/>
      <c r="F579" s="66"/>
      <c r="G579" s="63"/>
      <c r="H579" s="67"/>
      <c r="I579" s="68"/>
      <c r="J579" s="68"/>
      <c r="K579" s="32" t="s">
        <v>65</v>
      </c>
      <c r="L579" s="75">
        <v>579</v>
      </c>
      <c r="M579" s="75"/>
      <c r="N579" s="70"/>
      <c r="O579" s="77" t="s">
        <v>179</v>
      </c>
      <c r="P579" s="79">
        <v>43025.545011574075</v>
      </c>
      <c r="Q579" s="77" t="s">
        <v>1019</v>
      </c>
      <c r="R579" s="77">
        <v>0</v>
      </c>
      <c r="S579" s="77">
        <v>0</v>
      </c>
      <c r="T579" s="77">
        <v>0</v>
      </c>
      <c r="U579" s="77">
        <v>0</v>
      </c>
      <c r="V579" s="77"/>
      <c r="W579" s="81" t="s">
        <v>1839</v>
      </c>
      <c r="X579" s="80" t="str">
        <f>HYPERLINK("https://goo.gl/9kxTZ6")</f>
        <v>https://goo.gl/9kxTZ6</v>
      </c>
      <c r="Y579" s="77" t="s">
        <v>1975</v>
      </c>
      <c r="Z579" s="77"/>
      <c r="AA579" s="77" t="s">
        <v>2286</v>
      </c>
      <c r="AB579" s="77" t="s">
        <v>2696</v>
      </c>
      <c r="AC579" s="81" t="s">
        <v>2705</v>
      </c>
      <c r="AD579" s="77" t="s">
        <v>2751</v>
      </c>
      <c r="AE579" s="80" t="str">
        <f>HYPERLINK("https://twitter.com/suryakotianu/status/920274398401015808")</f>
        <v>https://twitter.com/suryakotianu/status/920274398401015808</v>
      </c>
      <c r="AF579" s="79">
        <v>43025.545011574075</v>
      </c>
      <c r="AG579" s="85">
        <v>43025</v>
      </c>
      <c r="AH579" s="81" t="s">
        <v>3209</v>
      </c>
      <c r="AI579" s="77" t="b">
        <v>0</v>
      </c>
      <c r="AJ579" s="77" t="s">
        <v>3881</v>
      </c>
      <c r="AK579" s="77" t="s">
        <v>3889</v>
      </c>
      <c r="AL579" s="77" t="s">
        <v>3892</v>
      </c>
      <c r="AM579" s="77" t="s">
        <v>3895</v>
      </c>
      <c r="AN579" s="77" t="s">
        <v>3902</v>
      </c>
      <c r="AO579" s="77" t="s">
        <v>3910</v>
      </c>
      <c r="AP579" s="77" t="s">
        <v>3917</v>
      </c>
      <c r="AQ579" s="77" t="s">
        <v>4101</v>
      </c>
      <c r="AR579" s="77"/>
      <c r="AS579" s="77"/>
      <c r="AT579" s="77"/>
      <c r="AU579" s="77"/>
      <c r="AV579" s="80" t="str">
        <f>HYPERLINK("https://pbs.twimg.com/media/DMV4rnTVwAA9Uro.jpg")</f>
        <v>https://pbs.twimg.com/media/DMV4rnTVwAA9Uro.jpg</v>
      </c>
      <c r="AW579" s="81" t="s">
        <v>4955</v>
      </c>
      <c r="AX579" s="81" t="s">
        <v>4955</v>
      </c>
      <c r="AY579" s="77"/>
      <c r="AZ579" s="81" t="s">
        <v>5773</v>
      </c>
      <c r="BA579" s="81" t="s">
        <v>5773</v>
      </c>
      <c r="BB579" s="81" t="s">
        <v>5773</v>
      </c>
      <c r="BC579" s="81" t="s">
        <v>4955</v>
      </c>
      <c r="BD579" s="81" t="s">
        <v>5819</v>
      </c>
      <c r="BE579" s="77"/>
      <c r="BF579" s="77"/>
      <c r="BG579" s="77"/>
      <c r="BH579" s="77"/>
      <c r="BI579" s="77"/>
    </row>
    <row r="580" spans="1:61" ht="15">
      <c r="A580" s="62" t="s">
        <v>369</v>
      </c>
      <c r="B580" s="62" t="s">
        <v>369</v>
      </c>
      <c r="C580" s="63"/>
      <c r="D580" s="64"/>
      <c r="E580" s="65"/>
      <c r="F580" s="66"/>
      <c r="G580" s="63"/>
      <c r="H580" s="67"/>
      <c r="I580" s="68"/>
      <c r="J580" s="68"/>
      <c r="K580" s="32" t="s">
        <v>65</v>
      </c>
      <c r="L580" s="75">
        <v>580</v>
      </c>
      <c r="M580" s="75"/>
      <c r="N580" s="70"/>
      <c r="O580" s="77" t="s">
        <v>179</v>
      </c>
      <c r="P580" s="79">
        <v>43025.544282407405</v>
      </c>
      <c r="Q580" s="77" t="s">
        <v>1020</v>
      </c>
      <c r="R580" s="77">
        <v>0</v>
      </c>
      <c r="S580" s="77">
        <v>0</v>
      </c>
      <c r="T580" s="77">
        <v>0</v>
      </c>
      <c r="U580" s="77">
        <v>0</v>
      </c>
      <c r="V580" s="77"/>
      <c r="W580" s="81" t="s">
        <v>299</v>
      </c>
      <c r="X580" s="80" t="str">
        <f>HYPERLINK("https://goo.gl/36LgiX")</f>
        <v>https://goo.gl/36LgiX</v>
      </c>
      <c r="Y580" s="77" t="s">
        <v>1975</v>
      </c>
      <c r="Z580" s="77"/>
      <c r="AA580" s="77" t="s">
        <v>2287</v>
      </c>
      <c r="AB580" s="77" t="s">
        <v>2696</v>
      </c>
      <c r="AC580" s="81" t="s">
        <v>2705</v>
      </c>
      <c r="AD580" s="77" t="s">
        <v>2751</v>
      </c>
      <c r="AE580" s="80" t="str">
        <f>HYPERLINK("https://twitter.com/suryakotianu/status/920274136584171520")</f>
        <v>https://twitter.com/suryakotianu/status/920274136584171520</v>
      </c>
      <c r="AF580" s="79">
        <v>43025.544282407405</v>
      </c>
      <c r="AG580" s="85">
        <v>43025</v>
      </c>
      <c r="AH580" s="81" t="s">
        <v>3210</v>
      </c>
      <c r="AI580" s="77" t="b">
        <v>0</v>
      </c>
      <c r="AJ580" s="77" t="s">
        <v>3881</v>
      </c>
      <c r="AK580" s="77" t="s">
        <v>3889</v>
      </c>
      <c r="AL580" s="77" t="s">
        <v>3892</v>
      </c>
      <c r="AM580" s="77" t="s">
        <v>3895</v>
      </c>
      <c r="AN580" s="77" t="s">
        <v>3902</v>
      </c>
      <c r="AO580" s="77" t="s">
        <v>3910</v>
      </c>
      <c r="AP580" s="77" t="s">
        <v>3917</v>
      </c>
      <c r="AQ580" s="77" t="s">
        <v>4102</v>
      </c>
      <c r="AR580" s="77"/>
      <c r="AS580" s="77"/>
      <c r="AT580" s="77"/>
      <c r="AU580" s="77"/>
      <c r="AV580" s="80" t="str">
        <f>HYPERLINK("https://pbs.twimg.com/media/DMV4cdIUIAYnqUU.jpg")</f>
        <v>https://pbs.twimg.com/media/DMV4cdIUIAYnqUU.jpg</v>
      </c>
      <c r="AW580" s="81" t="s">
        <v>4956</v>
      </c>
      <c r="AX580" s="81" t="s">
        <v>4956</v>
      </c>
      <c r="AY580" s="77"/>
      <c r="AZ580" s="81" t="s">
        <v>5773</v>
      </c>
      <c r="BA580" s="81" t="s">
        <v>5773</v>
      </c>
      <c r="BB580" s="81" t="s">
        <v>5773</v>
      </c>
      <c r="BC580" s="81" t="s">
        <v>4956</v>
      </c>
      <c r="BD580" s="81" t="s">
        <v>5819</v>
      </c>
      <c r="BE580" s="77"/>
      <c r="BF580" s="77"/>
      <c r="BG580" s="77"/>
      <c r="BH580" s="77"/>
      <c r="BI580" s="77"/>
    </row>
    <row r="581" spans="1:61" ht="15">
      <c r="A581" s="62" t="s">
        <v>369</v>
      </c>
      <c r="B581" s="62" t="s">
        <v>299</v>
      </c>
      <c r="C581" s="63"/>
      <c r="D581" s="64"/>
      <c r="E581" s="65"/>
      <c r="F581" s="66"/>
      <c r="G581" s="63"/>
      <c r="H581" s="67"/>
      <c r="I581" s="68"/>
      <c r="J581" s="68"/>
      <c r="K581" s="32" t="s">
        <v>65</v>
      </c>
      <c r="L581" s="75">
        <v>581</v>
      </c>
      <c r="M581" s="75"/>
      <c r="N581" s="70"/>
      <c r="O581" s="77" t="s">
        <v>572</v>
      </c>
      <c r="P581" s="79">
        <v>44357.18113425926</v>
      </c>
      <c r="Q581" s="77" t="s">
        <v>1021</v>
      </c>
      <c r="R581" s="77">
        <v>1</v>
      </c>
      <c r="S581" s="77">
        <v>0</v>
      </c>
      <c r="T581" s="77">
        <v>0</v>
      </c>
      <c r="U581" s="77">
        <v>0</v>
      </c>
      <c r="V581" s="77"/>
      <c r="W581" s="81" t="s">
        <v>1840</v>
      </c>
      <c r="X581" s="77"/>
      <c r="Y581" s="77"/>
      <c r="Z581" s="77" t="s">
        <v>299</v>
      </c>
      <c r="AA581" s="77"/>
      <c r="AB581" s="77"/>
      <c r="AC581" s="81" t="s">
        <v>2707</v>
      </c>
      <c r="AD581" s="77" t="s">
        <v>2752</v>
      </c>
      <c r="AE581" s="80" t="str">
        <f>HYPERLINK("https://twitter.com/suryakotianu/status/1402843170384146434")</f>
        <v>https://twitter.com/suryakotianu/status/1402843170384146434</v>
      </c>
      <c r="AF581" s="79">
        <v>44357.18113425926</v>
      </c>
      <c r="AG581" s="85">
        <v>44357</v>
      </c>
      <c r="AH581" s="81" t="s">
        <v>3211</v>
      </c>
      <c r="AI581" s="77"/>
      <c r="AJ581" s="77"/>
      <c r="AK581" s="77"/>
      <c r="AL581" s="77"/>
      <c r="AM581" s="77"/>
      <c r="AN581" s="77"/>
      <c r="AO581" s="77"/>
      <c r="AP581" s="77"/>
      <c r="AQ581" s="77"/>
      <c r="AR581" s="77"/>
      <c r="AS581" s="77"/>
      <c r="AT581" s="77"/>
      <c r="AU581" s="77"/>
      <c r="AV581" s="80" t="str">
        <f>HYPERLINK("https://pbs.twimg.com/profile_images/1402842160508981252/1dGsTHpA_normal.jpg")</f>
        <v>https://pbs.twimg.com/profile_images/1402842160508981252/1dGsTHpA_normal.jpg</v>
      </c>
      <c r="AW581" s="81" t="s">
        <v>4957</v>
      </c>
      <c r="AX581" s="81" t="s">
        <v>5168</v>
      </c>
      <c r="AY581" s="81" t="s">
        <v>5721</v>
      </c>
      <c r="AZ581" s="81" t="s">
        <v>5168</v>
      </c>
      <c r="BA581" s="81" t="s">
        <v>5773</v>
      </c>
      <c r="BB581" s="81" t="s">
        <v>5773</v>
      </c>
      <c r="BC581" s="81" t="s">
        <v>5168</v>
      </c>
      <c r="BD581" s="81" t="s">
        <v>5819</v>
      </c>
      <c r="BE581" s="77"/>
      <c r="BF581" s="77"/>
      <c r="BG581" s="77"/>
      <c r="BH581" s="77"/>
      <c r="BI581" s="77"/>
    </row>
    <row r="582" spans="1:61" ht="15">
      <c r="A582" s="62" t="s">
        <v>370</v>
      </c>
      <c r="B582" s="62" t="s">
        <v>369</v>
      </c>
      <c r="C582" s="63"/>
      <c r="D582" s="64"/>
      <c r="E582" s="65"/>
      <c r="F582" s="66"/>
      <c r="G582" s="63"/>
      <c r="H582" s="67"/>
      <c r="I582" s="68"/>
      <c r="J582" s="68"/>
      <c r="K582" s="32" t="s">
        <v>65</v>
      </c>
      <c r="L582" s="75">
        <v>582</v>
      </c>
      <c r="M582" s="75"/>
      <c r="N582" s="70"/>
      <c r="O582" s="77" t="s">
        <v>575</v>
      </c>
      <c r="P582" s="79">
        <v>43076.327893518515</v>
      </c>
      <c r="Q582" s="77" t="s">
        <v>1022</v>
      </c>
      <c r="R582" s="77">
        <v>0</v>
      </c>
      <c r="S582" s="77">
        <v>0</v>
      </c>
      <c r="T582" s="77">
        <v>0</v>
      </c>
      <c r="U582" s="77">
        <v>0</v>
      </c>
      <c r="V582" s="77"/>
      <c r="W582" s="81" t="s">
        <v>1715</v>
      </c>
      <c r="X582" s="77" t="s">
        <v>1957</v>
      </c>
      <c r="Y582" s="77" t="s">
        <v>1980</v>
      </c>
      <c r="Z582" s="77" t="s">
        <v>299</v>
      </c>
      <c r="AA582" s="77" t="s">
        <v>2288</v>
      </c>
      <c r="AB582" s="77" t="s">
        <v>2696</v>
      </c>
      <c r="AC582" s="81" t="s">
        <v>2710</v>
      </c>
      <c r="AD582" s="77" t="s">
        <v>2751</v>
      </c>
      <c r="AE582" s="80" t="str">
        <f>HYPERLINK("https://twitter.com/jameslbrower2/status/938677499436953600")</f>
        <v>https://twitter.com/jameslbrower2/status/938677499436953600</v>
      </c>
      <c r="AF582" s="79">
        <v>43076.327893518515</v>
      </c>
      <c r="AG582" s="85">
        <v>43076</v>
      </c>
      <c r="AH582" s="81" t="s">
        <v>3212</v>
      </c>
      <c r="AI582" s="77" t="b">
        <v>0</v>
      </c>
      <c r="AJ582" s="77"/>
      <c r="AK582" s="77"/>
      <c r="AL582" s="77"/>
      <c r="AM582" s="77"/>
      <c r="AN582" s="77"/>
      <c r="AO582" s="77"/>
      <c r="AP582" s="77"/>
      <c r="AQ582" s="77" t="s">
        <v>3923</v>
      </c>
      <c r="AR582" s="77"/>
      <c r="AS582" s="77"/>
      <c r="AT582" s="77"/>
      <c r="AU582" s="77"/>
      <c r="AV582" s="80" t="str">
        <f>HYPERLINK("https://pbs.twimg.com/media/DQbRJ0UUQAYtAx5.jpg")</f>
        <v>https://pbs.twimg.com/media/DQbRJ0UUQAYtAx5.jpg</v>
      </c>
      <c r="AW582" s="81" t="s">
        <v>4958</v>
      </c>
      <c r="AX582" s="81" t="s">
        <v>4958</v>
      </c>
      <c r="AY582" s="77"/>
      <c r="AZ582" s="81" t="s">
        <v>5773</v>
      </c>
      <c r="BA582" s="81" t="s">
        <v>4869</v>
      </c>
      <c r="BB582" s="81" t="s">
        <v>5773</v>
      </c>
      <c r="BC582" s="81" t="s">
        <v>4869</v>
      </c>
      <c r="BD582" s="81" t="s">
        <v>5820</v>
      </c>
      <c r="BE582" s="77"/>
      <c r="BF582" s="77"/>
      <c r="BG582" s="77"/>
      <c r="BH582" s="77"/>
      <c r="BI582" s="77"/>
    </row>
    <row r="583" spans="1:61" ht="15">
      <c r="A583" s="62" t="s">
        <v>370</v>
      </c>
      <c r="B583" s="62" t="s">
        <v>299</v>
      </c>
      <c r="C583" s="63"/>
      <c r="D583" s="64"/>
      <c r="E583" s="65"/>
      <c r="F583" s="66"/>
      <c r="G583" s="63"/>
      <c r="H583" s="67"/>
      <c r="I583" s="68"/>
      <c r="J583" s="68"/>
      <c r="K583" s="32" t="s">
        <v>65</v>
      </c>
      <c r="L583" s="75">
        <v>583</v>
      </c>
      <c r="M583" s="75"/>
      <c r="N583" s="70"/>
      <c r="O583" s="77" t="s">
        <v>574</v>
      </c>
      <c r="P583" s="79">
        <v>43076.327893518515</v>
      </c>
      <c r="Q583" s="77" t="s">
        <v>1022</v>
      </c>
      <c r="R583" s="77">
        <v>0</v>
      </c>
      <c r="S583" s="77">
        <v>0</v>
      </c>
      <c r="T583" s="77">
        <v>0</v>
      </c>
      <c r="U583" s="77">
        <v>0</v>
      </c>
      <c r="V583" s="77"/>
      <c r="W583" s="81" t="s">
        <v>1715</v>
      </c>
      <c r="X583" s="77" t="s">
        <v>1957</v>
      </c>
      <c r="Y583" s="77" t="s">
        <v>1980</v>
      </c>
      <c r="Z583" s="77" t="s">
        <v>299</v>
      </c>
      <c r="AA583" s="77" t="s">
        <v>2288</v>
      </c>
      <c r="AB583" s="77" t="s">
        <v>2696</v>
      </c>
      <c r="AC583" s="81" t="s">
        <v>2710</v>
      </c>
      <c r="AD583" s="77" t="s">
        <v>2751</v>
      </c>
      <c r="AE583" s="80" t="str">
        <f>HYPERLINK("https://twitter.com/jameslbrower2/status/938677499436953600")</f>
        <v>https://twitter.com/jameslbrower2/status/938677499436953600</v>
      </c>
      <c r="AF583" s="79">
        <v>43076.327893518515</v>
      </c>
      <c r="AG583" s="85">
        <v>43076</v>
      </c>
      <c r="AH583" s="81" t="s">
        <v>3212</v>
      </c>
      <c r="AI583" s="77" t="b">
        <v>0</v>
      </c>
      <c r="AJ583" s="77"/>
      <c r="AK583" s="77"/>
      <c r="AL583" s="77"/>
      <c r="AM583" s="77"/>
      <c r="AN583" s="77"/>
      <c r="AO583" s="77"/>
      <c r="AP583" s="77"/>
      <c r="AQ583" s="77" t="s">
        <v>3923</v>
      </c>
      <c r="AR583" s="77"/>
      <c r="AS583" s="77"/>
      <c r="AT583" s="77"/>
      <c r="AU583" s="77"/>
      <c r="AV583" s="80" t="str">
        <f>HYPERLINK("https://pbs.twimg.com/media/DQbRJ0UUQAYtAx5.jpg")</f>
        <v>https://pbs.twimg.com/media/DQbRJ0UUQAYtAx5.jpg</v>
      </c>
      <c r="AW583" s="81" t="s">
        <v>4958</v>
      </c>
      <c r="AX583" s="81" t="s">
        <v>4958</v>
      </c>
      <c r="AY583" s="77"/>
      <c r="AZ583" s="81" t="s">
        <v>5773</v>
      </c>
      <c r="BA583" s="81" t="s">
        <v>4869</v>
      </c>
      <c r="BB583" s="81" t="s">
        <v>5773</v>
      </c>
      <c r="BC583" s="81" t="s">
        <v>4869</v>
      </c>
      <c r="BD583" s="81" t="s">
        <v>5820</v>
      </c>
      <c r="BE583" s="77"/>
      <c r="BF583" s="77"/>
      <c r="BG583" s="77"/>
      <c r="BH583" s="77"/>
      <c r="BI583" s="77"/>
    </row>
    <row r="584" spans="1:61" ht="15">
      <c r="A584" s="62" t="s">
        <v>371</v>
      </c>
      <c r="B584" s="62" t="s">
        <v>371</v>
      </c>
      <c r="C584" s="63"/>
      <c r="D584" s="64"/>
      <c r="E584" s="65"/>
      <c r="F584" s="66"/>
      <c r="G584" s="63"/>
      <c r="H584" s="67"/>
      <c r="I584" s="68"/>
      <c r="J584" s="68"/>
      <c r="K584" s="32" t="s">
        <v>65</v>
      </c>
      <c r="L584" s="75">
        <v>584</v>
      </c>
      <c r="M584" s="75"/>
      <c r="N584" s="70"/>
      <c r="O584" s="77" t="s">
        <v>179</v>
      </c>
      <c r="P584" s="79">
        <v>45132.10679398148</v>
      </c>
      <c r="Q584" s="77" t="s">
        <v>1023</v>
      </c>
      <c r="R584" s="77">
        <v>0</v>
      </c>
      <c r="S584" s="77">
        <v>0</v>
      </c>
      <c r="T584" s="77">
        <v>1</v>
      </c>
      <c r="U584" s="77">
        <v>0</v>
      </c>
      <c r="V584" s="77">
        <v>20</v>
      </c>
      <c r="W584" s="77"/>
      <c r="X584" s="77"/>
      <c r="Y584" s="77"/>
      <c r="Z584" s="77"/>
      <c r="AA584" s="77"/>
      <c r="AB584" s="77"/>
      <c r="AC584" s="81" t="s">
        <v>2704</v>
      </c>
      <c r="AD584" s="77" t="s">
        <v>2759</v>
      </c>
      <c r="AE584" s="80" t="str">
        <f>HYPERLINK("https://twitter.com/filycamara681/status/1683666828059353088")</f>
        <v>https://twitter.com/filycamara681/status/1683666828059353088</v>
      </c>
      <c r="AF584" s="79">
        <v>45132.10679398148</v>
      </c>
      <c r="AG584" s="85">
        <v>45132</v>
      </c>
      <c r="AH584" s="81" t="s">
        <v>3213</v>
      </c>
      <c r="AI584" s="77"/>
      <c r="AJ584" s="77"/>
      <c r="AK584" s="77"/>
      <c r="AL584" s="77"/>
      <c r="AM584" s="77"/>
      <c r="AN584" s="77"/>
      <c r="AO584" s="77"/>
      <c r="AP584" s="77"/>
      <c r="AQ584" s="77"/>
      <c r="AR584" s="77"/>
      <c r="AS584" s="77"/>
      <c r="AT584" s="77"/>
      <c r="AU584" s="77"/>
      <c r="AV584" s="80" t="str">
        <f>HYPERLINK("https://pbs.twimg.com/profile_images/1629269134398697473/dKF6UXFP_normal.jpg")</f>
        <v>https://pbs.twimg.com/profile_images/1629269134398697473/dKF6UXFP_normal.jpg</v>
      </c>
      <c r="AW584" s="81" t="s">
        <v>4959</v>
      </c>
      <c r="AX584" s="81" t="s">
        <v>4959</v>
      </c>
      <c r="AY584" s="77"/>
      <c r="AZ584" s="81" t="s">
        <v>5773</v>
      </c>
      <c r="BA584" s="81" t="s">
        <v>5773</v>
      </c>
      <c r="BB584" s="81" t="s">
        <v>5773</v>
      </c>
      <c r="BC584" s="81" t="s">
        <v>4959</v>
      </c>
      <c r="BD584" s="81" t="s">
        <v>5821</v>
      </c>
      <c r="BE584" s="77"/>
      <c r="BF584" s="77"/>
      <c r="BG584" s="77"/>
      <c r="BH584" s="77"/>
      <c r="BI584" s="77"/>
    </row>
    <row r="585" spans="1:61" ht="15">
      <c r="A585" s="62" t="s">
        <v>372</v>
      </c>
      <c r="B585" s="62" t="s">
        <v>299</v>
      </c>
      <c r="C585" s="63"/>
      <c r="D585" s="64"/>
      <c r="E585" s="65"/>
      <c r="F585" s="66"/>
      <c r="G585" s="63"/>
      <c r="H585" s="67"/>
      <c r="I585" s="68"/>
      <c r="J585" s="68"/>
      <c r="K585" s="32" t="s">
        <v>65</v>
      </c>
      <c r="L585" s="75">
        <v>585</v>
      </c>
      <c r="M585" s="75"/>
      <c r="N585" s="70"/>
      <c r="O585" s="77" t="s">
        <v>571</v>
      </c>
      <c r="P585" s="79">
        <v>42955.665358796294</v>
      </c>
      <c r="Q585" s="77" t="s">
        <v>1024</v>
      </c>
      <c r="R585" s="77">
        <v>0</v>
      </c>
      <c r="S585" s="77">
        <v>0</v>
      </c>
      <c r="T585" s="77">
        <v>0</v>
      </c>
      <c r="U585" s="77">
        <v>0</v>
      </c>
      <c r="V585" s="77"/>
      <c r="W585" s="77"/>
      <c r="X585" s="80" t="str">
        <f>HYPERLINK("https://www.mynetcomms.com")</f>
        <v>https://www.mynetcomms.com</v>
      </c>
      <c r="Y585" s="77" t="s">
        <v>2026</v>
      </c>
      <c r="Z585" s="77" t="s">
        <v>299</v>
      </c>
      <c r="AA585" s="77"/>
      <c r="AB585" s="77"/>
      <c r="AC585" s="81" t="s">
        <v>2735</v>
      </c>
      <c r="AD585" s="77" t="s">
        <v>2751</v>
      </c>
      <c r="AE585" s="80" t="str">
        <f>HYPERLINK("https://twitter.com/net_comms/status/894950859796234240")</f>
        <v>https://twitter.com/net_comms/status/894950859796234240</v>
      </c>
      <c r="AF585" s="79">
        <v>42955.665358796294</v>
      </c>
      <c r="AG585" s="85">
        <v>42955</v>
      </c>
      <c r="AH585" s="81" t="s">
        <v>3214</v>
      </c>
      <c r="AI585" s="77" t="b">
        <v>0</v>
      </c>
      <c r="AJ585" s="77"/>
      <c r="AK585" s="77"/>
      <c r="AL585" s="77"/>
      <c r="AM585" s="77"/>
      <c r="AN585" s="77"/>
      <c r="AO585" s="77"/>
      <c r="AP585" s="77"/>
      <c r="AQ585" s="77"/>
      <c r="AR585" s="77"/>
      <c r="AS585" s="77"/>
      <c r="AT585" s="77"/>
      <c r="AU585" s="77"/>
      <c r="AV585" s="80" t="str">
        <f>HYPERLINK("https://pbs.twimg.com/profile_images/748620904767315972/p-YTrHc4_normal.jpg")</f>
        <v>https://pbs.twimg.com/profile_images/748620904767315972/p-YTrHc4_normal.jpg</v>
      </c>
      <c r="AW585" s="81" t="s">
        <v>4960</v>
      </c>
      <c r="AX585" s="81" t="s">
        <v>4960</v>
      </c>
      <c r="AY585" s="81" t="s">
        <v>5721</v>
      </c>
      <c r="AZ585" s="81" t="s">
        <v>5773</v>
      </c>
      <c r="BA585" s="81" t="s">
        <v>5773</v>
      </c>
      <c r="BB585" s="81" t="s">
        <v>5773</v>
      </c>
      <c r="BC585" s="81" t="s">
        <v>4960</v>
      </c>
      <c r="BD585" s="81" t="s">
        <v>5822</v>
      </c>
      <c r="BE585" s="77"/>
      <c r="BF585" s="77"/>
      <c r="BG585" s="77"/>
      <c r="BH585" s="77"/>
      <c r="BI585" s="77"/>
    </row>
    <row r="586" spans="1:61" ht="15">
      <c r="A586" s="62" t="s">
        <v>373</v>
      </c>
      <c r="B586" s="62" t="s">
        <v>545</v>
      </c>
      <c r="C586" s="63"/>
      <c r="D586" s="64"/>
      <c r="E586" s="65"/>
      <c r="F586" s="66"/>
      <c r="G586" s="63"/>
      <c r="H586" s="67"/>
      <c r="I586" s="68"/>
      <c r="J586" s="68"/>
      <c r="K586" s="32" t="s">
        <v>65</v>
      </c>
      <c r="L586" s="75">
        <v>586</v>
      </c>
      <c r="M586" s="75"/>
      <c r="N586" s="70"/>
      <c r="O586" s="77" t="s">
        <v>573</v>
      </c>
      <c r="P586" s="79">
        <v>44879.384571759256</v>
      </c>
      <c r="Q586" s="77" t="s">
        <v>1025</v>
      </c>
      <c r="R586" s="77">
        <v>1</v>
      </c>
      <c r="S586" s="77">
        <v>3</v>
      </c>
      <c r="T586" s="77">
        <v>0</v>
      </c>
      <c r="U586" s="77">
        <v>0</v>
      </c>
      <c r="V586" s="77"/>
      <c r="W586" s="77"/>
      <c r="X586" s="77"/>
      <c r="Y586" s="77"/>
      <c r="Z586" s="77" t="s">
        <v>2095</v>
      </c>
      <c r="AA586" s="77"/>
      <c r="AB586" s="77"/>
      <c r="AC586" s="81" t="s">
        <v>2704</v>
      </c>
      <c r="AD586" s="77" t="s">
        <v>2759</v>
      </c>
      <c r="AE586" s="80" t="str">
        <f>HYPERLINK("https://twitter.com/garcias_jmichel/status/1592083362508050433")</f>
        <v>https://twitter.com/garcias_jmichel/status/1592083362508050433</v>
      </c>
      <c r="AF586" s="79">
        <v>44879.384571759256</v>
      </c>
      <c r="AG586" s="85">
        <v>44879</v>
      </c>
      <c r="AH586" s="81" t="s">
        <v>3215</v>
      </c>
      <c r="AI586" s="77"/>
      <c r="AJ586" s="77"/>
      <c r="AK586" s="77"/>
      <c r="AL586" s="77"/>
      <c r="AM586" s="77"/>
      <c r="AN586" s="77"/>
      <c r="AO586" s="77"/>
      <c r="AP586" s="77"/>
      <c r="AQ586" s="77"/>
      <c r="AR586" s="77"/>
      <c r="AS586" s="77"/>
      <c r="AT586" s="77"/>
      <c r="AU586" s="77"/>
      <c r="AV586" s="80" t="str">
        <f>HYPERLINK("https://pbs.twimg.com/profile_images/1703406086269644800/jvdMyk9f_normal.jpg")</f>
        <v>https://pbs.twimg.com/profile_images/1703406086269644800/jvdMyk9f_normal.jpg</v>
      </c>
      <c r="AW586" s="81" t="s">
        <v>4961</v>
      </c>
      <c r="AX586" s="81" t="s">
        <v>5714</v>
      </c>
      <c r="AY586" s="81" t="s">
        <v>5767</v>
      </c>
      <c r="AZ586" s="81" t="s">
        <v>5714</v>
      </c>
      <c r="BA586" s="81" t="s">
        <v>5773</v>
      </c>
      <c r="BB586" s="81" t="s">
        <v>5773</v>
      </c>
      <c r="BC586" s="81" t="s">
        <v>5714</v>
      </c>
      <c r="BD586" s="81" t="s">
        <v>5823</v>
      </c>
      <c r="BE586" s="77"/>
      <c r="BF586" s="77"/>
      <c r="BG586" s="77"/>
      <c r="BH586" s="77"/>
      <c r="BI586" s="77"/>
    </row>
    <row r="587" spans="1:61" ht="15">
      <c r="A587" s="62" t="s">
        <v>373</v>
      </c>
      <c r="B587" s="62" t="s">
        <v>546</v>
      </c>
      <c r="C587" s="63"/>
      <c r="D587" s="64"/>
      <c r="E587" s="65"/>
      <c r="F587" s="66"/>
      <c r="G587" s="63"/>
      <c r="H587" s="67"/>
      <c r="I587" s="68"/>
      <c r="J587" s="68"/>
      <c r="K587" s="32" t="s">
        <v>65</v>
      </c>
      <c r="L587" s="75">
        <v>587</v>
      </c>
      <c r="M587" s="75"/>
      <c r="N587" s="70"/>
      <c r="O587" s="77" t="s">
        <v>573</v>
      </c>
      <c r="P587" s="79">
        <v>44879.384571759256</v>
      </c>
      <c r="Q587" s="77" t="s">
        <v>1025</v>
      </c>
      <c r="R587" s="77">
        <v>1</v>
      </c>
      <c r="S587" s="77">
        <v>3</v>
      </c>
      <c r="T587" s="77">
        <v>0</v>
      </c>
      <c r="U587" s="77">
        <v>0</v>
      </c>
      <c r="V587" s="77"/>
      <c r="W587" s="77"/>
      <c r="X587" s="77"/>
      <c r="Y587" s="77"/>
      <c r="Z587" s="77" t="s">
        <v>2095</v>
      </c>
      <c r="AA587" s="77"/>
      <c r="AB587" s="77"/>
      <c r="AC587" s="81" t="s">
        <v>2704</v>
      </c>
      <c r="AD587" s="77" t="s">
        <v>2759</v>
      </c>
      <c r="AE587" s="80" t="str">
        <f>HYPERLINK("https://twitter.com/garcias_jmichel/status/1592083362508050433")</f>
        <v>https://twitter.com/garcias_jmichel/status/1592083362508050433</v>
      </c>
      <c r="AF587" s="79">
        <v>44879.384571759256</v>
      </c>
      <c r="AG587" s="85">
        <v>44879</v>
      </c>
      <c r="AH587" s="81" t="s">
        <v>3215</v>
      </c>
      <c r="AI587" s="77"/>
      <c r="AJ587" s="77"/>
      <c r="AK587" s="77"/>
      <c r="AL587" s="77"/>
      <c r="AM587" s="77"/>
      <c r="AN587" s="77"/>
      <c r="AO587" s="77"/>
      <c r="AP587" s="77"/>
      <c r="AQ587" s="77"/>
      <c r="AR587" s="77"/>
      <c r="AS587" s="77"/>
      <c r="AT587" s="77"/>
      <c r="AU587" s="77"/>
      <c r="AV587" s="80" t="str">
        <f>HYPERLINK("https://pbs.twimg.com/profile_images/1703406086269644800/jvdMyk9f_normal.jpg")</f>
        <v>https://pbs.twimg.com/profile_images/1703406086269644800/jvdMyk9f_normal.jpg</v>
      </c>
      <c r="AW587" s="81" t="s">
        <v>4961</v>
      </c>
      <c r="AX587" s="81" t="s">
        <v>5714</v>
      </c>
      <c r="AY587" s="81" t="s">
        <v>5767</v>
      </c>
      <c r="AZ587" s="81" t="s">
        <v>5714</v>
      </c>
      <c r="BA587" s="81" t="s">
        <v>5773</v>
      </c>
      <c r="BB587" s="81" t="s">
        <v>5773</v>
      </c>
      <c r="BC587" s="81" t="s">
        <v>5714</v>
      </c>
      <c r="BD587" s="81" t="s">
        <v>5823</v>
      </c>
      <c r="BE587" s="77"/>
      <c r="BF587" s="77"/>
      <c r="BG587" s="77"/>
      <c r="BH587" s="77"/>
      <c r="BI587" s="77"/>
    </row>
    <row r="588" spans="1:61" ht="15">
      <c r="A588" s="62" t="s">
        <v>373</v>
      </c>
      <c r="B588" s="62" t="s">
        <v>547</v>
      </c>
      <c r="C588" s="63"/>
      <c r="D588" s="64"/>
      <c r="E588" s="65"/>
      <c r="F588" s="66"/>
      <c r="G588" s="63"/>
      <c r="H588" s="67"/>
      <c r="I588" s="68"/>
      <c r="J588" s="68"/>
      <c r="K588" s="32" t="s">
        <v>65</v>
      </c>
      <c r="L588" s="75">
        <v>588</v>
      </c>
      <c r="M588" s="75"/>
      <c r="N588" s="70"/>
      <c r="O588" s="77" t="s">
        <v>573</v>
      </c>
      <c r="P588" s="79">
        <v>44879.384571759256</v>
      </c>
      <c r="Q588" s="77" t="s">
        <v>1025</v>
      </c>
      <c r="R588" s="77">
        <v>1</v>
      </c>
      <c r="S588" s="77">
        <v>3</v>
      </c>
      <c r="T588" s="77">
        <v>0</v>
      </c>
      <c r="U588" s="77">
        <v>0</v>
      </c>
      <c r="V588" s="77"/>
      <c r="W588" s="77"/>
      <c r="X588" s="77"/>
      <c r="Y588" s="77"/>
      <c r="Z588" s="77" t="s">
        <v>2095</v>
      </c>
      <c r="AA588" s="77"/>
      <c r="AB588" s="77"/>
      <c r="AC588" s="81" t="s">
        <v>2704</v>
      </c>
      <c r="AD588" s="77" t="s">
        <v>2759</v>
      </c>
      <c r="AE588" s="80" t="str">
        <f>HYPERLINK("https://twitter.com/garcias_jmichel/status/1592083362508050433")</f>
        <v>https://twitter.com/garcias_jmichel/status/1592083362508050433</v>
      </c>
      <c r="AF588" s="79">
        <v>44879.384571759256</v>
      </c>
      <c r="AG588" s="85">
        <v>44879</v>
      </c>
      <c r="AH588" s="81" t="s">
        <v>3215</v>
      </c>
      <c r="AI588" s="77"/>
      <c r="AJ588" s="77"/>
      <c r="AK588" s="77"/>
      <c r="AL588" s="77"/>
      <c r="AM588" s="77"/>
      <c r="AN588" s="77"/>
      <c r="AO588" s="77"/>
      <c r="AP588" s="77"/>
      <c r="AQ588" s="77"/>
      <c r="AR588" s="77"/>
      <c r="AS588" s="77"/>
      <c r="AT588" s="77"/>
      <c r="AU588" s="77"/>
      <c r="AV588" s="80" t="str">
        <f>HYPERLINK("https://pbs.twimg.com/profile_images/1703406086269644800/jvdMyk9f_normal.jpg")</f>
        <v>https://pbs.twimg.com/profile_images/1703406086269644800/jvdMyk9f_normal.jpg</v>
      </c>
      <c r="AW588" s="81" t="s">
        <v>4961</v>
      </c>
      <c r="AX588" s="81" t="s">
        <v>5714</v>
      </c>
      <c r="AY588" s="81" t="s">
        <v>5767</v>
      </c>
      <c r="AZ588" s="81" t="s">
        <v>5714</v>
      </c>
      <c r="BA588" s="81" t="s">
        <v>5773</v>
      </c>
      <c r="BB588" s="81" t="s">
        <v>5773</v>
      </c>
      <c r="BC588" s="81" t="s">
        <v>5714</v>
      </c>
      <c r="BD588" s="81" t="s">
        <v>5823</v>
      </c>
      <c r="BE588" s="77"/>
      <c r="BF588" s="77"/>
      <c r="BG588" s="77"/>
      <c r="BH588" s="77"/>
      <c r="BI588" s="77"/>
    </row>
    <row r="589" spans="1:61" ht="15">
      <c r="A589" s="62" t="s">
        <v>373</v>
      </c>
      <c r="B589" s="62" t="s">
        <v>547</v>
      </c>
      <c r="C589" s="63"/>
      <c r="D589" s="64"/>
      <c r="E589" s="65"/>
      <c r="F589" s="66"/>
      <c r="G589" s="63"/>
      <c r="H589" s="67"/>
      <c r="I589" s="68"/>
      <c r="J589" s="68"/>
      <c r="K589" s="32" t="s">
        <v>65</v>
      </c>
      <c r="L589" s="75">
        <v>589</v>
      </c>
      <c r="M589" s="75"/>
      <c r="N589" s="70"/>
      <c r="O589" s="77" t="s">
        <v>573</v>
      </c>
      <c r="P589" s="79">
        <v>44879.384571759256</v>
      </c>
      <c r="Q589" s="77" t="s">
        <v>1025</v>
      </c>
      <c r="R589" s="77">
        <v>1</v>
      </c>
      <c r="S589" s="77">
        <v>3</v>
      </c>
      <c r="T589" s="77">
        <v>0</v>
      </c>
      <c r="U589" s="77">
        <v>0</v>
      </c>
      <c r="V589" s="77"/>
      <c r="W589" s="77"/>
      <c r="X589" s="77"/>
      <c r="Y589" s="77"/>
      <c r="Z589" s="77" t="s">
        <v>2095</v>
      </c>
      <c r="AA589" s="77"/>
      <c r="AB589" s="77"/>
      <c r="AC589" s="81" t="s">
        <v>2704</v>
      </c>
      <c r="AD589" s="77" t="s">
        <v>2759</v>
      </c>
      <c r="AE589" s="80" t="str">
        <f>HYPERLINK("https://twitter.com/garcias_jmichel/status/1592083362508050433")</f>
        <v>https://twitter.com/garcias_jmichel/status/1592083362508050433</v>
      </c>
      <c r="AF589" s="79">
        <v>44879.384571759256</v>
      </c>
      <c r="AG589" s="85">
        <v>44879</v>
      </c>
      <c r="AH589" s="81" t="s">
        <v>3215</v>
      </c>
      <c r="AI589" s="77"/>
      <c r="AJ589" s="77"/>
      <c r="AK589" s="77"/>
      <c r="AL589" s="77"/>
      <c r="AM589" s="77"/>
      <c r="AN589" s="77"/>
      <c r="AO589" s="77"/>
      <c r="AP589" s="77"/>
      <c r="AQ589" s="77"/>
      <c r="AR589" s="77"/>
      <c r="AS589" s="77"/>
      <c r="AT589" s="77"/>
      <c r="AU589" s="77"/>
      <c r="AV589" s="80" t="str">
        <f>HYPERLINK("https://pbs.twimg.com/profile_images/1703406086269644800/jvdMyk9f_normal.jpg")</f>
        <v>https://pbs.twimg.com/profile_images/1703406086269644800/jvdMyk9f_normal.jpg</v>
      </c>
      <c r="AW589" s="81" t="s">
        <v>4961</v>
      </c>
      <c r="AX589" s="81" t="s">
        <v>5714</v>
      </c>
      <c r="AY589" s="81" t="s">
        <v>5767</v>
      </c>
      <c r="AZ589" s="81" t="s">
        <v>5714</v>
      </c>
      <c r="BA589" s="81" t="s">
        <v>5773</v>
      </c>
      <c r="BB589" s="81" t="s">
        <v>5773</v>
      </c>
      <c r="BC589" s="81" t="s">
        <v>5714</v>
      </c>
      <c r="BD589" s="81" t="s">
        <v>5823</v>
      </c>
      <c r="BE589" s="77"/>
      <c r="BF589" s="77"/>
      <c r="BG589" s="77"/>
      <c r="BH589" s="77"/>
      <c r="BI589" s="77"/>
    </row>
    <row r="590" spans="1:61" ht="15">
      <c r="A590" s="62" t="s">
        <v>373</v>
      </c>
      <c r="B590" s="62" t="s">
        <v>548</v>
      </c>
      <c r="C590" s="63"/>
      <c r="D590" s="64"/>
      <c r="E590" s="65"/>
      <c r="F590" s="66"/>
      <c r="G590" s="63"/>
      <c r="H590" s="67"/>
      <c r="I590" s="68"/>
      <c r="J590" s="68"/>
      <c r="K590" s="32" t="s">
        <v>65</v>
      </c>
      <c r="L590" s="75">
        <v>590</v>
      </c>
      <c r="M590" s="75"/>
      <c r="N590" s="70"/>
      <c r="O590" s="77" t="s">
        <v>573</v>
      </c>
      <c r="P590" s="79">
        <v>44879.384571759256</v>
      </c>
      <c r="Q590" s="77" t="s">
        <v>1025</v>
      </c>
      <c r="R590" s="77">
        <v>1</v>
      </c>
      <c r="S590" s="77">
        <v>3</v>
      </c>
      <c r="T590" s="77">
        <v>0</v>
      </c>
      <c r="U590" s="77">
        <v>0</v>
      </c>
      <c r="V590" s="77"/>
      <c r="W590" s="77"/>
      <c r="X590" s="77"/>
      <c r="Y590" s="77"/>
      <c r="Z590" s="77" t="s">
        <v>2095</v>
      </c>
      <c r="AA590" s="77"/>
      <c r="AB590" s="77"/>
      <c r="AC590" s="81" t="s">
        <v>2704</v>
      </c>
      <c r="AD590" s="77" t="s">
        <v>2759</v>
      </c>
      <c r="AE590" s="80" t="str">
        <f>HYPERLINK("https://twitter.com/garcias_jmichel/status/1592083362508050433")</f>
        <v>https://twitter.com/garcias_jmichel/status/1592083362508050433</v>
      </c>
      <c r="AF590" s="79">
        <v>44879.384571759256</v>
      </c>
      <c r="AG590" s="85">
        <v>44879</v>
      </c>
      <c r="AH590" s="81" t="s">
        <v>3215</v>
      </c>
      <c r="AI590" s="77"/>
      <c r="AJ590" s="77"/>
      <c r="AK590" s="77"/>
      <c r="AL590" s="77"/>
      <c r="AM590" s="77"/>
      <c r="AN590" s="77"/>
      <c r="AO590" s="77"/>
      <c r="AP590" s="77"/>
      <c r="AQ590" s="77"/>
      <c r="AR590" s="77"/>
      <c r="AS590" s="77"/>
      <c r="AT590" s="77"/>
      <c r="AU590" s="77"/>
      <c r="AV590" s="80" t="str">
        <f>HYPERLINK("https://pbs.twimg.com/profile_images/1703406086269644800/jvdMyk9f_normal.jpg")</f>
        <v>https://pbs.twimg.com/profile_images/1703406086269644800/jvdMyk9f_normal.jpg</v>
      </c>
      <c r="AW590" s="81" t="s">
        <v>4961</v>
      </c>
      <c r="AX590" s="81" t="s">
        <v>5714</v>
      </c>
      <c r="AY590" s="81" t="s">
        <v>5767</v>
      </c>
      <c r="AZ590" s="81" t="s">
        <v>5714</v>
      </c>
      <c r="BA590" s="81" t="s">
        <v>5773</v>
      </c>
      <c r="BB590" s="81" t="s">
        <v>5773</v>
      </c>
      <c r="BC590" s="81" t="s">
        <v>5714</v>
      </c>
      <c r="BD590" s="81" t="s">
        <v>5823</v>
      </c>
      <c r="BE590" s="77"/>
      <c r="BF590" s="77"/>
      <c r="BG590" s="77"/>
      <c r="BH590" s="77"/>
      <c r="BI590" s="77"/>
    </row>
    <row r="591" spans="1:61" ht="15">
      <c r="A591" s="62" t="s">
        <v>373</v>
      </c>
      <c r="B591" s="62" t="s">
        <v>549</v>
      </c>
      <c r="C591" s="63"/>
      <c r="D591" s="64"/>
      <c r="E591" s="65"/>
      <c r="F591" s="66"/>
      <c r="G591" s="63"/>
      <c r="H591" s="67"/>
      <c r="I591" s="68"/>
      <c r="J591" s="68"/>
      <c r="K591" s="32" t="s">
        <v>65</v>
      </c>
      <c r="L591" s="75">
        <v>591</v>
      </c>
      <c r="M591" s="75"/>
      <c r="N591" s="70"/>
      <c r="O591" s="77" t="s">
        <v>572</v>
      </c>
      <c r="P591" s="79">
        <v>44879.384571759256</v>
      </c>
      <c r="Q591" s="77" t="s">
        <v>1025</v>
      </c>
      <c r="R591" s="77">
        <v>1</v>
      </c>
      <c r="S591" s="77">
        <v>3</v>
      </c>
      <c r="T591" s="77">
        <v>0</v>
      </c>
      <c r="U591" s="77">
        <v>0</v>
      </c>
      <c r="V591" s="77"/>
      <c r="W591" s="77"/>
      <c r="X591" s="77"/>
      <c r="Y591" s="77"/>
      <c r="Z591" s="77" t="s">
        <v>2095</v>
      </c>
      <c r="AA591" s="77"/>
      <c r="AB591" s="77"/>
      <c r="AC591" s="81" t="s">
        <v>2704</v>
      </c>
      <c r="AD591" s="77" t="s">
        <v>2759</v>
      </c>
      <c r="AE591" s="80" t="str">
        <f>HYPERLINK("https://twitter.com/garcias_jmichel/status/1592083362508050433")</f>
        <v>https://twitter.com/garcias_jmichel/status/1592083362508050433</v>
      </c>
      <c r="AF591" s="79">
        <v>44879.384571759256</v>
      </c>
      <c r="AG591" s="85">
        <v>44879</v>
      </c>
      <c r="AH591" s="81" t="s">
        <v>3215</v>
      </c>
      <c r="AI591" s="77"/>
      <c r="AJ591" s="77"/>
      <c r="AK591" s="77"/>
      <c r="AL591" s="77"/>
      <c r="AM591" s="77"/>
      <c r="AN591" s="77"/>
      <c r="AO591" s="77"/>
      <c r="AP591" s="77"/>
      <c r="AQ591" s="77"/>
      <c r="AR591" s="77"/>
      <c r="AS591" s="77"/>
      <c r="AT591" s="77"/>
      <c r="AU591" s="77"/>
      <c r="AV591" s="80" t="str">
        <f>HYPERLINK("https://pbs.twimg.com/profile_images/1703406086269644800/jvdMyk9f_normal.jpg")</f>
        <v>https://pbs.twimg.com/profile_images/1703406086269644800/jvdMyk9f_normal.jpg</v>
      </c>
      <c r="AW591" s="81" t="s">
        <v>4961</v>
      </c>
      <c r="AX591" s="81" t="s">
        <v>5714</v>
      </c>
      <c r="AY591" s="81" t="s">
        <v>5767</v>
      </c>
      <c r="AZ591" s="81" t="s">
        <v>5714</v>
      </c>
      <c r="BA591" s="81" t="s">
        <v>5773</v>
      </c>
      <c r="BB591" s="81" t="s">
        <v>5773</v>
      </c>
      <c r="BC591" s="81" t="s">
        <v>5714</v>
      </c>
      <c r="BD591" s="81" t="s">
        <v>5823</v>
      </c>
      <c r="BE591" s="77"/>
      <c r="BF591" s="77"/>
      <c r="BG591" s="77"/>
      <c r="BH591" s="77"/>
      <c r="BI591" s="77"/>
    </row>
    <row r="592" spans="1:61" ht="15">
      <c r="A592" s="62" t="s">
        <v>373</v>
      </c>
      <c r="B592" s="62" t="s">
        <v>299</v>
      </c>
      <c r="C592" s="63"/>
      <c r="D592" s="64"/>
      <c r="E592" s="65"/>
      <c r="F592" s="66"/>
      <c r="G592" s="63"/>
      <c r="H592" s="67"/>
      <c r="I592" s="68"/>
      <c r="J592" s="68"/>
      <c r="K592" s="32" t="s">
        <v>65</v>
      </c>
      <c r="L592" s="75">
        <v>592</v>
      </c>
      <c r="M592" s="75"/>
      <c r="N592" s="70"/>
      <c r="O592" s="77" t="s">
        <v>573</v>
      </c>
      <c r="P592" s="79">
        <v>44879.384571759256</v>
      </c>
      <c r="Q592" s="77" t="s">
        <v>1025</v>
      </c>
      <c r="R592" s="77">
        <v>1</v>
      </c>
      <c r="S592" s="77">
        <v>3</v>
      </c>
      <c r="T592" s="77">
        <v>0</v>
      </c>
      <c r="U592" s="77">
        <v>0</v>
      </c>
      <c r="V592" s="77"/>
      <c r="W592" s="77"/>
      <c r="X592" s="77"/>
      <c r="Y592" s="77"/>
      <c r="Z592" s="77" t="s">
        <v>2095</v>
      </c>
      <c r="AA592" s="77"/>
      <c r="AB592" s="77"/>
      <c r="AC592" s="81" t="s">
        <v>2704</v>
      </c>
      <c r="AD592" s="77" t="s">
        <v>2759</v>
      </c>
      <c r="AE592" s="80" t="str">
        <f>HYPERLINK("https://twitter.com/garcias_jmichel/status/1592083362508050433")</f>
        <v>https://twitter.com/garcias_jmichel/status/1592083362508050433</v>
      </c>
      <c r="AF592" s="79">
        <v>44879.384571759256</v>
      </c>
      <c r="AG592" s="85">
        <v>44879</v>
      </c>
      <c r="AH592" s="81" t="s">
        <v>3215</v>
      </c>
      <c r="AI592" s="77"/>
      <c r="AJ592" s="77"/>
      <c r="AK592" s="77"/>
      <c r="AL592" s="77"/>
      <c r="AM592" s="77"/>
      <c r="AN592" s="77"/>
      <c r="AO592" s="77"/>
      <c r="AP592" s="77"/>
      <c r="AQ592" s="77"/>
      <c r="AR592" s="77"/>
      <c r="AS592" s="77"/>
      <c r="AT592" s="77"/>
      <c r="AU592" s="77"/>
      <c r="AV592" s="80" t="str">
        <f>HYPERLINK("https://pbs.twimg.com/profile_images/1703406086269644800/jvdMyk9f_normal.jpg")</f>
        <v>https://pbs.twimg.com/profile_images/1703406086269644800/jvdMyk9f_normal.jpg</v>
      </c>
      <c r="AW592" s="81" t="s">
        <v>4961</v>
      </c>
      <c r="AX592" s="81" t="s">
        <v>5714</v>
      </c>
      <c r="AY592" s="81" t="s">
        <v>5767</v>
      </c>
      <c r="AZ592" s="81" t="s">
        <v>5714</v>
      </c>
      <c r="BA592" s="81" t="s">
        <v>5773</v>
      </c>
      <c r="BB592" s="81" t="s">
        <v>5773</v>
      </c>
      <c r="BC592" s="81" t="s">
        <v>5714</v>
      </c>
      <c r="BD592" s="81" t="s">
        <v>5823</v>
      </c>
      <c r="BE592" s="77"/>
      <c r="BF592" s="77"/>
      <c r="BG592" s="77"/>
      <c r="BH592" s="77"/>
      <c r="BI592" s="77"/>
    </row>
    <row r="593" spans="1:61" ht="15">
      <c r="A593" s="62" t="s">
        <v>373</v>
      </c>
      <c r="B593" s="62" t="s">
        <v>550</v>
      </c>
      <c r="C593" s="63"/>
      <c r="D593" s="64"/>
      <c r="E593" s="65"/>
      <c r="F593" s="66"/>
      <c r="G593" s="63"/>
      <c r="H593" s="67"/>
      <c r="I593" s="68"/>
      <c r="J593" s="68"/>
      <c r="K593" s="32" t="s">
        <v>65</v>
      </c>
      <c r="L593" s="75">
        <v>593</v>
      </c>
      <c r="M593" s="75"/>
      <c r="N593" s="70"/>
      <c r="O593" s="77" t="s">
        <v>573</v>
      </c>
      <c r="P593" s="79">
        <v>44879.384571759256</v>
      </c>
      <c r="Q593" s="77" t="s">
        <v>1025</v>
      </c>
      <c r="R593" s="77">
        <v>1</v>
      </c>
      <c r="S593" s="77">
        <v>3</v>
      </c>
      <c r="T593" s="77">
        <v>0</v>
      </c>
      <c r="U593" s="77">
        <v>0</v>
      </c>
      <c r="V593" s="77"/>
      <c r="W593" s="77"/>
      <c r="X593" s="77"/>
      <c r="Y593" s="77"/>
      <c r="Z593" s="77" t="s">
        <v>2095</v>
      </c>
      <c r="AA593" s="77"/>
      <c r="AB593" s="77"/>
      <c r="AC593" s="81" t="s">
        <v>2704</v>
      </c>
      <c r="AD593" s="77" t="s">
        <v>2759</v>
      </c>
      <c r="AE593" s="80" t="str">
        <f>HYPERLINK("https://twitter.com/garcias_jmichel/status/1592083362508050433")</f>
        <v>https://twitter.com/garcias_jmichel/status/1592083362508050433</v>
      </c>
      <c r="AF593" s="79">
        <v>44879.384571759256</v>
      </c>
      <c r="AG593" s="85">
        <v>44879</v>
      </c>
      <c r="AH593" s="81" t="s">
        <v>3215</v>
      </c>
      <c r="AI593" s="77"/>
      <c r="AJ593" s="77"/>
      <c r="AK593" s="77"/>
      <c r="AL593" s="77"/>
      <c r="AM593" s="77"/>
      <c r="AN593" s="77"/>
      <c r="AO593" s="77"/>
      <c r="AP593" s="77"/>
      <c r="AQ593" s="77"/>
      <c r="AR593" s="77"/>
      <c r="AS593" s="77"/>
      <c r="AT593" s="77"/>
      <c r="AU593" s="77"/>
      <c r="AV593" s="80" t="str">
        <f>HYPERLINK("https://pbs.twimg.com/profile_images/1703406086269644800/jvdMyk9f_normal.jpg")</f>
        <v>https://pbs.twimg.com/profile_images/1703406086269644800/jvdMyk9f_normal.jpg</v>
      </c>
      <c r="AW593" s="81" t="s">
        <v>4961</v>
      </c>
      <c r="AX593" s="81" t="s">
        <v>5714</v>
      </c>
      <c r="AY593" s="81" t="s">
        <v>5767</v>
      </c>
      <c r="AZ593" s="81" t="s">
        <v>5714</v>
      </c>
      <c r="BA593" s="81" t="s">
        <v>5773</v>
      </c>
      <c r="BB593" s="81" t="s">
        <v>5773</v>
      </c>
      <c r="BC593" s="81" t="s">
        <v>5714</v>
      </c>
      <c r="BD593" s="81" t="s">
        <v>5823</v>
      </c>
      <c r="BE593" s="77"/>
      <c r="BF593" s="77"/>
      <c r="BG593" s="77"/>
      <c r="BH593" s="77"/>
      <c r="BI593" s="77"/>
    </row>
    <row r="594" spans="1:61" ht="15">
      <c r="A594" s="62" t="s">
        <v>374</v>
      </c>
      <c r="B594" s="62" t="s">
        <v>551</v>
      </c>
      <c r="C594" s="63"/>
      <c r="D594" s="64"/>
      <c r="E594" s="65"/>
      <c r="F594" s="66"/>
      <c r="G594" s="63"/>
      <c r="H594" s="67"/>
      <c r="I594" s="68"/>
      <c r="J594" s="68"/>
      <c r="K594" s="32" t="s">
        <v>65</v>
      </c>
      <c r="L594" s="75">
        <v>594</v>
      </c>
      <c r="M594" s="75"/>
      <c r="N594" s="70"/>
      <c r="O594" s="77" t="s">
        <v>574</v>
      </c>
      <c r="P594" s="79">
        <v>44904.957280092596</v>
      </c>
      <c r="Q594" s="77" t="s">
        <v>1026</v>
      </c>
      <c r="R594" s="77">
        <v>0</v>
      </c>
      <c r="S594" s="77">
        <v>0</v>
      </c>
      <c r="T594" s="77">
        <v>0</v>
      </c>
      <c r="U594" s="77">
        <v>0</v>
      </c>
      <c r="V594" s="77"/>
      <c r="W594" s="77"/>
      <c r="X594" s="77"/>
      <c r="Y594" s="77"/>
      <c r="Z594" s="77" t="s">
        <v>2096</v>
      </c>
      <c r="AA594" s="77"/>
      <c r="AB594" s="77"/>
      <c r="AC594" s="81" t="s">
        <v>2701</v>
      </c>
      <c r="AD594" s="77" t="s">
        <v>2764</v>
      </c>
      <c r="AE594" s="80" t="str">
        <f>HYPERLINK("https://twitter.com/laurieciss/status/1601350599156830208")</f>
        <v>https://twitter.com/laurieciss/status/1601350599156830208</v>
      </c>
      <c r="AF594" s="79">
        <v>44904.957280092596</v>
      </c>
      <c r="AG594" s="85">
        <v>44904</v>
      </c>
      <c r="AH594" s="81" t="s">
        <v>3216</v>
      </c>
      <c r="AI594" s="77"/>
      <c r="AJ594" s="77"/>
      <c r="AK594" s="77"/>
      <c r="AL594" s="77"/>
      <c r="AM594" s="77"/>
      <c r="AN594" s="77"/>
      <c r="AO594" s="77"/>
      <c r="AP594" s="77"/>
      <c r="AQ594" s="77"/>
      <c r="AR594" s="77"/>
      <c r="AS594" s="77"/>
      <c r="AT594" s="77"/>
      <c r="AU594" s="77"/>
      <c r="AV594" s="80" t="str">
        <f>HYPERLINK("https://pbs.twimg.com/profile_images/2067772740/Twitt_normal.jpg")</f>
        <v>https://pbs.twimg.com/profile_images/2067772740/Twitt_normal.jpg</v>
      </c>
      <c r="AW594" s="81" t="s">
        <v>4962</v>
      </c>
      <c r="AX594" s="81" t="s">
        <v>4962</v>
      </c>
      <c r="AY594" s="81" t="s">
        <v>5768</v>
      </c>
      <c r="AZ594" s="81" t="s">
        <v>5773</v>
      </c>
      <c r="BA594" s="81" t="s">
        <v>4963</v>
      </c>
      <c r="BB594" s="81" t="s">
        <v>5773</v>
      </c>
      <c r="BC594" s="81" t="s">
        <v>4963</v>
      </c>
      <c r="BD594" s="77">
        <v>548287703</v>
      </c>
      <c r="BE594" s="77"/>
      <c r="BF594" s="77"/>
      <c r="BG594" s="77"/>
      <c r="BH594" s="77"/>
      <c r="BI594" s="77"/>
    </row>
    <row r="595" spans="1:61" ht="15">
      <c r="A595" s="62" t="s">
        <v>374</v>
      </c>
      <c r="B595" s="62" t="s">
        <v>550</v>
      </c>
      <c r="C595" s="63"/>
      <c r="D595" s="64"/>
      <c r="E595" s="65"/>
      <c r="F595" s="66"/>
      <c r="G595" s="63"/>
      <c r="H595" s="67"/>
      <c r="I595" s="68"/>
      <c r="J595" s="68"/>
      <c r="K595" s="32" t="s">
        <v>65</v>
      </c>
      <c r="L595" s="75">
        <v>595</v>
      </c>
      <c r="M595" s="75"/>
      <c r="N595" s="70"/>
      <c r="O595" s="77" t="s">
        <v>574</v>
      </c>
      <c r="P595" s="79">
        <v>44904.957280092596</v>
      </c>
      <c r="Q595" s="77" t="s">
        <v>1026</v>
      </c>
      <c r="R595" s="77">
        <v>0</v>
      </c>
      <c r="S595" s="77">
        <v>0</v>
      </c>
      <c r="T595" s="77">
        <v>0</v>
      </c>
      <c r="U595" s="77">
        <v>0</v>
      </c>
      <c r="V595" s="77"/>
      <c r="W595" s="77"/>
      <c r="X595" s="77"/>
      <c r="Y595" s="77"/>
      <c r="Z595" s="77" t="s">
        <v>2096</v>
      </c>
      <c r="AA595" s="77"/>
      <c r="AB595" s="77"/>
      <c r="AC595" s="81" t="s">
        <v>2701</v>
      </c>
      <c r="AD595" s="77" t="s">
        <v>2764</v>
      </c>
      <c r="AE595" s="80" t="str">
        <f>HYPERLINK("https://twitter.com/laurieciss/status/1601350599156830208")</f>
        <v>https://twitter.com/laurieciss/status/1601350599156830208</v>
      </c>
      <c r="AF595" s="79">
        <v>44904.957280092596</v>
      </c>
      <c r="AG595" s="85">
        <v>44904</v>
      </c>
      <c r="AH595" s="81" t="s">
        <v>3216</v>
      </c>
      <c r="AI595" s="77"/>
      <c r="AJ595" s="77"/>
      <c r="AK595" s="77"/>
      <c r="AL595" s="77"/>
      <c r="AM595" s="77"/>
      <c r="AN595" s="77"/>
      <c r="AO595" s="77"/>
      <c r="AP595" s="77"/>
      <c r="AQ595" s="77"/>
      <c r="AR595" s="77"/>
      <c r="AS595" s="77"/>
      <c r="AT595" s="77"/>
      <c r="AU595" s="77"/>
      <c r="AV595" s="80" t="str">
        <f>HYPERLINK("https://pbs.twimg.com/profile_images/2067772740/Twitt_normal.jpg")</f>
        <v>https://pbs.twimg.com/profile_images/2067772740/Twitt_normal.jpg</v>
      </c>
      <c r="AW595" s="81" t="s">
        <v>4962</v>
      </c>
      <c r="AX595" s="81" t="s">
        <v>4962</v>
      </c>
      <c r="AY595" s="81" t="s">
        <v>5768</v>
      </c>
      <c r="AZ595" s="81" t="s">
        <v>5773</v>
      </c>
      <c r="BA595" s="81" t="s">
        <v>4963</v>
      </c>
      <c r="BB595" s="81" t="s">
        <v>5773</v>
      </c>
      <c r="BC595" s="81" t="s">
        <v>4963</v>
      </c>
      <c r="BD595" s="77">
        <v>548287703</v>
      </c>
      <c r="BE595" s="77"/>
      <c r="BF595" s="77"/>
      <c r="BG595" s="77"/>
      <c r="BH595" s="77"/>
      <c r="BI595" s="77"/>
    </row>
    <row r="596" spans="1:61" ht="15">
      <c r="A596" s="62" t="s">
        <v>375</v>
      </c>
      <c r="B596" s="62" t="s">
        <v>375</v>
      </c>
      <c r="C596" s="63"/>
      <c r="D596" s="64"/>
      <c r="E596" s="65"/>
      <c r="F596" s="66"/>
      <c r="G596" s="63"/>
      <c r="H596" s="67"/>
      <c r="I596" s="68"/>
      <c r="J596" s="68"/>
      <c r="K596" s="32" t="s">
        <v>65</v>
      </c>
      <c r="L596" s="75">
        <v>596</v>
      </c>
      <c r="M596" s="75"/>
      <c r="N596" s="70"/>
      <c r="O596" s="77" t="s">
        <v>179</v>
      </c>
      <c r="P596" s="79">
        <v>44903.46512731481</v>
      </c>
      <c r="Q596" s="77" t="s">
        <v>1027</v>
      </c>
      <c r="R596" s="77">
        <v>2</v>
      </c>
      <c r="S596" s="77">
        <v>3</v>
      </c>
      <c r="T596" s="77">
        <v>0</v>
      </c>
      <c r="U596" s="77">
        <v>1</v>
      </c>
      <c r="V596" s="77"/>
      <c r="W596" s="77"/>
      <c r="X596" s="80" t="str">
        <f>HYPERLINK("https://www.altereco.media/cW0")</f>
        <v>https://www.altereco.media/cW0</v>
      </c>
      <c r="Y596" s="77" t="s">
        <v>2027</v>
      </c>
      <c r="Z596" s="77"/>
      <c r="AA596" s="77"/>
      <c r="AB596" s="77"/>
      <c r="AC596" s="81" t="s">
        <v>2736</v>
      </c>
      <c r="AD596" s="77" t="s">
        <v>2759</v>
      </c>
      <c r="AE596" s="80" t="str">
        <f>HYPERLINK("https://twitter.com/altereco_/status/1600809861150801922")</f>
        <v>https://twitter.com/altereco_/status/1600809861150801922</v>
      </c>
      <c r="AF596" s="79">
        <v>44903.46512731481</v>
      </c>
      <c r="AG596" s="85">
        <v>44903</v>
      </c>
      <c r="AH596" s="81" t="s">
        <v>3217</v>
      </c>
      <c r="AI596" s="77" t="b">
        <v>0</v>
      </c>
      <c r="AJ596" s="77"/>
      <c r="AK596" s="77"/>
      <c r="AL596" s="77"/>
      <c r="AM596" s="77"/>
      <c r="AN596" s="77"/>
      <c r="AO596" s="77"/>
      <c r="AP596" s="77"/>
      <c r="AQ596" s="77"/>
      <c r="AR596" s="77"/>
      <c r="AS596" s="77"/>
      <c r="AT596" s="77"/>
      <c r="AU596" s="77"/>
      <c r="AV596" s="80" t="str">
        <f>HYPERLINK("https://pbs.twimg.com/profile_images/1164192706660315136/LGUyT95O_normal.jpg")</f>
        <v>https://pbs.twimg.com/profile_images/1164192706660315136/LGUyT95O_normal.jpg</v>
      </c>
      <c r="AW596" s="81" t="s">
        <v>4963</v>
      </c>
      <c r="AX596" s="81" t="s">
        <v>4963</v>
      </c>
      <c r="AY596" s="77"/>
      <c r="AZ596" s="81" t="s">
        <v>5773</v>
      </c>
      <c r="BA596" s="81" t="s">
        <v>5773</v>
      </c>
      <c r="BB596" s="81" t="s">
        <v>5773</v>
      </c>
      <c r="BC596" s="81" t="s">
        <v>4963</v>
      </c>
      <c r="BD596" s="77">
        <v>546720037</v>
      </c>
      <c r="BE596" s="77"/>
      <c r="BF596" s="77"/>
      <c r="BG596" s="77"/>
      <c r="BH596" s="77"/>
      <c r="BI596" s="77"/>
    </row>
    <row r="597" spans="1:61" ht="15">
      <c r="A597" s="62" t="s">
        <v>374</v>
      </c>
      <c r="B597" s="62" t="s">
        <v>375</v>
      </c>
      <c r="C597" s="63"/>
      <c r="D597" s="64"/>
      <c r="E597" s="65"/>
      <c r="F597" s="66"/>
      <c r="G597" s="63"/>
      <c r="H597" s="67"/>
      <c r="I597" s="68"/>
      <c r="J597" s="68"/>
      <c r="K597" s="32" t="s">
        <v>65</v>
      </c>
      <c r="L597" s="75">
        <v>597</v>
      </c>
      <c r="M597" s="75"/>
      <c r="N597" s="70"/>
      <c r="O597" s="77" t="s">
        <v>575</v>
      </c>
      <c r="P597" s="79">
        <v>44904.957280092596</v>
      </c>
      <c r="Q597" s="77" t="s">
        <v>1026</v>
      </c>
      <c r="R597" s="77">
        <v>0</v>
      </c>
      <c r="S597" s="77">
        <v>0</v>
      </c>
      <c r="T597" s="77">
        <v>0</v>
      </c>
      <c r="U597" s="77">
        <v>0</v>
      </c>
      <c r="V597" s="77"/>
      <c r="W597" s="77"/>
      <c r="X597" s="77"/>
      <c r="Y597" s="77"/>
      <c r="Z597" s="77" t="s">
        <v>2096</v>
      </c>
      <c r="AA597" s="77"/>
      <c r="AB597" s="77"/>
      <c r="AC597" s="81" t="s">
        <v>2701</v>
      </c>
      <c r="AD597" s="77" t="s">
        <v>2764</v>
      </c>
      <c r="AE597" s="80" t="str">
        <f>HYPERLINK("https://twitter.com/laurieciss/status/1601350599156830208")</f>
        <v>https://twitter.com/laurieciss/status/1601350599156830208</v>
      </c>
      <c r="AF597" s="79">
        <v>44904.957280092596</v>
      </c>
      <c r="AG597" s="85">
        <v>44904</v>
      </c>
      <c r="AH597" s="81" t="s">
        <v>3216</v>
      </c>
      <c r="AI597" s="77"/>
      <c r="AJ597" s="77"/>
      <c r="AK597" s="77"/>
      <c r="AL597" s="77"/>
      <c r="AM597" s="77"/>
      <c r="AN597" s="77"/>
      <c r="AO597" s="77"/>
      <c r="AP597" s="77"/>
      <c r="AQ597" s="77"/>
      <c r="AR597" s="77"/>
      <c r="AS597" s="77"/>
      <c r="AT597" s="77"/>
      <c r="AU597" s="77"/>
      <c r="AV597" s="80" t="str">
        <f>HYPERLINK("https://pbs.twimg.com/profile_images/2067772740/Twitt_normal.jpg")</f>
        <v>https://pbs.twimg.com/profile_images/2067772740/Twitt_normal.jpg</v>
      </c>
      <c r="AW597" s="81" t="s">
        <v>4962</v>
      </c>
      <c r="AX597" s="81" t="s">
        <v>4962</v>
      </c>
      <c r="AY597" s="81" t="s">
        <v>5768</v>
      </c>
      <c r="AZ597" s="81" t="s">
        <v>5773</v>
      </c>
      <c r="BA597" s="81" t="s">
        <v>4963</v>
      </c>
      <c r="BB597" s="81" t="s">
        <v>5773</v>
      </c>
      <c r="BC597" s="81" t="s">
        <v>4963</v>
      </c>
      <c r="BD597" s="77">
        <v>548287703</v>
      </c>
      <c r="BE597" s="77"/>
      <c r="BF597" s="77"/>
      <c r="BG597" s="77"/>
      <c r="BH597" s="77"/>
      <c r="BI597" s="77"/>
    </row>
    <row r="598" spans="1:61" ht="15">
      <c r="A598" s="62" t="s">
        <v>374</v>
      </c>
      <c r="B598" s="62" t="s">
        <v>299</v>
      </c>
      <c r="C598" s="63"/>
      <c r="D598" s="64"/>
      <c r="E598" s="65"/>
      <c r="F598" s="66"/>
      <c r="G598" s="63"/>
      <c r="H598" s="67"/>
      <c r="I598" s="68"/>
      <c r="J598" s="68"/>
      <c r="K598" s="32" t="s">
        <v>65</v>
      </c>
      <c r="L598" s="75">
        <v>598</v>
      </c>
      <c r="M598" s="75"/>
      <c r="N598" s="70"/>
      <c r="O598" s="77" t="s">
        <v>574</v>
      </c>
      <c r="P598" s="79">
        <v>44904.957280092596</v>
      </c>
      <c r="Q598" s="77" t="s">
        <v>1026</v>
      </c>
      <c r="R598" s="77">
        <v>0</v>
      </c>
      <c r="S598" s="77">
        <v>0</v>
      </c>
      <c r="T598" s="77">
        <v>0</v>
      </c>
      <c r="U598" s="77">
        <v>0</v>
      </c>
      <c r="V598" s="77"/>
      <c r="W598" s="77"/>
      <c r="X598" s="77"/>
      <c r="Y598" s="77"/>
      <c r="Z598" s="77" t="s">
        <v>2096</v>
      </c>
      <c r="AA598" s="77"/>
      <c r="AB598" s="77"/>
      <c r="AC598" s="81" t="s">
        <v>2701</v>
      </c>
      <c r="AD598" s="77" t="s">
        <v>2764</v>
      </c>
      <c r="AE598" s="80" t="str">
        <f>HYPERLINK("https://twitter.com/laurieciss/status/1601350599156830208")</f>
        <v>https://twitter.com/laurieciss/status/1601350599156830208</v>
      </c>
      <c r="AF598" s="79">
        <v>44904.957280092596</v>
      </c>
      <c r="AG598" s="85">
        <v>44904</v>
      </c>
      <c r="AH598" s="81" t="s">
        <v>3216</v>
      </c>
      <c r="AI598" s="77"/>
      <c r="AJ598" s="77"/>
      <c r="AK598" s="77"/>
      <c r="AL598" s="77"/>
      <c r="AM598" s="77"/>
      <c r="AN598" s="77"/>
      <c r="AO598" s="77"/>
      <c r="AP598" s="77"/>
      <c r="AQ598" s="77"/>
      <c r="AR598" s="77"/>
      <c r="AS598" s="77"/>
      <c r="AT598" s="77"/>
      <c r="AU598" s="77"/>
      <c r="AV598" s="80" t="str">
        <f>HYPERLINK("https://pbs.twimg.com/profile_images/2067772740/Twitt_normal.jpg")</f>
        <v>https://pbs.twimg.com/profile_images/2067772740/Twitt_normal.jpg</v>
      </c>
      <c r="AW598" s="81" t="s">
        <v>4962</v>
      </c>
      <c r="AX598" s="81" t="s">
        <v>4962</v>
      </c>
      <c r="AY598" s="81" t="s">
        <v>5768</v>
      </c>
      <c r="AZ598" s="81" t="s">
        <v>5773</v>
      </c>
      <c r="BA598" s="81" t="s">
        <v>4963</v>
      </c>
      <c r="BB598" s="81" t="s">
        <v>5773</v>
      </c>
      <c r="BC598" s="81" t="s">
        <v>4963</v>
      </c>
      <c r="BD598" s="77">
        <v>548287703</v>
      </c>
      <c r="BE598" s="77"/>
      <c r="BF598" s="77"/>
      <c r="BG598" s="77"/>
      <c r="BH598" s="77"/>
      <c r="BI598" s="77"/>
    </row>
    <row r="599" spans="1:61" ht="15">
      <c r="A599" s="62" t="s">
        <v>376</v>
      </c>
      <c r="B599" s="62" t="s">
        <v>376</v>
      </c>
      <c r="C599" s="63"/>
      <c r="D599" s="64"/>
      <c r="E599" s="65"/>
      <c r="F599" s="66"/>
      <c r="G599" s="63"/>
      <c r="H599" s="67"/>
      <c r="I599" s="68"/>
      <c r="J599" s="68"/>
      <c r="K599" s="32" t="s">
        <v>65</v>
      </c>
      <c r="L599" s="75">
        <v>599</v>
      </c>
      <c r="M599" s="75"/>
      <c r="N599" s="70"/>
      <c r="O599" s="77" t="s">
        <v>179</v>
      </c>
      <c r="P599" s="79">
        <v>43045.69789351852</v>
      </c>
      <c r="Q599" s="77" t="s">
        <v>1028</v>
      </c>
      <c r="R599" s="77">
        <v>0</v>
      </c>
      <c r="S599" s="77">
        <v>0</v>
      </c>
      <c r="T599" s="77">
        <v>0</v>
      </c>
      <c r="U599" s="77">
        <v>0</v>
      </c>
      <c r="V599" s="77"/>
      <c r="W599" s="81" t="s">
        <v>1841</v>
      </c>
      <c r="X599" s="80" t="str">
        <f>HYPERLINK("https://www.instagram.com/p/BbKTSxHBdI9/")</f>
        <v>https://www.instagram.com/p/BbKTSxHBdI9/</v>
      </c>
      <c r="Y599" s="77" t="s">
        <v>2028</v>
      </c>
      <c r="Z599" s="77"/>
      <c r="AA599" s="77"/>
      <c r="AB599" s="77"/>
      <c r="AC599" s="81" t="s">
        <v>2737</v>
      </c>
      <c r="AD599" s="77" t="s">
        <v>2762</v>
      </c>
      <c r="AE599" s="80" t="str">
        <f>HYPERLINK("https://twitter.com/marinasalad/status/927577560560566273")</f>
        <v>https://twitter.com/marinasalad/status/927577560560566273</v>
      </c>
      <c r="AF599" s="79">
        <v>43045.69789351852</v>
      </c>
      <c r="AG599" s="85">
        <v>43045</v>
      </c>
      <c r="AH599" s="81" t="s">
        <v>3218</v>
      </c>
      <c r="AI599" s="77" t="b">
        <v>0</v>
      </c>
      <c r="AJ599" s="77" t="s">
        <v>3885</v>
      </c>
      <c r="AK599" s="77" t="s">
        <v>3890</v>
      </c>
      <c r="AL599" s="77" t="s">
        <v>3893</v>
      </c>
      <c r="AM599" s="77" t="s">
        <v>3899</v>
      </c>
      <c r="AN599" s="77" t="s">
        <v>3906</v>
      </c>
      <c r="AO599" s="77" t="s">
        <v>3914</v>
      </c>
      <c r="AP599" s="77" t="s">
        <v>3917</v>
      </c>
      <c r="AQ599" s="77"/>
      <c r="AR599" s="77"/>
      <c r="AS599" s="77"/>
      <c r="AT599" s="77"/>
      <c r="AU599" s="77"/>
      <c r="AV599" s="80" t="str">
        <f>HYPERLINK("https://pbs.twimg.com/profile_images/1128745342399393795/iAC7cGdx_normal.jpg")</f>
        <v>https://pbs.twimg.com/profile_images/1128745342399393795/iAC7cGdx_normal.jpg</v>
      </c>
      <c r="AW599" s="81" t="s">
        <v>4964</v>
      </c>
      <c r="AX599" s="81" t="s">
        <v>4964</v>
      </c>
      <c r="AY599" s="77"/>
      <c r="AZ599" s="81" t="s">
        <v>5773</v>
      </c>
      <c r="BA599" s="81" t="s">
        <v>5773</v>
      </c>
      <c r="BB599" s="81" t="s">
        <v>5773</v>
      </c>
      <c r="BC599" s="81" t="s">
        <v>4964</v>
      </c>
      <c r="BD599" s="77">
        <v>237788311</v>
      </c>
      <c r="BE599" s="77"/>
      <c r="BF599" s="77"/>
      <c r="BG599" s="77"/>
      <c r="BH599" s="77"/>
      <c r="BI599" s="77"/>
    </row>
    <row r="600" spans="1:61" ht="15">
      <c r="A600" s="62" t="s">
        <v>377</v>
      </c>
      <c r="B600" s="62" t="s">
        <v>443</v>
      </c>
      <c r="C600" s="63"/>
      <c r="D600" s="64"/>
      <c r="E600" s="65"/>
      <c r="F600" s="66"/>
      <c r="G600" s="63"/>
      <c r="H600" s="67"/>
      <c r="I600" s="68"/>
      <c r="J600" s="68"/>
      <c r="K600" s="32" t="s">
        <v>65</v>
      </c>
      <c r="L600" s="75">
        <v>600</v>
      </c>
      <c r="M600" s="75"/>
      <c r="N600" s="70"/>
      <c r="O600" s="77" t="s">
        <v>571</v>
      </c>
      <c r="P600" s="79">
        <v>43181.516238425924</v>
      </c>
      <c r="Q600" s="77" t="s">
        <v>1029</v>
      </c>
      <c r="R600" s="77">
        <v>0</v>
      </c>
      <c r="S600" s="77">
        <v>0</v>
      </c>
      <c r="T600" s="77">
        <v>0</v>
      </c>
      <c r="U600" s="77">
        <v>0</v>
      </c>
      <c r="V600" s="77"/>
      <c r="W600" s="77"/>
      <c r="X600" s="77"/>
      <c r="Y600" s="77"/>
      <c r="Z600" s="77" t="s">
        <v>443</v>
      </c>
      <c r="AA600" s="77"/>
      <c r="AB600" s="77"/>
      <c r="AC600" s="81" t="s">
        <v>2709</v>
      </c>
      <c r="AD600" s="77" t="s">
        <v>2751</v>
      </c>
      <c r="AE600" s="80" t="str">
        <f>HYPERLINK("https://twitter.com/rebrandlybuzz/status/976796480152403968")</f>
        <v>https://twitter.com/rebrandlybuzz/status/976796480152403968</v>
      </c>
      <c r="AF600" s="79">
        <v>43181.516238425924</v>
      </c>
      <c r="AG600" s="85">
        <v>43181</v>
      </c>
      <c r="AH600" s="81" t="s">
        <v>3219</v>
      </c>
      <c r="AI600" s="77"/>
      <c r="AJ600" s="77"/>
      <c r="AK600" s="77"/>
      <c r="AL600" s="77"/>
      <c r="AM600" s="77"/>
      <c r="AN600" s="77"/>
      <c r="AO600" s="77"/>
      <c r="AP600" s="77"/>
      <c r="AQ600" s="77"/>
      <c r="AR600" s="77"/>
      <c r="AS600" s="77"/>
      <c r="AT600" s="77"/>
      <c r="AU600" s="77"/>
      <c r="AV600" s="80" t="str">
        <f>HYPERLINK("https://pbs.twimg.com/profile_images/690490929225060352/un1gtCOX_normal.png")</f>
        <v>https://pbs.twimg.com/profile_images/690490929225060352/un1gtCOX_normal.png</v>
      </c>
      <c r="AW600" s="81" t="s">
        <v>4965</v>
      </c>
      <c r="AX600" s="81" t="s">
        <v>4965</v>
      </c>
      <c r="AY600" s="81" t="s">
        <v>5769</v>
      </c>
      <c r="AZ600" s="81" t="s">
        <v>5773</v>
      </c>
      <c r="BA600" s="81" t="s">
        <v>5773</v>
      </c>
      <c r="BB600" s="81" t="s">
        <v>5773</v>
      </c>
      <c r="BC600" s="81" t="s">
        <v>4965</v>
      </c>
      <c r="BD600" s="77">
        <v>3955124956</v>
      </c>
      <c r="BE600" s="77"/>
      <c r="BF600" s="77"/>
      <c r="BG600" s="77"/>
      <c r="BH600" s="77"/>
      <c r="BI600" s="77"/>
    </row>
    <row r="601" spans="1:61" ht="15">
      <c r="A601" s="62" t="s">
        <v>378</v>
      </c>
      <c r="B601" s="62" t="s">
        <v>378</v>
      </c>
      <c r="C601" s="63"/>
      <c r="D601" s="64"/>
      <c r="E601" s="65"/>
      <c r="F601" s="66"/>
      <c r="G601" s="63"/>
      <c r="H601" s="67"/>
      <c r="I601" s="68"/>
      <c r="J601" s="68"/>
      <c r="K601" s="32" t="s">
        <v>65</v>
      </c>
      <c r="L601" s="75">
        <v>601</v>
      </c>
      <c r="M601" s="75"/>
      <c r="N601" s="70"/>
      <c r="O601" s="77" t="s">
        <v>179</v>
      </c>
      <c r="P601" s="79">
        <v>40854.98388888889</v>
      </c>
      <c r="Q601" s="77" t="s">
        <v>1030</v>
      </c>
      <c r="R601" s="77">
        <v>0</v>
      </c>
      <c r="S601" s="77">
        <v>0</v>
      </c>
      <c r="T601" s="77">
        <v>0</v>
      </c>
      <c r="U601" s="77">
        <v>0</v>
      </c>
      <c r="V601" s="77"/>
      <c r="W601" s="81" t="s">
        <v>1842</v>
      </c>
      <c r="X601" s="80" t="str">
        <f>HYPERLINK("http://bit.ly/tDPpxp")</f>
        <v>http://bit.ly/tDPpxp</v>
      </c>
      <c r="Y601" s="77" t="s">
        <v>1984</v>
      </c>
      <c r="Z601" s="77"/>
      <c r="AA601" s="77"/>
      <c r="AB601" s="77"/>
      <c r="AC601" s="81" t="s">
        <v>2738</v>
      </c>
      <c r="AD601" s="77" t="s">
        <v>2751</v>
      </c>
      <c r="AE601" s="80" t="str">
        <f>HYPERLINK("https://twitter.com/jobminerin/status/133689388893876225")</f>
        <v>https://twitter.com/jobminerin/status/133689388893876225</v>
      </c>
      <c r="AF601" s="79">
        <v>40854.98388888889</v>
      </c>
      <c r="AG601" s="85">
        <v>40854</v>
      </c>
      <c r="AH601" s="81" t="s">
        <v>3220</v>
      </c>
      <c r="AI601" s="77" t="b">
        <v>0</v>
      </c>
      <c r="AJ601" s="77"/>
      <c r="AK601" s="77"/>
      <c r="AL601" s="77"/>
      <c r="AM601" s="77"/>
      <c r="AN601" s="77"/>
      <c r="AO601" s="77"/>
      <c r="AP601" s="77"/>
      <c r="AQ601" s="77"/>
      <c r="AR601" s="77"/>
      <c r="AS601" s="77"/>
      <c r="AT601" s="77"/>
      <c r="AU601" s="77"/>
      <c r="AV601" s="80" t="str">
        <f>HYPERLINK("https://pbs.twimg.com/profile_images/1530161872/Job_Miner_normal.jpg")</f>
        <v>https://pbs.twimg.com/profile_images/1530161872/Job_Miner_normal.jpg</v>
      </c>
      <c r="AW601" s="81" t="s">
        <v>4966</v>
      </c>
      <c r="AX601" s="81" t="s">
        <v>4966</v>
      </c>
      <c r="AY601" s="77"/>
      <c r="AZ601" s="81" t="s">
        <v>5773</v>
      </c>
      <c r="BA601" s="81" t="s">
        <v>5773</v>
      </c>
      <c r="BB601" s="81" t="s">
        <v>5773</v>
      </c>
      <c r="BC601" s="81" t="s">
        <v>4966</v>
      </c>
      <c r="BD601" s="77">
        <v>368155591</v>
      </c>
      <c r="BE601" s="77"/>
      <c r="BF601" s="77"/>
      <c r="BG601" s="77"/>
      <c r="BH601" s="77"/>
      <c r="BI601" s="77"/>
    </row>
    <row r="602" spans="1:61" ht="15">
      <c r="A602" s="62" t="s">
        <v>378</v>
      </c>
      <c r="B602" s="62" t="s">
        <v>378</v>
      </c>
      <c r="C602" s="63"/>
      <c r="D602" s="64"/>
      <c r="E602" s="65"/>
      <c r="F602" s="66"/>
      <c r="G602" s="63"/>
      <c r="H602" s="67"/>
      <c r="I602" s="68"/>
      <c r="J602" s="68"/>
      <c r="K602" s="32" t="s">
        <v>65</v>
      </c>
      <c r="L602" s="75">
        <v>602</v>
      </c>
      <c r="M602" s="75"/>
      <c r="N602" s="70"/>
      <c r="O602" s="77" t="s">
        <v>179</v>
      </c>
      <c r="P602" s="79">
        <v>41176.733402777776</v>
      </c>
      <c r="Q602" s="77" t="s">
        <v>1031</v>
      </c>
      <c r="R602" s="77">
        <v>0</v>
      </c>
      <c r="S602" s="77">
        <v>0</v>
      </c>
      <c r="T602" s="77">
        <v>0</v>
      </c>
      <c r="U602" s="77">
        <v>0</v>
      </c>
      <c r="V602" s="77"/>
      <c r="W602" s="81" t="s">
        <v>1842</v>
      </c>
      <c r="X602" s="80" t="str">
        <f>HYPERLINK("http://bit.ly/Sr86zP")</f>
        <v>http://bit.ly/Sr86zP</v>
      </c>
      <c r="Y602" s="77" t="s">
        <v>1984</v>
      </c>
      <c r="Z602" s="77"/>
      <c r="AA602" s="77"/>
      <c r="AB602" s="77"/>
      <c r="AC602" s="81" t="s">
        <v>2738</v>
      </c>
      <c r="AD602" s="77" t="s">
        <v>2751</v>
      </c>
      <c r="AE602" s="80" t="str">
        <f>HYPERLINK("https://twitter.com/jobminerin/status/250287505935585280")</f>
        <v>https://twitter.com/jobminerin/status/250287505935585280</v>
      </c>
      <c r="AF602" s="79">
        <v>41176.733402777776</v>
      </c>
      <c r="AG602" s="85">
        <v>41176</v>
      </c>
      <c r="AH602" s="81" t="s">
        <v>3221</v>
      </c>
      <c r="AI602" s="77" t="b">
        <v>0</v>
      </c>
      <c r="AJ602" s="77"/>
      <c r="AK602" s="77"/>
      <c r="AL602" s="77"/>
      <c r="AM602" s="77"/>
      <c r="AN602" s="77"/>
      <c r="AO602" s="77"/>
      <c r="AP602" s="77"/>
      <c r="AQ602" s="77"/>
      <c r="AR602" s="77"/>
      <c r="AS602" s="77"/>
      <c r="AT602" s="77"/>
      <c r="AU602" s="77"/>
      <c r="AV602" s="80" t="str">
        <f>HYPERLINK("https://pbs.twimg.com/profile_images/1530161872/Job_Miner_normal.jpg")</f>
        <v>https://pbs.twimg.com/profile_images/1530161872/Job_Miner_normal.jpg</v>
      </c>
      <c r="AW602" s="81" t="s">
        <v>4967</v>
      </c>
      <c r="AX602" s="81" t="s">
        <v>4967</v>
      </c>
      <c r="AY602" s="77"/>
      <c r="AZ602" s="81" t="s">
        <v>5773</v>
      </c>
      <c r="BA602" s="81" t="s">
        <v>5773</v>
      </c>
      <c r="BB602" s="81" t="s">
        <v>5773</v>
      </c>
      <c r="BC602" s="81" t="s">
        <v>4967</v>
      </c>
      <c r="BD602" s="77">
        <v>368155591</v>
      </c>
      <c r="BE602" s="77"/>
      <c r="BF602" s="77"/>
      <c r="BG602" s="77"/>
      <c r="BH602" s="77"/>
      <c r="BI602" s="77"/>
    </row>
    <row r="603" spans="1:61" ht="15">
      <c r="A603" s="62" t="s">
        <v>379</v>
      </c>
      <c r="B603" s="62" t="s">
        <v>439</v>
      </c>
      <c r="C603" s="63"/>
      <c r="D603" s="64"/>
      <c r="E603" s="65"/>
      <c r="F603" s="66"/>
      <c r="G603" s="63"/>
      <c r="H603" s="67"/>
      <c r="I603" s="68"/>
      <c r="J603" s="68"/>
      <c r="K603" s="32" t="s">
        <v>65</v>
      </c>
      <c r="L603" s="75">
        <v>603</v>
      </c>
      <c r="M603" s="75"/>
      <c r="N603" s="70"/>
      <c r="O603" s="77" t="s">
        <v>571</v>
      </c>
      <c r="P603" s="79">
        <v>43213.438101851854</v>
      </c>
      <c r="Q603" s="77" t="s">
        <v>1032</v>
      </c>
      <c r="R603" s="77">
        <v>0</v>
      </c>
      <c r="S603" s="77">
        <v>0</v>
      </c>
      <c r="T603" s="77">
        <v>0</v>
      </c>
      <c r="U603" s="77">
        <v>0</v>
      </c>
      <c r="V603" s="77"/>
      <c r="W603" s="81" t="s">
        <v>1843</v>
      </c>
      <c r="X603" s="80" t="str">
        <f>HYPERLINK("http://bit.ly/2DNutt8")</f>
        <v>http://bit.ly/2DNutt8</v>
      </c>
      <c r="Y603" s="77" t="s">
        <v>1984</v>
      </c>
      <c r="Z603" s="77" t="s">
        <v>2063</v>
      </c>
      <c r="AA603" s="77" t="s">
        <v>2289</v>
      </c>
      <c r="AB603" s="77" t="s">
        <v>2696</v>
      </c>
      <c r="AC603" s="81" t="s">
        <v>2739</v>
      </c>
      <c r="AD603" s="77" t="s">
        <v>2751</v>
      </c>
      <c r="AE603" s="80" t="str">
        <f>HYPERLINK("https://twitter.com/stcstudios/status/988364577472688128")</f>
        <v>https://twitter.com/stcstudios/status/988364577472688128</v>
      </c>
      <c r="AF603" s="79">
        <v>43213.438101851854</v>
      </c>
      <c r="AG603" s="85">
        <v>43213</v>
      </c>
      <c r="AH603" s="81" t="s">
        <v>3222</v>
      </c>
      <c r="AI603" s="77" t="b">
        <v>0</v>
      </c>
      <c r="AJ603" s="77"/>
      <c r="AK603" s="77"/>
      <c r="AL603" s="77"/>
      <c r="AM603" s="77"/>
      <c r="AN603" s="77"/>
      <c r="AO603" s="77"/>
      <c r="AP603" s="77"/>
      <c r="AQ603" s="77" t="s">
        <v>4103</v>
      </c>
      <c r="AR603" s="77"/>
      <c r="AS603" s="77"/>
      <c r="AT603" s="77"/>
      <c r="AU603" s="77"/>
      <c r="AV603" s="80" t="str">
        <f>HYPERLINK("https://pbs.twimg.com/media/DbdgWA3WkAAwY1z.jpg")</f>
        <v>https://pbs.twimg.com/media/DbdgWA3WkAAwY1z.jpg</v>
      </c>
      <c r="AW603" s="81" t="s">
        <v>4968</v>
      </c>
      <c r="AX603" s="81" t="s">
        <v>4968</v>
      </c>
      <c r="AY603" s="77"/>
      <c r="AZ603" s="81" t="s">
        <v>5773</v>
      </c>
      <c r="BA603" s="81" t="s">
        <v>5773</v>
      </c>
      <c r="BB603" s="81" t="s">
        <v>5773</v>
      </c>
      <c r="BC603" s="81" t="s">
        <v>4968</v>
      </c>
      <c r="BD603" s="77">
        <v>1089075913</v>
      </c>
      <c r="BE603" s="77"/>
      <c r="BF603" s="77"/>
      <c r="BG603" s="77"/>
      <c r="BH603" s="77"/>
      <c r="BI603" s="77"/>
    </row>
    <row r="604" spans="1:61" ht="15">
      <c r="A604" s="62" t="s">
        <v>379</v>
      </c>
      <c r="B604" s="62" t="s">
        <v>299</v>
      </c>
      <c r="C604" s="63"/>
      <c r="D604" s="64"/>
      <c r="E604" s="65"/>
      <c r="F604" s="66"/>
      <c r="G604" s="63"/>
      <c r="H604" s="67"/>
      <c r="I604" s="68"/>
      <c r="J604" s="68"/>
      <c r="K604" s="32" t="s">
        <v>65</v>
      </c>
      <c r="L604" s="75">
        <v>604</v>
      </c>
      <c r="M604" s="75"/>
      <c r="N604" s="70"/>
      <c r="O604" s="77" t="s">
        <v>571</v>
      </c>
      <c r="P604" s="79">
        <v>43213.438101851854</v>
      </c>
      <c r="Q604" s="77" t="s">
        <v>1032</v>
      </c>
      <c r="R604" s="77">
        <v>0</v>
      </c>
      <c r="S604" s="77">
        <v>0</v>
      </c>
      <c r="T604" s="77">
        <v>0</v>
      </c>
      <c r="U604" s="77">
        <v>0</v>
      </c>
      <c r="V604" s="77"/>
      <c r="W604" s="81" t="s">
        <v>1843</v>
      </c>
      <c r="X604" s="80" t="str">
        <f>HYPERLINK("http://bit.ly/2DNutt8")</f>
        <v>http://bit.ly/2DNutt8</v>
      </c>
      <c r="Y604" s="77" t="s">
        <v>1984</v>
      </c>
      <c r="Z604" s="77" t="s">
        <v>2063</v>
      </c>
      <c r="AA604" s="77" t="s">
        <v>2289</v>
      </c>
      <c r="AB604" s="77" t="s">
        <v>2696</v>
      </c>
      <c r="AC604" s="81" t="s">
        <v>2739</v>
      </c>
      <c r="AD604" s="77" t="s">
        <v>2751</v>
      </c>
      <c r="AE604" s="80" t="str">
        <f>HYPERLINK("https://twitter.com/stcstudios/status/988364577472688128")</f>
        <v>https://twitter.com/stcstudios/status/988364577472688128</v>
      </c>
      <c r="AF604" s="79">
        <v>43213.438101851854</v>
      </c>
      <c r="AG604" s="85">
        <v>43213</v>
      </c>
      <c r="AH604" s="81" t="s">
        <v>3222</v>
      </c>
      <c r="AI604" s="77" t="b">
        <v>0</v>
      </c>
      <c r="AJ604" s="77"/>
      <c r="AK604" s="77"/>
      <c r="AL604" s="77"/>
      <c r="AM604" s="77"/>
      <c r="AN604" s="77"/>
      <c r="AO604" s="77"/>
      <c r="AP604" s="77"/>
      <c r="AQ604" s="77" t="s">
        <v>4103</v>
      </c>
      <c r="AR604" s="77"/>
      <c r="AS604" s="77"/>
      <c r="AT604" s="77"/>
      <c r="AU604" s="77"/>
      <c r="AV604" s="80" t="str">
        <f>HYPERLINK("https://pbs.twimg.com/media/DbdgWA3WkAAwY1z.jpg")</f>
        <v>https://pbs.twimg.com/media/DbdgWA3WkAAwY1z.jpg</v>
      </c>
      <c r="AW604" s="81" t="s">
        <v>4968</v>
      </c>
      <c r="AX604" s="81" t="s">
        <v>4968</v>
      </c>
      <c r="AY604" s="77"/>
      <c r="AZ604" s="81" t="s">
        <v>5773</v>
      </c>
      <c r="BA604" s="81" t="s">
        <v>5773</v>
      </c>
      <c r="BB604" s="81" t="s">
        <v>5773</v>
      </c>
      <c r="BC604" s="81" t="s">
        <v>4968</v>
      </c>
      <c r="BD604" s="77">
        <v>1089075913</v>
      </c>
      <c r="BE604" s="77"/>
      <c r="BF604" s="77"/>
      <c r="BG604" s="77"/>
      <c r="BH604" s="77"/>
      <c r="BI604" s="77"/>
    </row>
    <row r="605" spans="1:61" ht="15">
      <c r="A605" s="62" t="s">
        <v>380</v>
      </c>
      <c r="B605" s="62" t="s">
        <v>299</v>
      </c>
      <c r="C605" s="63"/>
      <c r="D605" s="64"/>
      <c r="E605" s="65"/>
      <c r="F605" s="66"/>
      <c r="G605" s="63"/>
      <c r="H605" s="67"/>
      <c r="I605" s="68"/>
      <c r="J605" s="68"/>
      <c r="K605" s="32" t="s">
        <v>65</v>
      </c>
      <c r="L605" s="75">
        <v>605</v>
      </c>
      <c r="M605" s="75"/>
      <c r="N605" s="70"/>
      <c r="O605" s="77" t="s">
        <v>571</v>
      </c>
      <c r="P605" s="79">
        <v>41918.29368055556</v>
      </c>
      <c r="Q605" s="77" t="s">
        <v>1033</v>
      </c>
      <c r="R605" s="77">
        <v>0</v>
      </c>
      <c r="S605" s="77">
        <v>0</v>
      </c>
      <c r="T605" s="77">
        <v>0</v>
      </c>
      <c r="U605" s="77">
        <v>0</v>
      </c>
      <c r="V605" s="77"/>
      <c r="W605" s="77"/>
      <c r="X605" s="77" t="s">
        <v>1964</v>
      </c>
      <c r="Y605" s="77" t="s">
        <v>2029</v>
      </c>
      <c r="Z605" s="77" t="s">
        <v>299</v>
      </c>
      <c r="AA605" s="77"/>
      <c r="AB605" s="77"/>
      <c r="AC605" s="81" t="s">
        <v>2740</v>
      </c>
      <c r="AD605" s="77" t="s">
        <v>2751</v>
      </c>
      <c r="AE605" s="80" t="str">
        <f>HYPERLINK("https://twitter.com/twibs/status/519019955518320641")</f>
        <v>https://twitter.com/twibs/status/519019955518320641</v>
      </c>
      <c r="AF605" s="79">
        <v>41918.29368055556</v>
      </c>
      <c r="AG605" s="85">
        <v>41918</v>
      </c>
      <c r="AH605" s="81" t="s">
        <v>3223</v>
      </c>
      <c r="AI605" s="77" t="b">
        <v>0</v>
      </c>
      <c r="AJ605" s="77"/>
      <c r="AK605" s="77"/>
      <c r="AL605" s="77"/>
      <c r="AM605" s="77"/>
      <c r="AN605" s="77"/>
      <c r="AO605" s="77"/>
      <c r="AP605" s="77"/>
      <c r="AQ605" s="77"/>
      <c r="AR605" s="77"/>
      <c r="AS605" s="77"/>
      <c r="AT605" s="77"/>
      <c r="AU605" s="77"/>
      <c r="AV605" s="80" t="str">
        <f>HYPERLINK("https://pbs.twimg.com/profile_images/70171146/home_icon_normal.jpg")</f>
        <v>https://pbs.twimg.com/profile_images/70171146/home_icon_normal.jpg</v>
      </c>
      <c r="AW605" s="81" t="s">
        <v>4969</v>
      </c>
      <c r="AX605" s="81" t="s">
        <v>4969</v>
      </c>
      <c r="AY605" s="81" t="s">
        <v>5721</v>
      </c>
      <c r="AZ605" s="81" t="s">
        <v>5773</v>
      </c>
      <c r="BA605" s="81" t="s">
        <v>5773</v>
      </c>
      <c r="BB605" s="81" t="s">
        <v>5773</v>
      </c>
      <c r="BC605" s="81" t="s">
        <v>4969</v>
      </c>
      <c r="BD605" s="77">
        <v>18461544</v>
      </c>
      <c r="BE605" s="77"/>
      <c r="BF605" s="77"/>
      <c r="BG605" s="77"/>
      <c r="BH605" s="77"/>
      <c r="BI605" s="77"/>
    </row>
    <row r="606" spans="1:61" ht="15">
      <c r="A606" s="62" t="s">
        <v>381</v>
      </c>
      <c r="B606" s="62" t="s">
        <v>299</v>
      </c>
      <c r="C606" s="63"/>
      <c r="D606" s="64"/>
      <c r="E606" s="65"/>
      <c r="F606" s="66"/>
      <c r="G606" s="63"/>
      <c r="H606" s="67"/>
      <c r="I606" s="68"/>
      <c r="J606" s="68"/>
      <c r="K606" s="32" t="s">
        <v>65</v>
      </c>
      <c r="L606" s="75">
        <v>606</v>
      </c>
      <c r="M606" s="75"/>
      <c r="N606" s="70"/>
      <c r="O606" s="77" t="s">
        <v>571</v>
      </c>
      <c r="P606" s="79">
        <v>42965.30613425926</v>
      </c>
      <c r="Q606" s="77" t="s">
        <v>1034</v>
      </c>
      <c r="R606" s="77">
        <v>0</v>
      </c>
      <c r="S606" s="77">
        <v>0</v>
      </c>
      <c r="T606" s="77">
        <v>0</v>
      </c>
      <c r="U606" s="77">
        <v>0</v>
      </c>
      <c r="V606" s="77"/>
      <c r="W606" s="77"/>
      <c r="X606" s="80" t="str">
        <f>HYPERLINK("https://www.awwwards.com/sites/onbrand-17-beyond")</f>
        <v>https://www.awwwards.com/sites/onbrand-17-beyond</v>
      </c>
      <c r="Y606" s="77" t="s">
        <v>2030</v>
      </c>
      <c r="Z606" s="77" t="s">
        <v>299</v>
      </c>
      <c r="AA606" s="77"/>
      <c r="AB606" s="77"/>
      <c r="AC606" s="81" t="s">
        <v>2705</v>
      </c>
      <c r="AD606" s="77" t="s">
        <v>2751</v>
      </c>
      <c r="AE606" s="80" t="str">
        <f>HYPERLINK("https://twitter.com/iistefka/status/898444560598147072")</f>
        <v>https://twitter.com/iistefka/status/898444560598147072</v>
      </c>
      <c r="AF606" s="79">
        <v>42965.30613425926</v>
      </c>
      <c r="AG606" s="85">
        <v>42965</v>
      </c>
      <c r="AH606" s="81" t="s">
        <v>3224</v>
      </c>
      <c r="AI606" s="77" t="b">
        <v>0</v>
      </c>
      <c r="AJ606" s="77"/>
      <c r="AK606" s="77"/>
      <c r="AL606" s="77"/>
      <c r="AM606" s="77"/>
      <c r="AN606" s="77"/>
      <c r="AO606" s="77"/>
      <c r="AP606" s="77"/>
      <c r="AQ606" s="77"/>
      <c r="AR606" s="77"/>
      <c r="AS606" s="77"/>
      <c r="AT606" s="77"/>
      <c r="AU606" s="77"/>
      <c r="AV606" s="80" t="str">
        <f>HYPERLINK("https://pbs.twimg.com/profile_images/1432721216239022084/Hjg-QIdM_normal.jpg")</f>
        <v>https://pbs.twimg.com/profile_images/1432721216239022084/Hjg-QIdM_normal.jpg</v>
      </c>
      <c r="AW606" s="81" t="s">
        <v>4970</v>
      </c>
      <c r="AX606" s="81" t="s">
        <v>4970</v>
      </c>
      <c r="AY606" s="81" t="s">
        <v>5721</v>
      </c>
      <c r="AZ606" s="81" t="s">
        <v>5773</v>
      </c>
      <c r="BA606" s="81" t="s">
        <v>5773</v>
      </c>
      <c r="BB606" s="81" t="s">
        <v>5773</v>
      </c>
      <c r="BC606" s="81" t="s">
        <v>4970</v>
      </c>
      <c r="BD606" s="77">
        <v>3401908216</v>
      </c>
      <c r="BE606" s="77"/>
      <c r="BF606" s="77"/>
      <c r="BG606" s="77"/>
      <c r="BH606" s="77"/>
      <c r="BI606" s="77"/>
    </row>
    <row r="607" spans="1:61" ht="15">
      <c r="A607" s="62" t="s">
        <v>382</v>
      </c>
      <c r="B607" s="62" t="s">
        <v>382</v>
      </c>
      <c r="C607" s="63"/>
      <c r="D607" s="64"/>
      <c r="E607" s="65"/>
      <c r="F607" s="66"/>
      <c r="G607" s="63"/>
      <c r="H607" s="67"/>
      <c r="I607" s="68"/>
      <c r="J607" s="68"/>
      <c r="K607" s="32" t="s">
        <v>65</v>
      </c>
      <c r="L607" s="75">
        <v>607</v>
      </c>
      <c r="M607" s="75"/>
      <c r="N607" s="70"/>
      <c r="O607" s="77" t="s">
        <v>179</v>
      </c>
      <c r="P607" s="79">
        <v>41053.187314814815</v>
      </c>
      <c r="Q607" s="77" t="s">
        <v>1035</v>
      </c>
      <c r="R607" s="77">
        <v>0</v>
      </c>
      <c r="S607" s="77">
        <v>0</v>
      </c>
      <c r="T607" s="77">
        <v>0</v>
      </c>
      <c r="U607" s="77">
        <v>0</v>
      </c>
      <c r="V607" s="77"/>
      <c r="W607" s="77"/>
      <c r="X607" s="77" t="s">
        <v>1965</v>
      </c>
      <c r="Y607" s="77" t="s">
        <v>2031</v>
      </c>
      <c r="Z607" s="77"/>
      <c r="AA607" s="77"/>
      <c r="AB607" s="77"/>
      <c r="AC607" s="81" t="s">
        <v>2722</v>
      </c>
      <c r="AD607" s="77" t="s">
        <v>2751</v>
      </c>
      <c r="AE607" s="80" t="str">
        <f>HYPERLINK("https://twitter.com/indianjobtalkss/status/205515904962920449")</f>
        <v>https://twitter.com/indianjobtalkss/status/205515904962920449</v>
      </c>
      <c r="AF607" s="79">
        <v>41053.187314814815</v>
      </c>
      <c r="AG607" s="85">
        <v>41053</v>
      </c>
      <c r="AH607" s="81" t="s">
        <v>3225</v>
      </c>
      <c r="AI607" s="77" t="b">
        <v>0</v>
      </c>
      <c r="AJ607" s="77"/>
      <c r="AK607" s="77"/>
      <c r="AL607" s="77"/>
      <c r="AM607" s="77"/>
      <c r="AN607" s="77"/>
      <c r="AO607" s="77"/>
      <c r="AP607" s="77"/>
      <c r="AQ607" s="77"/>
      <c r="AR607" s="77"/>
      <c r="AS607" s="77"/>
      <c r="AT607" s="77"/>
      <c r="AU607" s="77"/>
      <c r="AV607" s="80" t="str">
        <f>HYPERLINK("https://abs.twimg.com/sticky/default_profile_images/default_profile_normal.png")</f>
        <v>https://abs.twimg.com/sticky/default_profile_images/default_profile_normal.png</v>
      </c>
      <c r="AW607" s="81" t="s">
        <v>4971</v>
      </c>
      <c r="AX607" s="81" t="s">
        <v>4971</v>
      </c>
      <c r="AY607" s="77"/>
      <c r="AZ607" s="81" t="s">
        <v>5773</v>
      </c>
      <c r="BA607" s="81" t="s">
        <v>5773</v>
      </c>
      <c r="BB607" s="81" t="s">
        <v>5773</v>
      </c>
      <c r="BC607" s="81" t="s">
        <v>4971</v>
      </c>
      <c r="BD607" s="77">
        <v>366017383</v>
      </c>
      <c r="BE607" s="77"/>
      <c r="BF607" s="77"/>
      <c r="BG607" s="77"/>
      <c r="BH607" s="77"/>
      <c r="BI607" s="77"/>
    </row>
    <row r="608" spans="1:61" ht="15">
      <c r="A608" s="62" t="s">
        <v>383</v>
      </c>
      <c r="B608" s="62" t="s">
        <v>439</v>
      </c>
      <c r="C608" s="63"/>
      <c r="D608" s="64"/>
      <c r="E608" s="65"/>
      <c r="F608" s="66"/>
      <c r="G608" s="63"/>
      <c r="H608" s="67"/>
      <c r="I608" s="68"/>
      <c r="J608" s="68"/>
      <c r="K608" s="32" t="s">
        <v>65</v>
      </c>
      <c r="L608" s="75">
        <v>608</v>
      </c>
      <c r="M608" s="75"/>
      <c r="N608" s="70"/>
      <c r="O608" s="77" t="s">
        <v>571</v>
      </c>
      <c r="P608" s="79">
        <v>43180.79222222222</v>
      </c>
      <c r="Q608" s="77" t="s">
        <v>1036</v>
      </c>
      <c r="R608" s="77">
        <v>0</v>
      </c>
      <c r="S608" s="77">
        <v>2</v>
      </c>
      <c r="T608" s="77">
        <v>0</v>
      </c>
      <c r="U608" s="77">
        <v>0</v>
      </c>
      <c r="V608" s="77"/>
      <c r="W608" s="81" t="s">
        <v>1844</v>
      </c>
      <c r="X608" s="80" t="str">
        <f>HYPERLINK("http://customerthink.com/will-you-become-one-with-growth-hacker-marketing/")</f>
        <v>http://customerthink.com/will-you-become-one-with-growth-hacker-marketing/</v>
      </c>
      <c r="Y608" s="77" t="s">
        <v>1981</v>
      </c>
      <c r="Z608" s="77" t="s">
        <v>2063</v>
      </c>
      <c r="AA608" s="77"/>
      <c r="AB608" s="77"/>
      <c r="AC608" s="81" t="s">
        <v>2705</v>
      </c>
      <c r="AD608" s="77" t="s">
        <v>2751</v>
      </c>
      <c r="AE608" s="80" t="str">
        <f>HYPERLINK("https://twitter.com/nodebb/status/976534106795401216")</f>
        <v>https://twitter.com/nodebb/status/976534106795401216</v>
      </c>
      <c r="AF608" s="79">
        <v>43180.79222222222</v>
      </c>
      <c r="AG608" s="85">
        <v>43180</v>
      </c>
      <c r="AH608" s="81" t="s">
        <v>3226</v>
      </c>
      <c r="AI608" s="77" t="b">
        <v>0</v>
      </c>
      <c r="AJ608" s="77"/>
      <c r="AK608" s="77"/>
      <c r="AL608" s="77"/>
      <c r="AM608" s="77"/>
      <c r="AN608" s="77"/>
      <c r="AO608" s="77"/>
      <c r="AP608" s="77"/>
      <c r="AQ608" s="77"/>
      <c r="AR608" s="77"/>
      <c r="AS608" s="77"/>
      <c r="AT608" s="77"/>
      <c r="AU608" s="77"/>
      <c r="AV608" s="80" t="str">
        <f>HYPERLINK("https://pbs.twimg.com/profile_images/1316788614630707201/sw-NxJ_U_normal.png")</f>
        <v>https://pbs.twimg.com/profile_images/1316788614630707201/sw-NxJ_U_normal.png</v>
      </c>
      <c r="AW608" s="81" t="s">
        <v>4972</v>
      </c>
      <c r="AX608" s="81" t="s">
        <v>4972</v>
      </c>
      <c r="AY608" s="77"/>
      <c r="AZ608" s="81" t="s">
        <v>5773</v>
      </c>
      <c r="BA608" s="81" t="s">
        <v>5773</v>
      </c>
      <c r="BB608" s="81" t="s">
        <v>5773</v>
      </c>
      <c r="BC608" s="81" t="s">
        <v>4972</v>
      </c>
      <c r="BD608" s="77">
        <v>1465184376</v>
      </c>
      <c r="BE608" s="77"/>
      <c r="BF608" s="77"/>
      <c r="BG608" s="77"/>
      <c r="BH608" s="77"/>
      <c r="BI608" s="77"/>
    </row>
    <row r="609" spans="1:61" ht="15">
      <c r="A609" s="62" t="s">
        <v>383</v>
      </c>
      <c r="B609" s="62" t="s">
        <v>299</v>
      </c>
      <c r="C609" s="63"/>
      <c r="D609" s="64"/>
      <c r="E609" s="65"/>
      <c r="F609" s="66"/>
      <c r="G609" s="63"/>
      <c r="H609" s="67"/>
      <c r="I609" s="68"/>
      <c r="J609" s="68"/>
      <c r="K609" s="32" t="s">
        <v>65</v>
      </c>
      <c r="L609" s="75">
        <v>609</v>
      </c>
      <c r="M609" s="75"/>
      <c r="N609" s="70"/>
      <c r="O609" s="77" t="s">
        <v>571</v>
      </c>
      <c r="P609" s="79">
        <v>43180.79222222222</v>
      </c>
      <c r="Q609" s="77" t="s">
        <v>1036</v>
      </c>
      <c r="R609" s="77">
        <v>0</v>
      </c>
      <c r="S609" s="77">
        <v>2</v>
      </c>
      <c r="T609" s="77">
        <v>0</v>
      </c>
      <c r="U609" s="77">
        <v>0</v>
      </c>
      <c r="V609" s="77"/>
      <c r="W609" s="81" t="s">
        <v>1844</v>
      </c>
      <c r="X609" s="80" t="str">
        <f>HYPERLINK("http://customerthink.com/will-you-become-one-with-growth-hacker-marketing/")</f>
        <v>http://customerthink.com/will-you-become-one-with-growth-hacker-marketing/</v>
      </c>
      <c r="Y609" s="77" t="s">
        <v>1981</v>
      </c>
      <c r="Z609" s="77" t="s">
        <v>2063</v>
      </c>
      <c r="AA609" s="77"/>
      <c r="AB609" s="77"/>
      <c r="AC609" s="81" t="s">
        <v>2705</v>
      </c>
      <c r="AD609" s="77" t="s">
        <v>2751</v>
      </c>
      <c r="AE609" s="80" t="str">
        <f>HYPERLINK("https://twitter.com/nodebb/status/976534106795401216")</f>
        <v>https://twitter.com/nodebb/status/976534106795401216</v>
      </c>
      <c r="AF609" s="79">
        <v>43180.79222222222</v>
      </c>
      <c r="AG609" s="85">
        <v>43180</v>
      </c>
      <c r="AH609" s="81" t="s">
        <v>3226</v>
      </c>
      <c r="AI609" s="77" t="b">
        <v>0</v>
      </c>
      <c r="AJ609" s="77"/>
      <c r="AK609" s="77"/>
      <c r="AL609" s="77"/>
      <c r="AM609" s="77"/>
      <c r="AN609" s="77"/>
      <c r="AO609" s="77"/>
      <c r="AP609" s="77"/>
      <c r="AQ609" s="77"/>
      <c r="AR609" s="77"/>
      <c r="AS609" s="77"/>
      <c r="AT609" s="77"/>
      <c r="AU609" s="77"/>
      <c r="AV609" s="80" t="str">
        <f>HYPERLINK("https://pbs.twimg.com/profile_images/1316788614630707201/sw-NxJ_U_normal.png")</f>
        <v>https://pbs.twimg.com/profile_images/1316788614630707201/sw-NxJ_U_normal.png</v>
      </c>
      <c r="AW609" s="81" t="s">
        <v>4972</v>
      </c>
      <c r="AX609" s="81" t="s">
        <v>4972</v>
      </c>
      <c r="AY609" s="77"/>
      <c r="AZ609" s="81" t="s">
        <v>5773</v>
      </c>
      <c r="BA609" s="81" t="s">
        <v>5773</v>
      </c>
      <c r="BB609" s="81" t="s">
        <v>5773</v>
      </c>
      <c r="BC609" s="81" t="s">
        <v>4972</v>
      </c>
      <c r="BD609" s="77">
        <v>1465184376</v>
      </c>
      <c r="BE609" s="77"/>
      <c r="BF609" s="77"/>
      <c r="BG609" s="77"/>
      <c r="BH609" s="77"/>
      <c r="BI609" s="77"/>
    </row>
    <row r="610" spans="1:61" ht="15">
      <c r="A610" s="62" t="s">
        <v>384</v>
      </c>
      <c r="B610" s="62" t="s">
        <v>384</v>
      </c>
      <c r="C610" s="63"/>
      <c r="D610" s="64"/>
      <c r="E610" s="65"/>
      <c r="F610" s="66"/>
      <c r="G610" s="63"/>
      <c r="H610" s="67"/>
      <c r="I610" s="68"/>
      <c r="J610" s="68"/>
      <c r="K610" s="32" t="s">
        <v>65</v>
      </c>
      <c r="L610" s="75">
        <v>610</v>
      </c>
      <c r="M610" s="75"/>
      <c r="N610" s="70"/>
      <c r="O610" s="77" t="s">
        <v>179</v>
      </c>
      <c r="P610" s="79">
        <v>42673.396782407406</v>
      </c>
      <c r="Q610" s="77" t="s">
        <v>1037</v>
      </c>
      <c r="R610" s="77">
        <v>0</v>
      </c>
      <c r="S610" s="77">
        <v>0</v>
      </c>
      <c r="T610" s="77">
        <v>0</v>
      </c>
      <c r="U610" s="77">
        <v>0</v>
      </c>
      <c r="V610" s="77"/>
      <c r="W610" s="77"/>
      <c r="X610" s="80" t="str">
        <f>HYPERLINK("https://goo.gl/fb/6bZeaE")</f>
        <v>https://goo.gl/fb/6bZeaE</v>
      </c>
      <c r="Y610" s="77" t="s">
        <v>1975</v>
      </c>
      <c r="Z610" s="77"/>
      <c r="AA610" s="77"/>
      <c r="AB610" s="77"/>
      <c r="AC610" s="81" t="s">
        <v>2702</v>
      </c>
      <c r="AD610" s="77" t="s">
        <v>2751</v>
      </c>
      <c r="AE610" s="80" t="str">
        <f>HYPERLINK("https://twitter.com/alljobs4u_com/status/792660154156134400")</f>
        <v>https://twitter.com/alljobs4u_com/status/792660154156134400</v>
      </c>
      <c r="AF610" s="79">
        <v>42673.396782407406</v>
      </c>
      <c r="AG610" s="85">
        <v>42673</v>
      </c>
      <c r="AH610" s="81" t="s">
        <v>3227</v>
      </c>
      <c r="AI610" s="77" t="b">
        <v>0</v>
      </c>
      <c r="AJ610" s="77"/>
      <c r="AK610" s="77"/>
      <c r="AL610" s="77"/>
      <c r="AM610" s="77"/>
      <c r="AN610" s="77"/>
      <c r="AO610" s="77"/>
      <c r="AP610" s="77"/>
      <c r="AQ610" s="77"/>
      <c r="AR610" s="77"/>
      <c r="AS610" s="77"/>
      <c r="AT610" s="77"/>
      <c r="AU610" s="77"/>
      <c r="AV610" s="80" t="str">
        <f>HYPERLINK("https://pbs.twimg.com/profile_images/453889890501943296/WeAdnVEW_normal.png")</f>
        <v>https://pbs.twimg.com/profile_images/453889890501943296/WeAdnVEW_normal.png</v>
      </c>
      <c r="AW610" s="81" t="s">
        <v>4973</v>
      </c>
      <c r="AX610" s="81" t="s">
        <v>4973</v>
      </c>
      <c r="AY610" s="77"/>
      <c r="AZ610" s="81" t="s">
        <v>5773</v>
      </c>
      <c r="BA610" s="81" t="s">
        <v>5773</v>
      </c>
      <c r="BB610" s="81" t="s">
        <v>5773</v>
      </c>
      <c r="BC610" s="81" t="s">
        <v>4973</v>
      </c>
      <c r="BD610" s="77">
        <v>2435446556</v>
      </c>
      <c r="BE610" s="77"/>
      <c r="BF610" s="77"/>
      <c r="BG610" s="77"/>
      <c r="BH610" s="77"/>
      <c r="BI610" s="77"/>
    </row>
    <row r="611" spans="1:61" ht="15">
      <c r="A611" s="62" t="s">
        <v>385</v>
      </c>
      <c r="B611" s="62" t="s">
        <v>299</v>
      </c>
      <c r="C611" s="63"/>
      <c r="D611" s="64"/>
      <c r="E611" s="65"/>
      <c r="F611" s="66"/>
      <c r="G611" s="63"/>
      <c r="H611" s="67"/>
      <c r="I611" s="68"/>
      <c r="J611" s="68"/>
      <c r="K611" s="32" t="s">
        <v>65</v>
      </c>
      <c r="L611" s="75">
        <v>611</v>
      </c>
      <c r="M611" s="75"/>
      <c r="N611" s="70"/>
      <c r="O611" s="77" t="s">
        <v>572</v>
      </c>
      <c r="P611" s="79">
        <v>45280.61834490741</v>
      </c>
      <c r="Q611" s="77" t="s">
        <v>1038</v>
      </c>
      <c r="R611" s="77">
        <v>0</v>
      </c>
      <c r="S611" s="77">
        <v>0</v>
      </c>
      <c r="T611" s="77">
        <v>0</v>
      </c>
      <c r="U611" s="77">
        <v>0</v>
      </c>
      <c r="V611" s="77">
        <v>30</v>
      </c>
      <c r="W611" s="77"/>
      <c r="X611" s="77"/>
      <c r="Y611" s="77"/>
      <c r="Z611" s="77" t="s">
        <v>299</v>
      </c>
      <c r="AA611" s="77"/>
      <c r="AB611" s="77"/>
      <c r="AC611" s="81" t="s">
        <v>2704</v>
      </c>
      <c r="AD611" s="77" t="s">
        <v>2751</v>
      </c>
      <c r="AE611" s="80" t="str">
        <f>HYPERLINK("https://twitter.com/fuckthisdude2/status/1737485611257217283")</f>
        <v>https://twitter.com/fuckthisdude2/status/1737485611257217283</v>
      </c>
      <c r="AF611" s="79">
        <v>45280.61834490741</v>
      </c>
      <c r="AG611" s="85">
        <v>45280</v>
      </c>
      <c r="AH611" s="81" t="s">
        <v>3228</v>
      </c>
      <c r="AI611" s="77"/>
      <c r="AJ611" s="77"/>
      <c r="AK611" s="77"/>
      <c r="AL611" s="77"/>
      <c r="AM611" s="77"/>
      <c r="AN611" s="77"/>
      <c r="AO611" s="77"/>
      <c r="AP611" s="77"/>
      <c r="AQ611" s="77"/>
      <c r="AR611" s="77"/>
      <c r="AS611" s="77"/>
      <c r="AT611" s="77"/>
      <c r="AU611" s="77"/>
      <c r="AV611" s="80" t="str">
        <f>HYPERLINK("https://abs.twimg.com/sticky/default_profile_images/default_profile_normal.png")</f>
        <v>https://abs.twimg.com/sticky/default_profile_images/default_profile_normal.png</v>
      </c>
      <c r="AW611" s="81" t="s">
        <v>4974</v>
      </c>
      <c r="AX611" s="81" t="s">
        <v>5604</v>
      </c>
      <c r="AY611" s="81" t="s">
        <v>5721</v>
      </c>
      <c r="AZ611" s="81" t="s">
        <v>5604</v>
      </c>
      <c r="BA611" s="81" t="s">
        <v>5773</v>
      </c>
      <c r="BB611" s="81" t="s">
        <v>5773</v>
      </c>
      <c r="BC611" s="81" t="s">
        <v>5604</v>
      </c>
      <c r="BD611" s="81" t="s">
        <v>5824</v>
      </c>
      <c r="BE611" s="77"/>
      <c r="BF611" s="77"/>
      <c r="BG611" s="77"/>
      <c r="BH611" s="77"/>
      <c r="BI611" s="77"/>
    </row>
    <row r="612" spans="1:61" ht="15">
      <c r="A612" s="62" t="s">
        <v>386</v>
      </c>
      <c r="B612" s="62" t="s">
        <v>386</v>
      </c>
      <c r="C612" s="63"/>
      <c r="D612" s="64"/>
      <c r="E612" s="65"/>
      <c r="F612" s="66"/>
      <c r="G612" s="63"/>
      <c r="H612" s="67"/>
      <c r="I612" s="68"/>
      <c r="J612" s="68"/>
      <c r="K612" s="32" t="s">
        <v>65</v>
      </c>
      <c r="L612" s="75">
        <v>612</v>
      </c>
      <c r="M612" s="75"/>
      <c r="N612" s="70"/>
      <c r="O612" s="77" t="s">
        <v>179</v>
      </c>
      <c r="P612" s="79">
        <v>41432.54922453704</v>
      </c>
      <c r="Q612" s="77" t="s">
        <v>1039</v>
      </c>
      <c r="R612" s="77">
        <v>0</v>
      </c>
      <c r="S612" s="77">
        <v>0</v>
      </c>
      <c r="T612" s="77">
        <v>0</v>
      </c>
      <c r="U612" s="77">
        <v>0</v>
      </c>
      <c r="V612" s="77"/>
      <c r="W612" s="77"/>
      <c r="X612" s="77"/>
      <c r="Y612" s="77"/>
      <c r="Z612" s="77"/>
      <c r="AA612" s="77"/>
      <c r="AB612" s="77"/>
      <c r="AC612" s="81" t="s">
        <v>2705</v>
      </c>
      <c r="AD612" s="77" t="s">
        <v>2751</v>
      </c>
      <c r="AE612" s="80" t="str">
        <f>HYPERLINK("https://twitter.com/jwjobssms/status/342992058769879040")</f>
        <v>https://twitter.com/jwjobssms/status/342992058769879040</v>
      </c>
      <c r="AF612" s="79">
        <v>41432.54922453704</v>
      </c>
      <c r="AG612" s="85">
        <v>41432</v>
      </c>
      <c r="AH612" s="81" t="s">
        <v>3229</v>
      </c>
      <c r="AI612" s="77"/>
      <c r="AJ612" s="77"/>
      <c r="AK612" s="77"/>
      <c r="AL612" s="77"/>
      <c r="AM612" s="77"/>
      <c r="AN612" s="77"/>
      <c r="AO612" s="77"/>
      <c r="AP612" s="77"/>
      <c r="AQ612" s="77"/>
      <c r="AR612" s="77"/>
      <c r="AS612" s="77"/>
      <c r="AT612" s="77"/>
      <c r="AU612" s="77"/>
      <c r="AV612" s="80" t="str">
        <f>HYPERLINK("https://abs.twimg.com/sticky/default_profile_images/default_profile_normal.png")</f>
        <v>https://abs.twimg.com/sticky/default_profile_images/default_profile_normal.png</v>
      </c>
      <c r="AW612" s="81" t="s">
        <v>4975</v>
      </c>
      <c r="AX612" s="81" t="s">
        <v>4975</v>
      </c>
      <c r="AY612" s="77"/>
      <c r="AZ612" s="81" t="s">
        <v>5773</v>
      </c>
      <c r="BA612" s="81" t="s">
        <v>5773</v>
      </c>
      <c r="BB612" s="81" t="s">
        <v>5773</v>
      </c>
      <c r="BC612" s="81" t="s">
        <v>4975</v>
      </c>
      <c r="BD612" s="77">
        <v>1320343104</v>
      </c>
      <c r="BE612" s="77"/>
      <c r="BF612" s="77"/>
      <c r="BG612" s="77"/>
      <c r="BH612" s="77"/>
      <c r="BI612" s="77"/>
    </row>
    <row r="613" spans="1:61" ht="15">
      <c r="A613" s="62" t="s">
        <v>387</v>
      </c>
      <c r="B613" s="62" t="s">
        <v>387</v>
      </c>
      <c r="C613" s="63"/>
      <c r="D613" s="64"/>
      <c r="E613" s="65"/>
      <c r="F613" s="66"/>
      <c r="G613" s="63"/>
      <c r="H613" s="67"/>
      <c r="I613" s="68"/>
      <c r="J613" s="68"/>
      <c r="K613" s="32" t="s">
        <v>65</v>
      </c>
      <c r="L613" s="75">
        <v>613</v>
      </c>
      <c r="M613" s="75"/>
      <c r="N613" s="70"/>
      <c r="O613" s="77" t="s">
        <v>179</v>
      </c>
      <c r="P613" s="79">
        <v>41743.2884837963</v>
      </c>
      <c r="Q613" s="77" t="s">
        <v>1040</v>
      </c>
      <c r="R613" s="77">
        <v>0</v>
      </c>
      <c r="S613" s="77">
        <v>0</v>
      </c>
      <c r="T613" s="77">
        <v>0</v>
      </c>
      <c r="U613" s="77">
        <v>0</v>
      </c>
      <c r="V613" s="77"/>
      <c r="W613" s="77"/>
      <c r="X613" s="80" t="str">
        <f>HYPERLINK("http://fb.me/1wHvhBUMs")</f>
        <v>http://fb.me/1wHvhBUMs</v>
      </c>
      <c r="Y613" s="77" t="s">
        <v>1988</v>
      </c>
      <c r="Z613" s="77"/>
      <c r="AA613" s="77"/>
      <c r="AB613" s="77"/>
      <c r="AC613" s="81" t="s">
        <v>2716</v>
      </c>
      <c r="AD613" s="77" t="s">
        <v>2751</v>
      </c>
      <c r="AE613" s="80" t="str">
        <f>HYPERLINK("https://twitter.com/sandijobs/status/455600194441076736")</f>
        <v>https://twitter.com/sandijobs/status/455600194441076736</v>
      </c>
      <c r="AF613" s="79">
        <v>41743.2884837963</v>
      </c>
      <c r="AG613" s="85">
        <v>41743</v>
      </c>
      <c r="AH613" s="81" t="s">
        <v>3230</v>
      </c>
      <c r="AI613" s="77" t="b">
        <v>0</v>
      </c>
      <c r="AJ613" s="77"/>
      <c r="AK613" s="77"/>
      <c r="AL613" s="77"/>
      <c r="AM613" s="77"/>
      <c r="AN613" s="77"/>
      <c r="AO613" s="77"/>
      <c r="AP613" s="77"/>
      <c r="AQ613" s="77"/>
      <c r="AR613" s="77"/>
      <c r="AS613" s="77"/>
      <c r="AT613" s="77"/>
      <c r="AU613" s="77"/>
      <c r="AV613" s="80" t="str">
        <f>HYPERLINK("https://pbs.twimg.com/profile_images/2158595664/oracle-dba-career_normal.gif")</f>
        <v>https://pbs.twimg.com/profile_images/2158595664/oracle-dba-career_normal.gif</v>
      </c>
      <c r="AW613" s="81" t="s">
        <v>4976</v>
      </c>
      <c r="AX613" s="81" t="s">
        <v>4976</v>
      </c>
      <c r="AY613" s="77"/>
      <c r="AZ613" s="81" t="s">
        <v>5773</v>
      </c>
      <c r="BA613" s="81" t="s">
        <v>5773</v>
      </c>
      <c r="BB613" s="81" t="s">
        <v>5773</v>
      </c>
      <c r="BC613" s="81" t="s">
        <v>4976</v>
      </c>
      <c r="BD613" s="77">
        <v>558940095</v>
      </c>
      <c r="BE613" s="77"/>
      <c r="BF613" s="77"/>
      <c r="BG613" s="77"/>
      <c r="BH613" s="77"/>
      <c r="BI613" s="77"/>
    </row>
    <row r="614" spans="1:61" ht="15">
      <c r="A614" s="62" t="s">
        <v>388</v>
      </c>
      <c r="B614" s="62" t="s">
        <v>299</v>
      </c>
      <c r="C614" s="63"/>
      <c r="D614" s="64"/>
      <c r="E614" s="65"/>
      <c r="F614" s="66"/>
      <c r="G614" s="63"/>
      <c r="H614" s="67"/>
      <c r="I614" s="68"/>
      <c r="J614" s="68"/>
      <c r="K614" s="32" t="s">
        <v>65</v>
      </c>
      <c r="L614" s="75">
        <v>614</v>
      </c>
      <c r="M614" s="75"/>
      <c r="N614" s="70"/>
      <c r="O614" s="77" t="s">
        <v>571</v>
      </c>
      <c r="P614" s="79">
        <v>42102.61883101852</v>
      </c>
      <c r="Q614" s="77" t="s">
        <v>1041</v>
      </c>
      <c r="R614" s="77">
        <v>0</v>
      </c>
      <c r="S614" s="77">
        <v>0</v>
      </c>
      <c r="T614" s="77">
        <v>0</v>
      </c>
      <c r="U614" s="77">
        <v>0</v>
      </c>
      <c r="V614" s="77"/>
      <c r="W614" s="81" t="s">
        <v>1845</v>
      </c>
      <c r="X614" s="80" t="str">
        <f>HYPERLINK("http://www.example.com/")</f>
        <v>http://www.example.com/</v>
      </c>
      <c r="Y614" s="77" t="s">
        <v>2032</v>
      </c>
      <c r="Z614" s="77" t="s">
        <v>299</v>
      </c>
      <c r="AA614" s="77"/>
      <c r="AB614" s="77"/>
      <c r="AC614" s="81" t="s">
        <v>2705</v>
      </c>
      <c r="AD614" s="77" t="s">
        <v>2751</v>
      </c>
      <c r="AE614" s="80" t="str">
        <f>HYPERLINK("https://twitter.com/mfcnovo/status/585817150859911168")</f>
        <v>https://twitter.com/mfcnovo/status/585817150859911168</v>
      </c>
      <c r="AF614" s="79">
        <v>42102.61883101852</v>
      </c>
      <c r="AG614" s="85">
        <v>42102</v>
      </c>
      <c r="AH614" s="81" t="s">
        <v>3231</v>
      </c>
      <c r="AI614" s="77" t="b">
        <v>0</v>
      </c>
      <c r="AJ614" s="77"/>
      <c r="AK614" s="77"/>
      <c r="AL614" s="77"/>
      <c r="AM614" s="77"/>
      <c r="AN614" s="77"/>
      <c r="AO614" s="77"/>
      <c r="AP614" s="77"/>
      <c r="AQ614" s="77"/>
      <c r="AR614" s="77"/>
      <c r="AS614" s="77"/>
      <c r="AT614" s="77"/>
      <c r="AU614" s="77"/>
      <c r="AV614" s="80" t="str">
        <f>HYPERLINK("https://pbs.twimg.com/profile_images/1627632587911954432/GIai539q_normal.jpg")</f>
        <v>https://pbs.twimg.com/profile_images/1627632587911954432/GIai539q_normal.jpg</v>
      </c>
      <c r="AW614" s="81" t="s">
        <v>4977</v>
      </c>
      <c r="AX614" s="81" t="s">
        <v>4977</v>
      </c>
      <c r="AY614" s="77"/>
      <c r="AZ614" s="81" t="s">
        <v>5773</v>
      </c>
      <c r="BA614" s="81" t="s">
        <v>5773</v>
      </c>
      <c r="BB614" s="81" t="s">
        <v>5773</v>
      </c>
      <c r="BC614" s="81" t="s">
        <v>4977</v>
      </c>
      <c r="BD614" s="77">
        <v>89759989</v>
      </c>
      <c r="BE614" s="77"/>
      <c r="BF614" s="77"/>
      <c r="BG614" s="77"/>
      <c r="BH614" s="77"/>
      <c r="BI614" s="77"/>
    </row>
    <row r="615" spans="1:61" ht="15">
      <c r="A615" s="62" t="s">
        <v>388</v>
      </c>
      <c r="B615" s="62" t="s">
        <v>299</v>
      </c>
      <c r="C615" s="63"/>
      <c r="D615" s="64"/>
      <c r="E615" s="65"/>
      <c r="F615" s="66"/>
      <c r="G615" s="63"/>
      <c r="H615" s="67"/>
      <c r="I615" s="68"/>
      <c r="J615" s="68"/>
      <c r="K615" s="32" t="s">
        <v>65</v>
      </c>
      <c r="L615" s="75">
        <v>615</v>
      </c>
      <c r="M615" s="75"/>
      <c r="N615" s="70"/>
      <c r="O615" s="77" t="s">
        <v>571</v>
      </c>
      <c r="P615" s="79">
        <v>42101.633564814816</v>
      </c>
      <c r="Q615" s="77" t="s">
        <v>1042</v>
      </c>
      <c r="R615" s="77">
        <v>1</v>
      </c>
      <c r="S615" s="77">
        <v>1</v>
      </c>
      <c r="T615" s="77">
        <v>0</v>
      </c>
      <c r="U615" s="77">
        <v>0</v>
      </c>
      <c r="V615" s="77"/>
      <c r="W615" s="81" t="s">
        <v>1846</v>
      </c>
      <c r="X615" s="80" t="str">
        <f>HYPERLINK("http://www.example.com/")</f>
        <v>http://www.example.com/</v>
      </c>
      <c r="Y615" s="77" t="s">
        <v>2032</v>
      </c>
      <c r="Z615" s="77" t="s">
        <v>299</v>
      </c>
      <c r="AA615" s="77"/>
      <c r="AB615" s="77"/>
      <c r="AC615" s="81" t="s">
        <v>2705</v>
      </c>
      <c r="AD615" s="77" t="s">
        <v>2751</v>
      </c>
      <c r="AE615" s="80" t="str">
        <f>HYPERLINK("https://twitter.com/mfcnovo/status/585460102578184193")</f>
        <v>https://twitter.com/mfcnovo/status/585460102578184193</v>
      </c>
      <c r="AF615" s="79">
        <v>42101.633564814816</v>
      </c>
      <c r="AG615" s="85">
        <v>42101</v>
      </c>
      <c r="AH615" s="81" t="s">
        <v>3232</v>
      </c>
      <c r="AI615" s="77" t="b">
        <v>0</v>
      </c>
      <c r="AJ615" s="77"/>
      <c r="AK615" s="77"/>
      <c r="AL615" s="77"/>
      <c r="AM615" s="77"/>
      <c r="AN615" s="77"/>
      <c r="AO615" s="77"/>
      <c r="AP615" s="77"/>
      <c r="AQ615" s="77"/>
      <c r="AR615" s="77"/>
      <c r="AS615" s="77"/>
      <c r="AT615" s="77"/>
      <c r="AU615" s="77"/>
      <c r="AV615" s="80" t="str">
        <f>HYPERLINK("https://pbs.twimg.com/profile_images/1627632587911954432/GIai539q_normal.jpg")</f>
        <v>https://pbs.twimg.com/profile_images/1627632587911954432/GIai539q_normal.jpg</v>
      </c>
      <c r="AW615" s="81" t="s">
        <v>4978</v>
      </c>
      <c r="AX615" s="81" t="s">
        <v>4978</v>
      </c>
      <c r="AY615" s="77"/>
      <c r="AZ615" s="81" t="s">
        <v>5773</v>
      </c>
      <c r="BA615" s="81" t="s">
        <v>5773</v>
      </c>
      <c r="BB615" s="81" t="s">
        <v>5773</v>
      </c>
      <c r="BC615" s="81" t="s">
        <v>4978</v>
      </c>
      <c r="BD615" s="77">
        <v>89759989</v>
      </c>
      <c r="BE615" s="77"/>
      <c r="BF615" s="77"/>
      <c r="BG615" s="77"/>
      <c r="BH615" s="77"/>
      <c r="BI615" s="77"/>
    </row>
    <row r="616" spans="1:61" ht="15">
      <c r="A616" s="62" t="s">
        <v>389</v>
      </c>
      <c r="B616" s="62" t="s">
        <v>552</v>
      </c>
      <c r="C616" s="63"/>
      <c r="D616" s="64"/>
      <c r="E616" s="65"/>
      <c r="F616" s="66"/>
      <c r="G616" s="63"/>
      <c r="H616" s="67"/>
      <c r="I616" s="68"/>
      <c r="J616" s="68"/>
      <c r="K616" s="32" t="s">
        <v>65</v>
      </c>
      <c r="L616" s="75">
        <v>616</v>
      </c>
      <c r="M616" s="75"/>
      <c r="N616" s="70"/>
      <c r="O616" s="77" t="s">
        <v>572</v>
      </c>
      <c r="P616" s="79">
        <v>41528.55266203704</v>
      </c>
      <c r="Q616" s="77" t="s">
        <v>1043</v>
      </c>
      <c r="R616" s="77">
        <v>0</v>
      </c>
      <c r="S616" s="77">
        <v>0</v>
      </c>
      <c r="T616" s="77">
        <v>1</v>
      </c>
      <c r="U616" s="77">
        <v>0</v>
      </c>
      <c r="V616" s="77"/>
      <c r="W616" s="77"/>
      <c r="X616" s="77"/>
      <c r="Y616" s="77"/>
      <c r="Z616" s="77" t="s">
        <v>552</v>
      </c>
      <c r="AA616" s="77"/>
      <c r="AB616" s="77"/>
      <c r="AC616" s="81" t="s">
        <v>2705</v>
      </c>
      <c r="AD616" s="77" t="s">
        <v>2758</v>
      </c>
      <c r="AE616" s="80" t="str">
        <f>HYPERLINK("https://twitter.com/cinemaspecial/status/377782536446832641")</f>
        <v>https://twitter.com/cinemaspecial/status/377782536446832641</v>
      </c>
      <c r="AF616" s="79">
        <v>41528.55266203704</v>
      </c>
      <c r="AG616" s="85">
        <v>41528</v>
      </c>
      <c r="AH616" s="81" t="s">
        <v>3233</v>
      </c>
      <c r="AI616" s="77"/>
      <c r="AJ616" s="77"/>
      <c r="AK616" s="77"/>
      <c r="AL616" s="77"/>
      <c r="AM616" s="77"/>
      <c r="AN616" s="77"/>
      <c r="AO616" s="77"/>
      <c r="AP616" s="77"/>
      <c r="AQ616" s="77"/>
      <c r="AR616" s="77"/>
      <c r="AS616" s="77"/>
      <c r="AT616" s="77"/>
      <c r="AU616" s="77"/>
      <c r="AV616" s="80" t="str">
        <f>HYPERLINK("https://pbs.twimg.com/profile_images/1529780776/medium_don_corleone_normal.jpg")</f>
        <v>https://pbs.twimg.com/profile_images/1529780776/medium_don_corleone_normal.jpg</v>
      </c>
      <c r="AW616" s="81" t="s">
        <v>4979</v>
      </c>
      <c r="AX616" s="81" t="s">
        <v>5715</v>
      </c>
      <c r="AY616" s="81" t="s">
        <v>5770</v>
      </c>
      <c r="AZ616" s="81" t="s">
        <v>5784</v>
      </c>
      <c r="BA616" s="81" t="s">
        <v>5773</v>
      </c>
      <c r="BB616" s="81" t="s">
        <v>5773</v>
      </c>
      <c r="BC616" s="81" t="s">
        <v>5784</v>
      </c>
      <c r="BD616" s="77">
        <v>174626738</v>
      </c>
      <c r="BE616" s="77"/>
      <c r="BF616" s="77"/>
      <c r="BG616" s="77"/>
      <c r="BH616" s="77"/>
      <c r="BI616" s="77"/>
    </row>
    <row r="617" spans="1:61" ht="15">
      <c r="A617" s="62" t="s">
        <v>390</v>
      </c>
      <c r="B617" s="62" t="s">
        <v>390</v>
      </c>
      <c r="C617" s="63"/>
      <c r="D617" s="64"/>
      <c r="E617" s="65"/>
      <c r="F617" s="66"/>
      <c r="G617" s="63"/>
      <c r="H617" s="67"/>
      <c r="I617" s="68"/>
      <c r="J617" s="68"/>
      <c r="K617" s="32" t="s">
        <v>65</v>
      </c>
      <c r="L617" s="75">
        <v>617</v>
      </c>
      <c r="M617" s="75"/>
      <c r="N617" s="70"/>
      <c r="O617" s="77" t="s">
        <v>179</v>
      </c>
      <c r="P617" s="79">
        <v>42359.7421875</v>
      </c>
      <c r="Q617" s="77" t="s">
        <v>1044</v>
      </c>
      <c r="R617" s="77">
        <v>0</v>
      </c>
      <c r="S617" s="77">
        <v>0</v>
      </c>
      <c r="T617" s="77">
        <v>0</v>
      </c>
      <c r="U617" s="77">
        <v>0</v>
      </c>
      <c r="V617" s="77"/>
      <c r="W617" s="81" t="s">
        <v>1847</v>
      </c>
      <c r="X617" s="80" t="str">
        <f>HYPERLINK("http://ift.tt/1S5ndwp")</f>
        <v>http://ift.tt/1S5ndwp</v>
      </c>
      <c r="Y617" s="77" t="s">
        <v>1989</v>
      </c>
      <c r="Z617" s="77"/>
      <c r="AA617" s="77"/>
      <c r="AB617" s="77"/>
      <c r="AC617" s="81" t="s">
        <v>2710</v>
      </c>
      <c r="AD617" s="77" t="s">
        <v>2757</v>
      </c>
      <c r="AE617" s="80" t="str">
        <f>HYPERLINK("https://twitter.com/excoecariamedia/status/678995536314265601")</f>
        <v>https://twitter.com/excoecariamedia/status/678995536314265601</v>
      </c>
      <c r="AF617" s="79">
        <v>42359.7421875</v>
      </c>
      <c r="AG617" s="85">
        <v>42359</v>
      </c>
      <c r="AH617" s="81" t="s">
        <v>3234</v>
      </c>
      <c r="AI617" s="77" t="b">
        <v>0</v>
      </c>
      <c r="AJ617" s="77"/>
      <c r="AK617" s="77"/>
      <c r="AL617" s="77"/>
      <c r="AM617" s="77"/>
      <c r="AN617" s="77"/>
      <c r="AO617" s="77"/>
      <c r="AP617" s="77"/>
      <c r="AQ617" s="77"/>
      <c r="AR617" s="77"/>
      <c r="AS617" s="77"/>
      <c r="AT617" s="77"/>
      <c r="AU617" s="77"/>
      <c r="AV617" s="80" t="str">
        <f>HYPERLINK("https://pbs.twimg.com/profile_images/637142785221529600/YpOleaJ6_normal.jpg")</f>
        <v>https://pbs.twimg.com/profile_images/637142785221529600/YpOleaJ6_normal.jpg</v>
      </c>
      <c r="AW617" s="81" t="s">
        <v>4980</v>
      </c>
      <c r="AX617" s="81" t="s">
        <v>4980</v>
      </c>
      <c r="AY617" s="77"/>
      <c r="AZ617" s="81" t="s">
        <v>5773</v>
      </c>
      <c r="BA617" s="81" t="s">
        <v>5773</v>
      </c>
      <c r="BB617" s="81" t="s">
        <v>5773</v>
      </c>
      <c r="BC617" s="81" t="s">
        <v>4980</v>
      </c>
      <c r="BD617" s="77">
        <v>3049813988</v>
      </c>
      <c r="BE617" s="77"/>
      <c r="BF617" s="77"/>
      <c r="BG617" s="77"/>
      <c r="BH617" s="77"/>
      <c r="BI617" s="77"/>
    </row>
    <row r="618" spans="1:61" ht="15">
      <c r="A618" s="62" t="s">
        <v>391</v>
      </c>
      <c r="B618" s="62" t="s">
        <v>391</v>
      </c>
      <c r="C618" s="63"/>
      <c r="D618" s="64"/>
      <c r="E618" s="65"/>
      <c r="F618" s="66"/>
      <c r="G618" s="63"/>
      <c r="H618" s="67"/>
      <c r="I618" s="68"/>
      <c r="J618" s="68"/>
      <c r="K618" s="32" t="s">
        <v>65</v>
      </c>
      <c r="L618" s="75">
        <v>618</v>
      </c>
      <c r="M618" s="75"/>
      <c r="N618" s="70"/>
      <c r="O618" s="77" t="s">
        <v>179</v>
      </c>
      <c r="P618" s="79">
        <v>43794.51184027778</v>
      </c>
      <c r="Q618" s="77" t="s">
        <v>1045</v>
      </c>
      <c r="R618" s="77">
        <v>0</v>
      </c>
      <c r="S618" s="77">
        <v>0</v>
      </c>
      <c r="T618" s="77">
        <v>0</v>
      </c>
      <c r="U618" s="77">
        <v>0</v>
      </c>
      <c r="V618" s="77"/>
      <c r="W618" s="77"/>
      <c r="X618" s="77" t="s">
        <v>1966</v>
      </c>
      <c r="Y618" s="77" t="s">
        <v>2033</v>
      </c>
      <c r="Z618" s="77"/>
      <c r="AA618" s="77"/>
      <c r="AB618" s="77"/>
      <c r="AC618" s="81" t="s">
        <v>2741</v>
      </c>
      <c r="AD618" s="77" t="s">
        <v>2751</v>
      </c>
      <c r="AE618" s="80" t="str">
        <f>HYPERLINK("https://twitter.com/binabindu/status/1198938648311455744")</f>
        <v>https://twitter.com/binabindu/status/1198938648311455744</v>
      </c>
      <c r="AF618" s="79">
        <v>43794.51184027778</v>
      </c>
      <c r="AG618" s="85">
        <v>43794</v>
      </c>
      <c r="AH618" s="81" t="s">
        <v>3235</v>
      </c>
      <c r="AI618" s="77" t="b">
        <v>0</v>
      </c>
      <c r="AJ618" s="77"/>
      <c r="AK618" s="77"/>
      <c r="AL618" s="77"/>
      <c r="AM618" s="77"/>
      <c r="AN618" s="77"/>
      <c r="AO618" s="77"/>
      <c r="AP618" s="77"/>
      <c r="AQ618" s="77"/>
      <c r="AR618" s="77"/>
      <c r="AS618" s="77"/>
      <c r="AT618" s="77"/>
      <c r="AU618" s="77"/>
      <c r="AV618" s="80" t="str">
        <f>HYPERLINK("https://abs.twimg.com/sticky/default_profile_images/default_profile_normal.png")</f>
        <v>https://abs.twimg.com/sticky/default_profile_images/default_profile_normal.png</v>
      </c>
      <c r="AW618" s="81" t="s">
        <v>4981</v>
      </c>
      <c r="AX618" s="81" t="s">
        <v>4981</v>
      </c>
      <c r="AY618" s="77"/>
      <c r="AZ618" s="81" t="s">
        <v>5773</v>
      </c>
      <c r="BA618" s="81" t="s">
        <v>5773</v>
      </c>
      <c r="BB618" s="81" t="s">
        <v>5773</v>
      </c>
      <c r="BC618" s="81" t="s">
        <v>4981</v>
      </c>
      <c r="BD618" s="81" t="s">
        <v>5825</v>
      </c>
      <c r="BE618" s="77"/>
      <c r="BF618" s="77"/>
      <c r="BG618" s="77"/>
      <c r="BH618" s="77"/>
      <c r="BI618" s="77"/>
    </row>
    <row r="619" spans="1:61" ht="15">
      <c r="A619" s="62" t="s">
        <v>391</v>
      </c>
      <c r="B619" s="62" t="s">
        <v>391</v>
      </c>
      <c r="C619" s="63"/>
      <c r="D619" s="64"/>
      <c r="E619" s="65"/>
      <c r="F619" s="66"/>
      <c r="G619" s="63"/>
      <c r="H619" s="67"/>
      <c r="I619" s="68"/>
      <c r="J619" s="68"/>
      <c r="K619" s="32" t="s">
        <v>65</v>
      </c>
      <c r="L619" s="75">
        <v>619</v>
      </c>
      <c r="M619" s="75"/>
      <c r="N619" s="70"/>
      <c r="O619" s="77" t="s">
        <v>179</v>
      </c>
      <c r="P619" s="79">
        <v>43794.47142361111</v>
      </c>
      <c r="Q619" s="77" t="s">
        <v>1046</v>
      </c>
      <c r="R619" s="77">
        <v>0</v>
      </c>
      <c r="S619" s="77">
        <v>0</v>
      </c>
      <c r="T619" s="77">
        <v>0</v>
      </c>
      <c r="U619" s="77">
        <v>0</v>
      </c>
      <c r="V619" s="77"/>
      <c r="W619" s="81" t="s">
        <v>1848</v>
      </c>
      <c r="X619" s="80" t="str">
        <f>HYPERLINK("http://bit.ly/37vTjxz")</f>
        <v>http://bit.ly/37vTjxz</v>
      </c>
      <c r="Y619" s="77" t="s">
        <v>1984</v>
      </c>
      <c r="Z619" s="77"/>
      <c r="AA619" s="77" t="s">
        <v>2290</v>
      </c>
      <c r="AB619" s="77" t="s">
        <v>2696</v>
      </c>
      <c r="AC619" s="81" t="s">
        <v>2707</v>
      </c>
      <c r="AD619" s="77" t="s">
        <v>2751</v>
      </c>
      <c r="AE619" s="80" t="str">
        <f>HYPERLINK("https://twitter.com/binabindu/status/1198924003072602113")</f>
        <v>https://twitter.com/binabindu/status/1198924003072602113</v>
      </c>
      <c r="AF619" s="79">
        <v>43794.47142361111</v>
      </c>
      <c r="AG619" s="85">
        <v>43794</v>
      </c>
      <c r="AH619" s="81" t="s">
        <v>3236</v>
      </c>
      <c r="AI619" s="77" t="b">
        <v>0</v>
      </c>
      <c r="AJ619" s="77"/>
      <c r="AK619" s="77"/>
      <c r="AL619" s="77"/>
      <c r="AM619" s="77"/>
      <c r="AN619" s="77"/>
      <c r="AO619" s="77"/>
      <c r="AP619" s="77"/>
      <c r="AQ619" s="77" t="s">
        <v>4104</v>
      </c>
      <c r="AR619" s="77"/>
      <c r="AS619" s="77"/>
      <c r="AT619" s="77"/>
      <c r="AU619" s="77"/>
      <c r="AV619" s="80" t="str">
        <f>HYPERLINK("https://pbs.twimg.com/media/EKNvBeyU4AAhw_k.png")</f>
        <v>https://pbs.twimg.com/media/EKNvBeyU4AAhw_k.png</v>
      </c>
      <c r="AW619" s="81" t="s">
        <v>4982</v>
      </c>
      <c r="AX619" s="81" t="s">
        <v>4982</v>
      </c>
      <c r="AY619" s="77"/>
      <c r="AZ619" s="81" t="s">
        <v>5773</v>
      </c>
      <c r="BA619" s="81" t="s">
        <v>5773</v>
      </c>
      <c r="BB619" s="81" t="s">
        <v>5773</v>
      </c>
      <c r="BC619" s="81" t="s">
        <v>4982</v>
      </c>
      <c r="BD619" s="81" t="s">
        <v>5825</v>
      </c>
      <c r="BE619" s="77"/>
      <c r="BF619" s="77"/>
      <c r="BG619" s="77"/>
      <c r="BH619" s="77"/>
      <c r="BI619" s="77"/>
    </row>
    <row r="620" spans="1:61" ht="15">
      <c r="A620" s="62" t="s">
        <v>391</v>
      </c>
      <c r="B620" s="62" t="s">
        <v>391</v>
      </c>
      <c r="C620" s="63"/>
      <c r="D620" s="64"/>
      <c r="E620" s="65"/>
      <c r="F620" s="66"/>
      <c r="G620" s="63"/>
      <c r="H620" s="67"/>
      <c r="I620" s="68"/>
      <c r="J620" s="68"/>
      <c r="K620" s="32" t="s">
        <v>65</v>
      </c>
      <c r="L620" s="75">
        <v>620</v>
      </c>
      <c r="M620" s="75"/>
      <c r="N620" s="70"/>
      <c r="O620" s="77" t="s">
        <v>179</v>
      </c>
      <c r="P620" s="79">
        <v>43791.48123842593</v>
      </c>
      <c r="Q620" s="77" t="s">
        <v>1047</v>
      </c>
      <c r="R620" s="77">
        <v>0</v>
      </c>
      <c r="S620" s="77">
        <v>0</v>
      </c>
      <c r="T620" s="77">
        <v>0</v>
      </c>
      <c r="U620" s="77">
        <v>0</v>
      </c>
      <c r="V620" s="77"/>
      <c r="W620" s="81" t="s">
        <v>1849</v>
      </c>
      <c r="X620" s="80" t="str">
        <f>HYPERLINK("https://cutt.ly/CeXZhhZ")</f>
        <v>https://cutt.ly/CeXZhhZ</v>
      </c>
      <c r="Y620" s="77" t="s">
        <v>1995</v>
      </c>
      <c r="Z620" s="77"/>
      <c r="AA620" s="77" t="s">
        <v>2291</v>
      </c>
      <c r="AB620" s="77" t="s">
        <v>2696</v>
      </c>
      <c r="AC620" s="81" t="s">
        <v>2707</v>
      </c>
      <c r="AD620" s="77" t="s">
        <v>2751</v>
      </c>
      <c r="AE620" s="80" t="str">
        <f>HYPERLINK("https://twitter.com/binabindu/status/1197840393565392896")</f>
        <v>https://twitter.com/binabindu/status/1197840393565392896</v>
      </c>
      <c r="AF620" s="79">
        <v>43791.48123842593</v>
      </c>
      <c r="AG620" s="85">
        <v>43791</v>
      </c>
      <c r="AH620" s="81" t="s">
        <v>3237</v>
      </c>
      <c r="AI620" s="77" t="b">
        <v>0</v>
      </c>
      <c r="AJ620" s="77"/>
      <c r="AK620" s="77"/>
      <c r="AL620" s="77"/>
      <c r="AM620" s="77"/>
      <c r="AN620" s="77"/>
      <c r="AO620" s="77"/>
      <c r="AP620" s="77"/>
      <c r="AQ620" s="77" t="s">
        <v>4105</v>
      </c>
      <c r="AR620" s="77"/>
      <c r="AS620" s="77"/>
      <c r="AT620" s="77"/>
      <c r="AU620" s="77"/>
      <c r="AV620" s="80" t="str">
        <f>HYPERLINK("https://pbs.twimg.com/media/EJ-Ve9jU0AAdU-V.png")</f>
        <v>https://pbs.twimg.com/media/EJ-Ve9jU0AAdU-V.png</v>
      </c>
      <c r="AW620" s="81" t="s">
        <v>4983</v>
      </c>
      <c r="AX620" s="81" t="s">
        <v>4983</v>
      </c>
      <c r="AY620" s="77"/>
      <c r="AZ620" s="81" t="s">
        <v>5773</v>
      </c>
      <c r="BA620" s="81" t="s">
        <v>5773</v>
      </c>
      <c r="BB620" s="81" t="s">
        <v>5773</v>
      </c>
      <c r="BC620" s="81" t="s">
        <v>4983</v>
      </c>
      <c r="BD620" s="81" t="s">
        <v>5825</v>
      </c>
      <c r="BE620" s="77"/>
      <c r="BF620" s="77"/>
      <c r="BG620" s="77"/>
      <c r="BH620" s="77"/>
      <c r="BI620" s="77"/>
    </row>
    <row r="621" spans="1:61" ht="15">
      <c r="A621" s="62" t="s">
        <v>391</v>
      </c>
      <c r="B621" s="62" t="s">
        <v>391</v>
      </c>
      <c r="C621" s="63"/>
      <c r="D621" s="64"/>
      <c r="E621" s="65"/>
      <c r="F621" s="66"/>
      <c r="G621" s="63"/>
      <c r="H621" s="67"/>
      <c r="I621" s="68"/>
      <c r="J621" s="68"/>
      <c r="K621" s="32" t="s">
        <v>65</v>
      </c>
      <c r="L621" s="75">
        <v>621</v>
      </c>
      <c r="M621" s="75"/>
      <c r="N621" s="70"/>
      <c r="O621" s="77" t="s">
        <v>179</v>
      </c>
      <c r="P621" s="79">
        <v>43780.421215277776</v>
      </c>
      <c r="Q621" s="77" t="s">
        <v>1048</v>
      </c>
      <c r="R621" s="77">
        <v>0</v>
      </c>
      <c r="S621" s="77">
        <v>0</v>
      </c>
      <c r="T621" s="77">
        <v>0</v>
      </c>
      <c r="U621" s="77">
        <v>0</v>
      </c>
      <c r="V621" s="77"/>
      <c r="W621" s="81" t="s">
        <v>1850</v>
      </c>
      <c r="X621" s="80" t="str">
        <f>HYPERLINK("http://bit.ly/2PWh2Ri")</f>
        <v>http://bit.ly/2PWh2Ri</v>
      </c>
      <c r="Y621" s="77" t="s">
        <v>1984</v>
      </c>
      <c r="Z621" s="77"/>
      <c r="AA621" s="77" t="s">
        <v>2292</v>
      </c>
      <c r="AB621" s="77" t="s">
        <v>2696</v>
      </c>
      <c r="AC621" s="81" t="s">
        <v>2707</v>
      </c>
      <c r="AD621" s="77" t="s">
        <v>2751</v>
      </c>
      <c r="AE621" s="80" t="str">
        <f>HYPERLINK("https://twitter.com/binabindu/status/1193832376201166855")</f>
        <v>https://twitter.com/binabindu/status/1193832376201166855</v>
      </c>
      <c r="AF621" s="79">
        <v>43780.421215277776</v>
      </c>
      <c r="AG621" s="85">
        <v>43780</v>
      </c>
      <c r="AH621" s="81" t="s">
        <v>3238</v>
      </c>
      <c r="AI621" s="77" t="b">
        <v>0</v>
      </c>
      <c r="AJ621" s="77"/>
      <c r="AK621" s="77"/>
      <c r="AL621" s="77"/>
      <c r="AM621" s="77"/>
      <c r="AN621" s="77"/>
      <c r="AO621" s="77"/>
      <c r="AP621" s="77"/>
      <c r="AQ621" s="77" t="s">
        <v>4106</v>
      </c>
      <c r="AR621" s="77"/>
      <c r="AS621" s="77"/>
      <c r="AT621" s="77"/>
      <c r="AU621" s="77"/>
      <c r="AV621" s="80" t="str">
        <f>HYPERLINK("https://pbs.twimg.com/media/EJFYNd7U0AA1NPX.jpg")</f>
        <v>https://pbs.twimg.com/media/EJFYNd7U0AA1NPX.jpg</v>
      </c>
      <c r="AW621" s="81" t="s">
        <v>4984</v>
      </c>
      <c r="AX621" s="81" t="s">
        <v>4984</v>
      </c>
      <c r="AY621" s="77"/>
      <c r="AZ621" s="81" t="s">
        <v>5773</v>
      </c>
      <c r="BA621" s="81" t="s">
        <v>5773</v>
      </c>
      <c r="BB621" s="81" t="s">
        <v>5773</v>
      </c>
      <c r="BC621" s="81" t="s">
        <v>4984</v>
      </c>
      <c r="BD621" s="81" t="s">
        <v>5825</v>
      </c>
      <c r="BE621" s="77"/>
      <c r="BF621" s="77"/>
      <c r="BG621" s="77"/>
      <c r="BH621" s="77"/>
      <c r="BI621" s="77"/>
    </row>
    <row r="622" spans="1:61" ht="15">
      <c r="A622" s="62" t="s">
        <v>391</v>
      </c>
      <c r="B622" s="62" t="s">
        <v>391</v>
      </c>
      <c r="C622" s="63"/>
      <c r="D622" s="64"/>
      <c r="E622" s="65"/>
      <c r="F622" s="66"/>
      <c r="G622" s="63"/>
      <c r="H622" s="67"/>
      <c r="I622" s="68"/>
      <c r="J622" s="68"/>
      <c r="K622" s="32" t="s">
        <v>65</v>
      </c>
      <c r="L622" s="75">
        <v>622</v>
      </c>
      <c r="M622" s="75"/>
      <c r="N622" s="70"/>
      <c r="O622" s="77" t="s">
        <v>179</v>
      </c>
      <c r="P622" s="79">
        <v>43795.45482638889</v>
      </c>
      <c r="Q622" s="77" t="s">
        <v>1049</v>
      </c>
      <c r="R622" s="77">
        <v>0</v>
      </c>
      <c r="S622" s="77">
        <v>0</v>
      </c>
      <c r="T622" s="77">
        <v>0</v>
      </c>
      <c r="U622" s="77">
        <v>0</v>
      </c>
      <c r="V622" s="77"/>
      <c r="W622" s="81" t="s">
        <v>1851</v>
      </c>
      <c r="X622" s="80" t="str">
        <f>HYPERLINK("http://talk.company/seoservice")</f>
        <v>http://talk.company/seoservice</v>
      </c>
      <c r="Y622" s="77" t="s">
        <v>2034</v>
      </c>
      <c r="Z622" s="77"/>
      <c r="AA622" s="77" t="s">
        <v>2293</v>
      </c>
      <c r="AB622" s="77" t="s">
        <v>2696</v>
      </c>
      <c r="AC622" s="81" t="s">
        <v>2707</v>
      </c>
      <c r="AD622" s="77" t="s">
        <v>2751</v>
      </c>
      <c r="AE622" s="80" t="str">
        <f>HYPERLINK("https://twitter.com/binabindu/status/1199280373106003968")</f>
        <v>https://twitter.com/binabindu/status/1199280373106003968</v>
      </c>
      <c r="AF622" s="79">
        <v>43795.45482638889</v>
      </c>
      <c r="AG622" s="85">
        <v>43795</v>
      </c>
      <c r="AH622" s="81" t="s">
        <v>3239</v>
      </c>
      <c r="AI622" s="77" t="b">
        <v>0</v>
      </c>
      <c r="AJ622" s="77"/>
      <c r="AK622" s="77"/>
      <c r="AL622" s="77"/>
      <c r="AM622" s="77"/>
      <c r="AN622" s="77"/>
      <c r="AO622" s="77"/>
      <c r="AP622" s="77"/>
      <c r="AQ622" s="77" t="s">
        <v>4107</v>
      </c>
      <c r="AR622" s="77"/>
      <c r="AS622" s="77"/>
      <c r="AT622" s="77"/>
      <c r="AU622" s="77"/>
      <c r="AV622" s="80" t="str">
        <f>HYPERLINK("https://pbs.twimg.com/media/EKSzI0zUYAEnlSC.png")</f>
        <v>https://pbs.twimg.com/media/EKSzI0zUYAEnlSC.png</v>
      </c>
      <c r="AW622" s="81" t="s">
        <v>4985</v>
      </c>
      <c r="AX622" s="81" t="s">
        <v>4985</v>
      </c>
      <c r="AY622" s="77"/>
      <c r="AZ622" s="81" t="s">
        <v>5773</v>
      </c>
      <c r="BA622" s="81" t="s">
        <v>5773</v>
      </c>
      <c r="BB622" s="81" t="s">
        <v>5773</v>
      </c>
      <c r="BC622" s="81" t="s">
        <v>4985</v>
      </c>
      <c r="BD622" s="81" t="s">
        <v>5825</v>
      </c>
      <c r="BE622" s="77"/>
      <c r="BF622" s="77"/>
      <c r="BG622" s="77"/>
      <c r="BH622" s="77"/>
      <c r="BI622" s="77"/>
    </row>
    <row r="623" spans="1:61" ht="15">
      <c r="A623" s="62" t="s">
        <v>391</v>
      </c>
      <c r="B623" s="62" t="s">
        <v>391</v>
      </c>
      <c r="C623" s="63"/>
      <c r="D623" s="64"/>
      <c r="E623" s="65"/>
      <c r="F623" s="66"/>
      <c r="G623" s="63"/>
      <c r="H623" s="67"/>
      <c r="I623" s="68"/>
      <c r="J623" s="68"/>
      <c r="K623" s="32" t="s">
        <v>65</v>
      </c>
      <c r="L623" s="75">
        <v>623</v>
      </c>
      <c r="M623" s="75"/>
      <c r="N623" s="70"/>
      <c r="O623" s="77" t="s">
        <v>179</v>
      </c>
      <c r="P623" s="79">
        <v>43796.46716435185</v>
      </c>
      <c r="Q623" s="77" t="s">
        <v>1050</v>
      </c>
      <c r="R623" s="77">
        <v>0</v>
      </c>
      <c r="S623" s="77">
        <v>0</v>
      </c>
      <c r="T623" s="77">
        <v>0</v>
      </c>
      <c r="U623" s="77">
        <v>0</v>
      </c>
      <c r="V623" s="77"/>
      <c r="W623" s="81" t="s">
        <v>1852</v>
      </c>
      <c r="X623" s="80" t="str">
        <f>HYPERLINK("https://www.inovies.com/digital-marketing-company/seo-company")</f>
        <v>https://www.inovies.com/digital-marketing-company/seo-company</v>
      </c>
      <c r="Y623" s="77" t="s">
        <v>1982</v>
      </c>
      <c r="Z623" s="77"/>
      <c r="AA623" s="77"/>
      <c r="AB623" s="77"/>
      <c r="AC623" s="81" t="s">
        <v>2707</v>
      </c>
      <c r="AD623" s="77" t="s">
        <v>2751</v>
      </c>
      <c r="AE623" s="80" t="str">
        <f>HYPERLINK("https://twitter.com/binabindu/status/1199647235396403201")</f>
        <v>https://twitter.com/binabindu/status/1199647235396403201</v>
      </c>
      <c r="AF623" s="79">
        <v>43796.46716435185</v>
      </c>
      <c r="AG623" s="85">
        <v>43796</v>
      </c>
      <c r="AH623" s="81" t="s">
        <v>3240</v>
      </c>
      <c r="AI623" s="77" t="b">
        <v>0</v>
      </c>
      <c r="AJ623" s="77"/>
      <c r="AK623" s="77"/>
      <c r="AL623" s="77"/>
      <c r="AM623" s="77"/>
      <c r="AN623" s="77"/>
      <c r="AO623" s="77"/>
      <c r="AP623" s="77"/>
      <c r="AQ623" s="77"/>
      <c r="AR623" s="77"/>
      <c r="AS623" s="77"/>
      <c r="AT623" s="77"/>
      <c r="AU623" s="77"/>
      <c r="AV623" s="80" t="str">
        <f>HYPERLINK("https://abs.twimg.com/sticky/default_profile_images/default_profile_normal.png")</f>
        <v>https://abs.twimg.com/sticky/default_profile_images/default_profile_normal.png</v>
      </c>
      <c r="AW623" s="81" t="s">
        <v>4986</v>
      </c>
      <c r="AX623" s="81" t="s">
        <v>4986</v>
      </c>
      <c r="AY623" s="77"/>
      <c r="AZ623" s="81" t="s">
        <v>5773</v>
      </c>
      <c r="BA623" s="81" t="s">
        <v>5773</v>
      </c>
      <c r="BB623" s="81" t="s">
        <v>5773</v>
      </c>
      <c r="BC623" s="81" t="s">
        <v>4986</v>
      </c>
      <c r="BD623" s="81" t="s">
        <v>5825</v>
      </c>
      <c r="BE623" s="77"/>
      <c r="BF623" s="77"/>
      <c r="BG623" s="77"/>
      <c r="BH623" s="77"/>
      <c r="BI623" s="77"/>
    </row>
    <row r="624" spans="1:61" ht="15">
      <c r="A624" s="62" t="s">
        <v>391</v>
      </c>
      <c r="B624" s="62" t="s">
        <v>391</v>
      </c>
      <c r="C624" s="63"/>
      <c r="D624" s="64"/>
      <c r="E624" s="65"/>
      <c r="F624" s="66"/>
      <c r="G624" s="63"/>
      <c r="H624" s="67"/>
      <c r="I624" s="68"/>
      <c r="J624" s="68"/>
      <c r="K624" s="32" t="s">
        <v>65</v>
      </c>
      <c r="L624" s="75">
        <v>624</v>
      </c>
      <c r="M624" s="75"/>
      <c r="N624" s="70"/>
      <c r="O624" s="77" t="s">
        <v>179</v>
      </c>
      <c r="P624" s="79">
        <v>43795.50696759259</v>
      </c>
      <c r="Q624" s="77" t="s">
        <v>1051</v>
      </c>
      <c r="R624" s="77">
        <v>0</v>
      </c>
      <c r="S624" s="77">
        <v>0</v>
      </c>
      <c r="T624" s="77">
        <v>0</v>
      </c>
      <c r="U624" s="77">
        <v>0</v>
      </c>
      <c r="V624" s="77"/>
      <c r="W624" s="77"/>
      <c r="X624" s="77" t="s">
        <v>1967</v>
      </c>
      <c r="Y624" s="77" t="s">
        <v>2033</v>
      </c>
      <c r="Z624" s="77"/>
      <c r="AA624" s="77"/>
      <c r="AB624" s="77"/>
      <c r="AC624" s="81" t="s">
        <v>2741</v>
      </c>
      <c r="AD624" s="77" t="s">
        <v>2751</v>
      </c>
      <c r="AE624" s="80" t="str">
        <f>HYPERLINK("https://twitter.com/binabindu/status/1199299271155208193")</f>
        <v>https://twitter.com/binabindu/status/1199299271155208193</v>
      </c>
      <c r="AF624" s="79">
        <v>43795.50696759259</v>
      </c>
      <c r="AG624" s="85">
        <v>43795</v>
      </c>
      <c r="AH624" s="81" t="s">
        <v>3241</v>
      </c>
      <c r="AI624" s="77" t="b">
        <v>0</v>
      </c>
      <c r="AJ624" s="77"/>
      <c r="AK624" s="77"/>
      <c r="AL624" s="77"/>
      <c r="AM624" s="77"/>
      <c r="AN624" s="77"/>
      <c r="AO624" s="77"/>
      <c r="AP624" s="77"/>
      <c r="AQ624" s="77"/>
      <c r="AR624" s="77"/>
      <c r="AS624" s="77"/>
      <c r="AT624" s="77"/>
      <c r="AU624" s="77"/>
      <c r="AV624" s="80" t="str">
        <f>HYPERLINK("https://abs.twimg.com/sticky/default_profile_images/default_profile_normal.png")</f>
        <v>https://abs.twimg.com/sticky/default_profile_images/default_profile_normal.png</v>
      </c>
      <c r="AW624" s="81" t="s">
        <v>4987</v>
      </c>
      <c r="AX624" s="81" t="s">
        <v>4987</v>
      </c>
      <c r="AY624" s="77"/>
      <c r="AZ624" s="81" t="s">
        <v>5773</v>
      </c>
      <c r="BA624" s="81" t="s">
        <v>5773</v>
      </c>
      <c r="BB624" s="81" t="s">
        <v>5773</v>
      </c>
      <c r="BC624" s="81" t="s">
        <v>4987</v>
      </c>
      <c r="BD624" s="81" t="s">
        <v>5825</v>
      </c>
      <c r="BE624" s="77"/>
      <c r="BF624" s="77"/>
      <c r="BG624" s="77"/>
      <c r="BH624" s="77"/>
      <c r="BI624" s="77"/>
    </row>
    <row r="625" spans="1:61" ht="15">
      <c r="A625" s="62" t="s">
        <v>391</v>
      </c>
      <c r="B625" s="62" t="s">
        <v>391</v>
      </c>
      <c r="C625" s="63"/>
      <c r="D625" s="64"/>
      <c r="E625" s="65"/>
      <c r="F625" s="66"/>
      <c r="G625" s="63"/>
      <c r="H625" s="67"/>
      <c r="I625" s="68"/>
      <c r="J625" s="68"/>
      <c r="K625" s="32" t="s">
        <v>65</v>
      </c>
      <c r="L625" s="75">
        <v>625</v>
      </c>
      <c r="M625" s="75"/>
      <c r="N625" s="70"/>
      <c r="O625" s="77" t="s">
        <v>179</v>
      </c>
      <c r="P625" s="79">
        <v>43859.52305555555</v>
      </c>
      <c r="Q625" s="77" t="s">
        <v>1052</v>
      </c>
      <c r="R625" s="77">
        <v>2</v>
      </c>
      <c r="S625" s="77">
        <v>4</v>
      </c>
      <c r="T625" s="77">
        <v>0</v>
      </c>
      <c r="U625" s="77">
        <v>0</v>
      </c>
      <c r="V625" s="77"/>
      <c r="W625" s="81" t="s">
        <v>1853</v>
      </c>
      <c r="X625" s="80" t="str">
        <f>HYPERLINK("http://bit.ly/35YV0m0")</f>
        <v>http://bit.ly/35YV0m0</v>
      </c>
      <c r="Y625" s="77" t="s">
        <v>1984</v>
      </c>
      <c r="Z625" s="77"/>
      <c r="AA625" s="77" t="s">
        <v>2294</v>
      </c>
      <c r="AB625" s="77" t="s">
        <v>2696</v>
      </c>
      <c r="AC625" s="81" t="s">
        <v>2707</v>
      </c>
      <c r="AD625" s="77" t="s">
        <v>2751</v>
      </c>
      <c r="AE625" s="80" t="str">
        <f>HYPERLINK("https://twitter.com/binabindu/status/1222497923763556352")</f>
        <v>https://twitter.com/binabindu/status/1222497923763556352</v>
      </c>
      <c r="AF625" s="79">
        <v>43859.52305555555</v>
      </c>
      <c r="AG625" s="85">
        <v>43859</v>
      </c>
      <c r="AH625" s="81" t="s">
        <v>3242</v>
      </c>
      <c r="AI625" s="77" t="b">
        <v>0</v>
      </c>
      <c r="AJ625" s="77"/>
      <c r="AK625" s="77"/>
      <c r="AL625" s="77"/>
      <c r="AM625" s="77"/>
      <c r="AN625" s="77"/>
      <c r="AO625" s="77"/>
      <c r="AP625" s="77"/>
      <c r="AQ625" s="77" t="s">
        <v>4108</v>
      </c>
      <c r="AR625" s="77"/>
      <c r="AS625" s="77"/>
      <c r="AT625" s="77"/>
      <c r="AU625" s="77"/>
      <c r="AV625" s="80" t="str">
        <f>HYPERLINK("https://pbs.twimg.com/media/EPcvYN5UcAEhcF7.jpg")</f>
        <v>https://pbs.twimg.com/media/EPcvYN5UcAEhcF7.jpg</v>
      </c>
      <c r="AW625" s="81" t="s">
        <v>4988</v>
      </c>
      <c r="AX625" s="81" t="s">
        <v>4988</v>
      </c>
      <c r="AY625" s="77"/>
      <c r="AZ625" s="81" t="s">
        <v>5773</v>
      </c>
      <c r="BA625" s="81" t="s">
        <v>5773</v>
      </c>
      <c r="BB625" s="81" t="s">
        <v>5773</v>
      </c>
      <c r="BC625" s="81" t="s">
        <v>4988</v>
      </c>
      <c r="BD625" s="81" t="s">
        <v>5825</v>
      </c>
      <c r="BE625" s="77"/>
      <c r="BF625" s="77"/>
      <c r="BG625" s="77"/>
      <c r="BH625" s="77"/>
      <c r="BI625" s="77"/>
    </row>
    <row r="626" spans="1:61" ht="15">
      <c r="A626" s="62" t="s">
        <v>391</v>
      </c>
      <c r="B626" s="62" t="s">
        <v>391</v>
      </c>
      <c r="C626" s="63"/>
      <c r="D626" s="64"/>
      <c r="E626" s="65"/>
      <c r="F626" s="66"/>
      <c r="G626" s="63"/>
      <c r="H626" s="67"/>
      <c r="I626" s="68"/>
      <c r="J626" s="68"/>
      <c r="K626" s="32" t="s">
        <v>65</v>
      </c>
      <c r="L626" s="75">
        <v>626</v>
      </c>
      <c r="M626" s="75"/>
      <c r="N626" s="70"/>
      <c r="O626" s="77" t="s">
        <v>179</v>
      </c>
      <c r="P626" s="79">
        <v>43853.52762731481</v>
      </c>
      <c r="Q626" s="77" t="s">
        <v>1053</v>
      </c>
      <c r="R626" s="77">
        <v>0</v>
      </c>
      <c r="S626" s="77">
        <v>0</v>
      </c>
      <c r="T626" s="77">
        <v>0</v>
      </c>
      <c r="U626" s="77">
        <v>0</v>
      </c>
      <c r="V626" s="77"/>
      <c r="W626" s="81" t="s">
        <v>1854</v>
      </c>
      <c r="X626" s="80" t="str">
        <f>HYPERLINK("http://bit.ly/2v72vtF")</f>
        <v>http://bit.ly/2v72vtF</v>
      </c>
      <c r="Y626" s="77" t="s">
        <v>1984</v>
      </c>
      <c r="Z626" s="77"/>
      <c r="AA626" s="77" t="s">
        <v>2295</v>
      </c>
      <c r="AB626" s="77" t="s">
        <v>2696</v>
      </c>
      <c r="AC626" s="81" t="s">
        <v>2707</v>
      </c>
      <c r="AD626" s="77" t="s">
        <v>2751</v>
      </c>
      <c r="AE626" s="80" t="str">
        <f>HYPERLINK("https://twitter.com/binabindu/status/1220325250836992000")</f>
        <v>https://twitter.com/binabindu/status/1220325250836992000</v>
      </c>
      <c r="AF626" s="79">
        <v>43853.52762731481</v>
      </c>
      <c r="AG626" s="85">
        <v>43853</v>
      </c>
      <c r="AH626" s="81" t="s">
        <v>3243</v>
      </c>
      <c r="AI626" s="77" t="b">
        <v>0</v>
      </c>
      <c r="AJ626" s="77"/>
      <c r="AK626" s="77"/>
      <c r="AL626" s="77"/>
      <c r="AM626" s="77"/>
      <c r="AN626" s="77"/>
      <c r="AO626" s="77"/>
      <c r="AP626" s="77"/>
      <c r="AQ626" s="77" t="s">
        <v>4109</v>
      </c>
      <c r="AR626" s="77"/>
      <c r="AS626" s="77"/>
      <c r="AT626" s="77"/>
      <c r="AU626" s="77"/>
      <c r="AV626" s="80" t="str">
        <f>HYPERLINK("https://pbs.twimg.com/media/EO93UrkU0AItcyQ.jpg")</f>
        <v>https://pbs.twimg.com/media/EO93UrkU0AItcyQ.jpg</v>
      </c>
      <c r="AW626" s="81" t="s">
        <v>4989</v>
      </c>
      <c r="AX626" s="81" t="s">
        <v>4989</v>
      </c>
      <c r="AY626" s="77"/>
      <c r="AZ626" s="81" t="s">
        <v>5773</v>
      </c>
      <c r="BA626" s="81" t="s">
        <v>5773</v>
      </c>
      <c r="BB626" s="81" t="s">
        <v>5773</v>
      </c>
      <c r="BC626" s="81" t="s">
        <v>4989</v>
      </c>
      <c r="BD626" s="81" t="s">
        <v>5825</v>
      </c>
      <c r="BE626" s="77"/>
      <c r="BF626" s="77"/>
      <c r="BG626" s="77"/>
      <c r="BH626" s="77"/>
      <c r="BI626" s="77"/>
    </row>
    <row r="627" spans="1:61" ht="15">
      <c r="A627" s="62" t="s">
        <v>391</v>
      </c>
      <c r="B627" s="62" t="s">
        <v>391</v>
      </c>
      <c r="C627" s="63"/>
      <c r="D627" s="64"/>
      <c r="E627" s="65"/>
      <c r="F627" s="66"/>
      <c r="G627" s="63"/>
      <c r="H627" s="67"/>
      <c r="I627" s="68"/>
      <c r="J627" s="68"/>
      <c r="K627" s="32" t="s">
        <v>65</v>
      </c>
      <c r="L627" s="75">
        <v>627</v>
      </c>
      <c r="M627" s="75"/>
      <c r="N627" s="70"/>
      <c r="O627" s="77" t="s">
        <v>179</v>
      </c>
      <c r="P627" s="79">
        <v>43852.52560185185</v>
      </c>
      <c r="Q627" s="77" t="s">
        <v>1054</v>
      </c>
      <c r="R627" s="77">
        <v>0</v>
      </c>
      <c r="S627" s="77">
        <v>0</v>
      </c>
      <c r="T627" s="77">
        <v>0</v>
      </c>
      <c r="U627" s="77">
        <v>0</v>
      </c>
      <c r="V627" s="77"/>
      <c r="W627" s="81" t="s">
        <v>1855</v>
      </c>
      <c r="X627" s="80" t="str">
        <f>HYPERLINK("http://bit.ly/36aECOs")</f>
        <v>http://bit.ly/36aECOs</v>
      </c>
      <c r="Y627" s="77" t="s">
        <v>1984</v>
      </c>
      <c r="Z627" s="77"/>
      <c r="AA627" s="77" t="s">
        <v>2296</v>
      </c>
      <c r="AB627" s="77" t="s">
        <v>2696</v>
      </c>
      <c r="AC627" s="81" t="s">
        <v>2707</v>
      </c>
      <c r="AD627" s="77" t="s">
        <v>2751</v>
      </c>
      <c r="AE627" s="80" t="str">
        <f>HYPERLINK("https://twitter.com/binabindu/status/1219962129077297152")</f>
        <v>https://twitter.com/binabindu/status/1219962129077297152</v>
      </c>
      <c r="AF627" s="79">
        <v>43852.52560185185</v>
      </c>
      <c r="AG627" s="85">
        <v>43852</v>
      </c>
      <c r="AH627" s="81" t="s">
        <v>3244</v>
      </c>
      <c r="AI627" s="77" t="b">
        <v>0</v>
      </c>
      <c r="AJ627" s="77"/>
      <c r="AK627" s="77"/>
      <c r="AL627" s="77"/>
      <c r="AM627" s="77"/>
      <c r="AN627" s="77"/>
      <c r="AO627" s="77"/>
      <c r="AP627" s="77"/>
      <c r="AQ627" s="77" t="s">
        <v>4110</v>
      </c>
      <c r="AR627" s="77"/>
      <c r="AS627" s="77"/>
      <c r="AT627" s="77"/>
      <c r="AU627" s="77"/>
      <c r="AV627" s="80" t="str">
        <f>HYPERLINK("https://pbs.twimg.com/media/EO4tD2rVUAE9Zov.jpg")</f>
        <v>https://pbs.twimg.com/media/EO4tD2rVUAE9Zov.jpg</v>
      </c>
      <c r="AW627" s="81" t="s">
        <v>4990</v>
      </c>
      <c r="AX627" s="81" t="s">
        <v>4990</v>
      </c>
      <c r="AY627" s="77"/>
      <c r="AZ627" s="81" t="s">
        <v>5773</v>
      </c>
      <c r="BA627" s="81" t="s">
        <v>5773</v>
      </c>
      <c r="BB627" s="81" t="s">
        <v>5773</v>
      </c>
      <c r="BC627" s="81" t="s">
        <v>4990</v>
      </c>
      <c r="BD627" s="81" t="s">
        <v>5825</v>
      </c>
      <c r="BE627" s="77"/>
      <c r="BF627" s="77"/>
      <c r="BG627" s="77"/>
      <c r="BH627" s="77"/>
      <c r="BI627" s="77"/>
    </row>
    <row r="628" spans="1:61" ht="15">
      <c r="A628" s="62" t="s">
        <v>391</v>
      </c>
      <c r="B628" s="62" t="s">
        <v>391</v>
      </c>
      <c r="C628" s="63"/>
      <c r="D628" s="64"/>
      <c r="E628" s="65"/>
      <c r="F628" s="66"/>
      <c r="G628" s="63"/>
      <c r="H628" s="67"/>
      <c r="I628" s="68"/>
      <c r="J628" s="68"/>
      <c r="K628" s="32" t="s">
        <v>65</v>
      </c>
      <c r="L628" s="75">
        <v>628</v>
      </c>
      <c r="M628" s="75"/>
      <c r="N628" s="70"/>
      <c r="O628" s="77" t="s">
        <v>179</v>
      </c>
      <c r="P628" s="79">
        <v>43802.48519675926</v>
      </c>
      <c r="Q628" s="77" t="s">
        <v>1055</v>
      </c>
      <c r="R628" s="77">
        <v>0</v>
      </c>
      <c r="S628" s="77">
        <v>0</v>
      </c>
      <c r="T628" s="77">
        <v>0</v>
      </c>
      <c r="U628" s="77">
        <v>0</v>
      </c>
      <c r="V628" s="77"/>
      <c r="W628" s="81" t="s">
        <v>1856</v>
      </c>
      <c r="X628" s="80" t="str">
        <f>HYPERLINK("https://www.inovies.com/digital-marketing-company/ppc/pay-per-click-management-services")</f>
        <v>https://www.inovies.com/digital-marketing-company/ppc/pay-per-click-management-services</v>
      </c>
      <c r="Y628" s="77" t="s">
        <v>1982</v>
      </c>
      <c r="Z628" s="77"/>
      <c r="AA628" s="77" t="s">
        <v>2297</v>
      </c>
      <c r="AB628" s="77" t="s">
        <v>2696</v>
      </c>
      <c r="AC628" s="81" t="s">
        <v>2707</v>
      </c>
      <c r="AD628" s="77" t="s">
        <v>2751</v>
      </c>
      <c r="AE628" s="80" t="str">
        <f>HYPERLINK("https://twitter.com/binabindu/status/1201828095692378112")</f>
        <v>https://twitter.com/binabindu/status/1201828095692378112</v>
      </c>
      <c r="AF628" s="79">
        <v>43802.48519675926</v>
      </c>
      <c r="AG628" s="85">
        <v>43802</v>
      </c>
      <c r="AH628" s="81" t="s">
        <v>3245</v>
      </c>
      <c r="AI628" s="77" t="b">
        <v>0</v>
      </c>
      <c r="AJ628" s="77"/>
      <c r="AK628" s="77"/>
      <c r="AL628" s="77"/>
      <c r="AM628" s="77"/>
      <c r="AN628" s="77"/>
      <c r="AO628" s="77"/>
      <c r="AP628" s="77"/>
      <c r="AQ628" s="77" t="s">
        <v>4111</v>
      </c>
      <c r="AR628" s="77"/>
      <c r="AS628" s="77"/>
      <c r="AT628" s="77"/>
      <c r="AU628" s="77"/>
      <c r="AV628" s="80" t="str">
        <f>HYPERLINK("https://pbs.twimg.com/media/EK3ARi9UEAArXhZ.jpg")</f>
        <v>https://pbs.twimg.com/media/EK3ARi9UEAArXhZ.jpg</v>
      </c>
      <c r="AW628" s="81" t="s">
        <v>4991</v>
      </c>
      <c r="AX628" s="81" t="s">
        <v>4991</v>
      </c>
      <c r="AY628" s="77"/>
      <c r="AZ628" s="81" t="s">
        <v>5773</v>
      </c>
      <c r="BA628" s="81" t="s">
        <v>5773</v>
      </c>
      <c r="BB628" s="81" t="s">
        <v>5773</v>
      </c>
      <c r="BC628" s="81" t="s">
        <v>4991</v>
      </c>
      <c r="BD628" s="81" t="s">
        <v>5825</v>
      </c>
      <c r="BE628" s="77"/>
      <c r="BF628" s="77"/>
      <c r="BG628" s="77"/>
      <c r="BH628" s="77"/>
      <c r="BI628" s="77"/>
    </row>
    <row r="629" spans="1:61" ht="15">
      <c r="A629" s="62" t="s">
        <v>391</v>
      </c>
      <c r="B629" s="62" t="s">
        <v>391</v>
      </c>
      <c r="C629" s="63"/>
      <c r="D629" s="64"/>
      <c r="E629" s="65"/>
      <c r="F629" s="66"/>
      <c r="G629" s="63"/>
      <c r="H629" s="67"/>
      <c r="I629" s="68"/>
      <c r="J629" s="68"/>
      <c r="K629" s="32" t="s">
        <v>65</v>
      </c>
      <c r="L629" s="75">
        <v>629</v>
      </c>
      <c r="M629" s="75"/>
      <c r="N629" s="70"/>
      <c r="O629" s="77" t="s">
        <v>179</v>
      </c>
      <c r="P629" s="79">
        <v>43797.469375</v>
      </c>
      <c r="Q629" s="77" t="s">
        <v>1056</v>
      </c>
      <c r="R629" s="77">
        <v>1</v>
      </c>
      <c r="S629" s="77">
        <v>0</v>
      </c>
      <c r="T629" s="77">
        <v>0</v>
      </c>
      <c r="U629" s="77">
        <v>0</v>
      </c>
      <c r="V629" s="77"/>
      <c r="W629" s="81" t="s">
        <v>1857</v>
      </c>
      <c r="X629" s="80" t="str">
        <f>HYPERLINK("https://www.inovies.com/digital-marketing-company/seo-company")</f>
        <v>https://www.inovies.com/digital-marketing-company/seo-company</v>
      </c>
      <c r="Y629" s="77" t="s">
        <v>1982</v>
      </c>
      <c r="Z629" s="77"/>
      <c r="AA629" s="77" t="s">
        <v>2298</v>
      </c>
      <c r="AB629" s="77" t="s">
        <v>2696</v>
      </c>
      <c r="AC629" s="81" t="s">
        <v>2707</v>
      </c>
      <c r="AD629" s="77" t="s">
        <v>2751</v>
      </c>
      <c r="AE629" s="80" t="str">
        <f>HYPERLINK("https://twitter.com/binabindu/status/1200010421333180416")</f>
        <v>https://twitter.com/binabindu/status/1200010421333180416</v>
      </c>
      <c r="AF629" s="79">
        <v>43797.469375</v>
      </c>
      <c r="AG629" s="85">
        <v>43797</v>
      </c>
      <c r="AH629" s="81" t="s">
        <v>3246</v>
      </c>
      <c r="AI629" s="77" t="b">
        <v>0</v>
      </c>
      <c r="AJ629" s="77"/>
      <c r="AK629" s="77"/>
      <c r="AL629" s="77"/>
      <c r="AM629" s="77"/>
      <c r="AN629" s="77"/>
      <c r="AO629" s="77"/>
      <c r="AP629" s="77"/>
      <c r="AQ629" s="77" t="s">
        <v>4112</v>
      </c>
      <c r="AR629" s="77"/>
      <c r="AS629" s="77"/>
      <c r="AT629" s="77"/>
      <c r="AU629" s="77"/>
      <c r="AV629" s="80" t="str">
        <f>HYPERLINK("https://pbs.twimg.com/media/EKdLHKsVAAAZwhX.png")</f>
        <v>https://pbs.twimg.com/media/EKdLHKsVAAAZwhX.png</v>
      </c>
      <c r="AW629" s="81" t="s">
        <v>4992</v>
      </c>
      <c r="AX629" s="81" t="s">
        <v>4992</v>
      </c>
      <c r="AY629" s="77"/>
      <c r="AZ629" s="81" t="s">
        <v>5773</v>
      </c>
      <c r="BA629" s="81" t="s">
        <v>5773</v>
      </c>
      <c r="BB629" s="81" t="s">
        <v>5773</v>
      </c>
      <c r="BC629" s="81" t="s">
        <v>4992</v>
      </c>
      <c r="BD629" s="81" t="s">
        <v>5825</v>
      </c>
      <c r="BE629" s="77"/>
      <c r="BF629" s="77"/>
      <c r="BG629" s="77"/>
      <c r="BH629" s="77"/>
      <c r="BI629" s="77"/>
    </row>
    <row r="630" spans="1:61" ht="15">
      <c r="A630" s="62" t="s">
        <v>391</v>
      </c>
      <c r="B630" s="62" t="s">
        <v>391</v>
      </c>
      <c r="C630" s="63"/>
      <c r="D630" s="64"/>
      <c r="E630" s="65"/>
      <c r="F630" s="66"/>
      <c r="G630" s="63"/>
      <c r="H630" s="67"/>
      <c r="I630" s="68"/>
      <c r="J630" s="68"/>
      <c r="K630" s="32" t="s">
        <v>65</v>
      </c>
      <c r="L630" s="75">
        <v>630</v>
      </c>
      <c r="M630" s="75"/>
      <c r="N630" s="70"/>
      <c r="O630" s="77" t="s">
        <v>179</v>
      </c>
      <c r="P630" s="79">
        <v>43937.492581018516</v>
      </c>
      <c r="Q630" s="77" t="s">
        <v>1057</v>
      </c>
      <c r="R630" s="77">
        <v>0</v>
      </c>
      <c r="S630" s="77">
        <v>0</v>
      </c>
      <c r="T630" s="77">
        <v>0</v>
      </c>
      <c r="U630" s="77">
        <v>0</v>
      </c>
      <c r="V630" s="77"/>
      <c r="W630" s="81" t="s">
        <v>1858</v>
      </c>
      <c r="X630" s="80" t="str">
        <f>HYPERLINK("https://inovieswebanddevelopmentcompany.design.blog/2020/04/16/website-development-company-in-hyderabad/")</f>
        <v>https://inovieswebanddevelopmentcompany.design.blog/2020/04/16/website-development-company-in-hyderabad/</v>
      </c>
      <c r="Y630" s="77" t="s">
        <v>2035</v>
      </c>
      <c r="Z630" s="77"/>
      <c r="AA630" s="77" t="s">
        <v>2299</v>
      </c>
      <c r="AB630" s="77" t="s">
        <v>2696</v>
      </c>
      <c r="AC630" s="81" t="s">
        <v>2707</v>
      </c>
      <c r="AD630" s="77" t="s">
        <v>2751</v>
      </c>
      <c r="AE630" s="80" t="str">
        <f>HYPERLINK("https://twitter.com/binabindu/status/1250753133057175554")</f>
        <v>https://twitter.com/binabindu/status/1250753133057175554</v>
      </c>
      <c r="AF630" s="79">
        <v>43937.492581018516</v>
      </c>
      <c r="AG630" s="85">
        <v>43937</v>
      </c>
      <c r="AH630" s="81" t="s">
        <v>3247</v>
      </c>
      <c r="AI630" s="77" t="b">
        <v>0</v>
      </c>
      <c r="AJ630" s="77"/>
      <c r="AK630" s="77"/>
      <c r="AL630" s="77"/>
      <c r="AM630" s="77"/>
      <c r="AN630" s="77"/>
      <c r="AO630" s="77"/>
      <c r="AP630" s="77"/>
      <c r="AQ630" s="77" t="s">
        <v>4113</v>
      </c>
      <c r="AR630" s="77"/>
      <c r="AS630" s="77"/>
      <c r="AT630" s="77"/>
      <c r="AU630" s="77"/>
      <c r="AV630" s="80" t="str">
        <f>HYPERLINK("https://pbs.twimg.com/media/EVuRUNPVcAAYaxZ.jpg")</f>
        <v>https://pbs.twimg.com/media/EVuRUNPVcAAYaxZ.jpg</v>
      </c>
      <c r="AW630" s="81" t="s">
        <v>4993</v>
      </c>
      <c r="AX630" s="81" t="s">
        <v>4993</v>
      </c>
      <c r="AY630" s="77"/>
      <c r="AZ630" s="81" t="s">
        <v>5773</v>
      </c>
      <c r="BA630" s="81" t="s">
        <v>5773</v>
      </c>
      <c r="BB630" s="81" t="s">
        <v>5773</v>
      </c>
      <c r="BC630" s="81" t="s">
        <v>4993</v>
      </c>
      <c r="BD630" s="81" t="s">
        <v>5825</v>
      </c>
      <c r="BE630" s="77"/>
      <c r="BF630" s="77"/>
      <c r="BG630" s="77"/>
      <c r="BH630" s="77"/>
      <c r="BI630" s="77"/>
    </row>
    <row r="631" spans="1:61" ht="15">
      <c r="A631" s="62" t="s">
        <v>391</v>
      </c>
      <c r="B631" s="62" t="s">
        <v>391</v>
      </c>
      <c r="C631" s="63"/>
      <c r="D631" s="64"/>
      <c r="E631" s="65"/>
      <c r="F631" s="66"/>
      <c r="G631" s="63"/>
      <c r="H631" s="67"/>
      <c r="I631" s="68"/>
      <c r="J631" s="68"/>
      <c r="K631" s="32" t="s">
        <v>65</v>
      </c>
      <c r="L631" s="75">
        <v>631</v>
      </c>
      <c r="M631" s="75"/>
      <c r="N631" s="70"/>
      <c r="O631" s="77" t="s">
        <v>179</v>
      </c>
      <c r="P631" s="79">
        <v>43935.50332175926</v>
      </c>
      <c r="Q631" s="77" t="s">
        <v>1058</v>
      </c>
      <c r="R631" s="77">
        <v>0</v>
      </c>
      <c r="S631" s="77">
        <v>0</v>
      </c>
      <c r="T631" s="77">
        <v>0</v>
      </c>
      <c r="U631" s="77">
        <v>0</v>
      </c>
      <c r="V631" s="77"/>
      <c r="W631" s="81" t="s">
        <v>1859</v>
      </c>
      <c r="X631" s="80" t="str">
        <f>HYPERLINK("https://inovieswebanddevelopmentcompany.design.blog/2020/04/14/ecommerce-website-development-company/")</f>
        <v>https://inovieswebanddevelopmentcompany.design.blog/2020/04/14/ecommerce-website-development-company/</v>
      </c>
      <c r="Y631" s="77" t="s">
        <v>2035</v>
      </c>
      <c r="Z631" s="77"/>
      <c r="AA631" s="77" t="s">
        <v>2300</v>
      </c>
      <c r="AB631" s="77" t="s">
        <v>2696</v>
      </c>
      <c r="AC631" s="81" t="s">
        <v>2707</v>
      </c>
      <c r="AD631" s="77" t="s">
        <v>2751</v>
      </c>
      <c r="AE631" s="80" t="str">
        <f>HYPERLINK("https://twitter.com/binabindu/status/1250032248029507584")</f>
        <v>https://twitter.com/binabindu/status/1250032248029507584</v>
      </c>
      <c r="AF631" s="79">
        <v>43935.50332175926</v>
      </c>
      <c r="AG631" s="85">
        <v>43935</v>
      </c>
      <c r="AH631" s="81" t="s">
        <v>3248</v>
      </c>
      <c r="AI631" s="77" t="b">
        <v>0</v>
      </c>
      <c r="AJ631" s="77"/>
      <c r="AK631" s="77"/>
      <c r="AL631" s="77"/>
      <c r="AM631" s="77"/>
      <c r="AN631" s="77"/>
      <c r="AO631" s="77"/>
      <c r="AP631" s="77"/>
      <c r="AQ631" s="77" t="s">
        <v>4114</v>
      </c>
      <c r="AR631" s="77"/>
      <c r="AS631" s="77"/>
      <c r="AT631" s="77"/>
      <c r="AU631" s="77"/>
      <c r="AV631" s="80" t="str">
        <f>HYPERLINK("https://pbs.twimg.com/media/EVkBrdCUYAASgPj.jpg")</f>
        <v>https://pbs.twimg.com/media/EVkBrdCUYAASgPj.jpg</v>
      </c>
      <c r="AW631" s="81" t="s">
        <v>4994</v>
      </c>
      <c r="AX631" s="81" t="s">
        <v>4994</v>
      </c>
      <c r="AY631" s="77"/>
      <c r="AZ631" s="81" t="s">
        <v>5773</v>
      </c>
      <c r="BA631" s="81" t="s">
        <v>5773</v>
      </c>
      <c r="BB631" s="81" t="s">
        <v>5773</v>
      </c>
      <c r="BC631" s="81" t="s">
        <v>4994</v>
      </c>
      <c r="BD631" s="81" t="s">
        <v>5825</v>
      </c>
      <c r="BE631" s="77"/>
      <c r="BF631" s="77"/>
      <c r="BG631" s="77"/>
      <c r="BH631" s="77"/>
      <c r="BI631" s="77"/>
    </row>
    <row r="632" spans="1:61" ht="15">
      <c r="A632" s="62" t="s">
        <v>391</v>
      </c>
      <c r="B632" s="62" t="s">
        <v>391</v>
      </c>
      <c r="C632" s="63"/>
      <c r="D632" s="64"/>
      <c r="E632" s="65"/>
      <c r="F632" s="66"/>
      <c r="G632" s="63"/>
      <c r="H632" s="67"/>
      <c r="I632" s="68"/>
      <c r="J632" s="68"/>
      <c r="K632" s="32" t="s">
        <v>65</v>
      </c>
      <c r="L632" s="75">
        <v>632</v>
      </c>
      <c r="M632" s="75"/>
      <c r="N632" s="70"/>
      <c r="O632" s="77" t="s">
        <v>179</v>
      </c>
      <c r="P632" s="79">
        <v>43930.475335648145</v>
      </c>
      <c r="Q632" s="77" t="s">
        <v>1059</v>
      </c>
      <c r="R632" s="77">
        <v>0</v>
      </c>
      <c r="S632" s="77">
        <v>0</v>
      </c>
      <c r="T632" s="77">
        <v>0</v>
      </c>
      <c r="U632" s="77">
        <v>0</v>
      </c>
      <c r="V632" s="77"/>
      <c r="W632" s="81" t="s">
        <v>1858</v>
      </c>
      <c r="X632" s="80" t="str">
        <f>HYPERLINK("https://inovieswebanddevelopmentcompany.design.blog/2020/04/09/web-development-company-in-hyderabad/")</f>
        <v>https://inovieswebanddevelopmentcompany.design.blog/2020/04/09/web-development-company-in-hyderabad/</v>
      </c>
      <c r="Y632" s="77" t="s">
        <v>2035</v>
      </c>
      <c r="Z632" s="77"/>
      <c r="AA632" s="77" t="s">
        <v>2301</v>
      </c>
      <c r="AB632" s="77" t="s">
        <v>2696</v>
      </c>
      <c r="AC632" s="81" t="s">
        <v>2707</v>
      </c>
      <c r="AD632" s="77" t="s">
        <v>2751</v>
      </c>
      <c r="AE632" s="80" t="str">
        <f>HYPERLINK("https://twitter.com/binabindu/status/1248210168145268736")</f>
        <v>https://twitter.com/binabindu/status/1248210168145268736</v>
      </c>
      <c r="AF632" s="79">
        <v>43930.475335648145</v>
      </c>
      <c r="AG632" s="85">
        <v>43930</v>
      </c>
      <c r="AH632" s="81" t="s">
        <v>3249</v>
      </c>
      <c r="AI632" s="77" t="b">
        <v>0</v>
      </c>
      <c r="AJ632" s="77"/>
      <c r="AK632" s="77"/>
      <c r="AL632" s="77"/>
      <c r="AM632" s="77"/>
      <c r="AN632" s="77"/>
      <c r="AO632" s="77"/>
      <c r="AP632" s="77"/>
      <c r="AQ632" s="77" t="s">
        <v>4115</v>
      </c>
      <c r="AR632" s="77"/>
      <c r="AS632" s="77"/>
      <c r="AT632" s="77"/>
      <c r="AU632" s="77"/>
      <c r="AV632" s="80" t="str">
        <f>HYPERLINK("https://pbs.twimg.com/media/EVKIhleVAAE2NpU.jpg")</f>
        <v>https://pbs.twimg.com/media/EVKIhleVAAE2NpU.jpg</v>
      </c>
      <c r="AW632" s="81" t="s">
        <v>4995</v>
      </c>
      <c r="AX632" s="81" t="s">
        <v>4995</v>
      </c>
      <c r="AY632" s="77"/>
      <c r="AZ632" s="81" t="s">
        <v>5773</v>
      </c>
      <c r="BA632" s="81" t="s">
        <v>5773</v>
      </c>
      <c r="BB632" s="81" t="s">
        <v>5773</v>
      </c>
      <c r="BC632" s="81" t="s">
        <v>4995</v>
      </c>
      <c r="BD632" s="81" t="s">
        <v>5825</v>
      </c>
      <c r="BE632" s="77"/>
      <c r="BF632" s="77"/>
      <c r="BG632" s="77"/>
      <c r="BH632" s="77"/>
      <c r="BI632" s="77"/>
    </row>
    <row r="633" spans="1:61" ht="15">
      <c r="A633" s="62" t="s">
        <v>391</v>
      </c>
      <c r="B633" s="62" t="s">
        <v>391</v>
      </c>
      <c r="C633" s="63"/>
      <c r="D633" s="64"/>
      <c r="E633" s="65"/>
      <c r="F633" s="66"/>
      <c r="G633" s="63"/>
      <c r="H633" s="67"/>
      <c r="I633" s="68"/>
      <c r="J633" s="68"/>
      <c r="K633" s="32" t="s">
        <v>65</v>
      </c>
      <c r="L633" s="75">
        <v>633</v>
      </c>
      <c r="M633" s="75"/>
      <c r="N633" s="70"/>
      <c r="O633" s="77" t="s">
        <v>179</v>
      </c>
      <c r="P633" s="79">
        <v>43959.44825231482</v>
      </c>
      <c r="Q633" s="77" t="s">
        <v>1060</v>
      </c>
      <c r="R633" s="77">
        <v>0</v>
      </c>
      <c r="S633" s="77">
        <v>0</v>
      </c>
      <c r="T633" s="77">
        <v>0</v>
      </c>
      <c r="U633" s="77">
        <v>0</v>
      </c>
      <c r="V633" s="77"/>
      <c r="W633" s="81" t="s">
        <v>1858</v>
      </c>
      <c r="X633" s="80" t="str">
        <f>HYPERLINK("https://ecommerdwebsitedevelopmentce.wordpress.com/2020/05/08/advanced-website-development-company/")</f>
        <v>https://ecommerdwebsitedevelopmentce.wordpress.com/2020/05/08/advanced-website-development-company/</v>
      </c>
      <c r="Y633" s="77" t="s">
        <v>2036</v>
      </c>
      <c r="Z633" s="77"/>
      <c r="AA633" s="77" t="s">
        <v>2302</v>
      </c>
      <c r="AB633" s="77" t="s">
        <v>2696</v>
      </c>
      <c r="AC633" s="81" t="s">
        <v>2707</v>
      </c>
      <c r="AD633" s="77" t="s">
        <v>2751</v>
      </c>
      <c r="AE633" s="80" t="str">
        <f>HYPERLINK("https://twitter.com/binabindu/status/1258709603023327232")</f>
        <v>https://twitter.com/binabindu/status/1258709603023327232</v>
      </c>
      <c r="AF633" s="79">
        <v>43959.44825231482</v>
      </c>
      <c r="AG633" s="85">
        <v>43959</v>
      </c>
      <c r="AH633" s="81" t="s">
        <v>3250</v>
      </c>
      <c r="AI633" s="77" t="b">
        <v>0</v>
      </c>
      <c r="AJ633" s="77"/>
      <c r="AK633" s="77"/>
      <c r="AL633" s="77"/>
      <c r="AM633" s="77"/>
      <c r="AN633" s="77"/>
      <c r="AO633" s="77"/>
      <c r="AP633" s="77"/>
      <c r="AQ633" s="77" t="s">
        <v>4116</v>
      </c>
      <c r="AR633" s="77"/>
      <c r="AS633" s="77"/>
      <c r="AT633" s="77"/>
      <c r="AU633" s="77"/>
      <c r="AV633" s="80" t="str">
        <f>HYPERLINK("https://pbs.twimg.com/media/EXfVs-CUEAAq-BO.jpg")</f>
        <v>https://pbs.twimg.com/media/EXfVs-CUEAAq-BO.jpg</v>
      </c>
      <c r="AW633" s="81" t="s">
        <v>4996</v>
      </c>
      <c r="AX633" s="81" t="s">
        <v>4996</v>
      </c>
      <c r="AY633" s="77"/>
      <c r="AZ633" s="81" t="s">
        <v>5773</v>
      </c>
      <c r="BA633" s="81" t="s">
        <v>5773</v>
      </c>
      <c r="BB633" s="81" t="s">
        <v>5773</v>
      </c>
      <c r="BC633" s="81" t="s">
        <v>4996</v>
      </c>
      <c r="BD633" s="81" t="s">
        <v>5825</v>
      </c>
      <c r="BE633" s="77"/>
      <c r="BF633" s="77"/>
      <c r="BG633" s="77"/>
      <c r="BH633" s="77"/>
      <c r="BI633" s="77"/>
    </row>
    <row r="634" spans="1:61" ht="15">
      <c r="A634" s="62" t="s">
        <v>391</v>
      </c>
      <c r="B634" s="62" t="s">
        <v>391</v>
      </c>
      <c r="C634" s="63"/>
      <c r="D634" s="64"/>
      <c r="E634" s="65"/>
      <c r="F634" s="66"/>
      <c r="G634" s="63"/>
      <c r="H634" s="67"/>
      <c r="I634" s="68"/>
      <c r="J634" s="68"/>
      <c r="K634" s="32" t="s">
        <v>65</v>
      </c>
      <c r="L634" s="75">
        <v>634</v>
      </c>
      <c r="M634" s="75"/>
      <c r="N634" s="70"/>
      <c r="O634" s="77" t="s">
        <v>179</v>
      </c>
      <c r="P634" s="79">
        <v>43958.46649305556</v>
      </c>
      <c r="Q634" s="77" t="s">
        <v>1061</v>
      </c>
      <c r="R634" s="77">
        <v>0</v>
      </c>
      <c r="S634" s="77">
        <v>0</v>
      </c>
      <c r="T634" s="77">
        <v>0</v>
      </c>
      <c r="U634" s="77">
        <v>0</v>
      </c>
      <c r="V634" s="77"/>
      <c r="W634" s="81" t="s">
        <v>1860</v>
      </c>
      <c r="X634" s="80" t="str">
        <f>HYPERLINK("https://ecommerdwebsitedevelopmentce.wordpress.com/2020/05/07/custom-android-application-development-company/")</f>
        <v>https://ecommerdwebsitedevelopmentce.wordpress.com/2020/05/07/custom-android-application-development-company/</v>
      </c>
      <c r="Y634" s="77" t="s">
        <v>2036</v>
      </c>
      <c r="Z634" s="77"/>
      <c r="AA634" s="77" t="s">
        <v>2303</v>
      </c>
      <c r="AB634" s="77" t="s">
        <v>2696</v>
      </c>
      <c r="AC634" s="81" t="s">
        <v>2707</v>
      </c>
      <c r="AD634" s="77" t="s">
        <v>2751</v>
      </c>
      <c r="AE634" s="80" t="str">
        <f>HYPERLINK("https://twitter.com/binabindu/status/1258353825817088000")</f>
        <v>https://twitter.com/binabindu/status/1258353825817088000</v>
      </c>
      <c r="AF634" s="79">
        <v>43958.46649305556</v>
      </c>
      <c r="AG634" s="85">
        <v>43958</v>
      </c>
      <c r="AH634" s="81" t="s">
        <v>3251</v>
      </c>
      <c r="AI634" s="77" t="b">
        <v>0</v>
      </c>
      <c r="AJ634" s="77"/>
      <c r="AK634" s="77"/>
      <c r="AL634" s="77"/>
      <c r="AM634" s="77"/>
      <c r="AN634" s="77"/>
      <c r="AO634" s="77"/>
      <c r="AP634" s="77"/>
      <c r="AQ634" s="77" t="s">
        <v>4117</v>
      </c>
      <c r="AR634" s="77"/>
      <c r="AS634" s="77"/>
      <c r="AT634" s="77"/>
      <c r="AU634" s="77"/>
      <c r="AV634" s="80" t="str">
        <f>HYPERLINK("https://pbs.twimg.com/media/EXaSHfiVcAAcXg_.jpg")</f>
        <v>https://pbs.twimg.com/media/EXaSHfiVcAAcXg_.jpg</v>
      </c>
      <c r="AW634" s="81" t="s">
        <v>4997</v>
      </c>
      <c r="AX634" s="81" t="s">
        <v>4997</v>
      </c>
      <c r="AY634" s="77"/>
      <c r="AZ634" s="81" t="s">
        <v>5773</v>
      </c>
      <c r="BA634" s="81" t="s">
        <v>5773</v>
      </c>
      <c r="BB634" s="81" t="s">
        <v>5773</v>
      </c>
      <c r="BC634" s="81" t="s">
        <v>4997</v>
      </c>
      <c r="BD634" s="81" t="s">
        <v>5825</v>
      </c>
      <c r="BE634" s="77"/>
      <c r="BF634" s="77"/>
      <c r="BG634" s="77"/>
      <c r="BH634" s="77"/>
      <c r="BI634" s="77"/>
    </row>
    <row r="635" spans="1:61" ht="15">
      <c r="A635" s="62" t="s">
        <v>391</v>
      </c>
      <c r="B635" s="62" t="s">
        <v>391</v>
      </c>
      <c r="C635" s="63"/>
      <c r="D635" s="64"/>
      <c r="E635" s="65"/>
      <c r="F635" s="66"/>
      <c r="G635" s="63"/>
      <c r="H635" s="67"/>
      <c r="I635" s="68"/>
      <c r="J635" s="68"/>
      <c r="K635" s="32" t="s">
        <v>65</v>
      </c>
      <c r="L635" s="75">
        <v>635</v>
      </c>
      <c r="M635" s="75"/>
      <c r="N635" s="70"/>
      <c r="O635" s="77" t="s">
        <v>179</v>
      </c>
      <c r="P635" s="79">
        <v>43950.48986111111</v>
      </c>
      <c r="Q635" s="77" t="s">
        <v>1062</v>
      </c>
      <c r="R635" s="77">
        <v>0</v>
      </c>
      <c r="S635" s="77">
        <v>0</v>
      </c>
      <c r="T635" s="77">
        <v>0</v>
      </c>
      <c r="U635" s="77">
        <v>0</v>
      </c>
      <c r="V635" s="77"/>
      <c r="W635" s="81" t="s">
        <v>1861</v>
      </c>
      <c r="X635" s="80" t="str">
        <f>HYPERLINK("https://ecommerdwebsitedevelopmentce.wordpress.com/2020/04/29/web-application-development-company/")</f>
        <v>https://ecommerdwebsitedevelopmentce.wordpress.com/2020/04/29/web-application-development-company/</v>
      </c>
      <c r="Y635" s="77" t="s">
        <v>2036</v>
      </c>
      <c r="Z635" s="77"/>
      <c r="AA635" s="77" t="s">
        <v>2304</v>
      </c>
      <c r="AB635" s="77" t="s">
        <v>2696</v>
      </c>
      <c r="AC635" s="81" t="s">
        <v>2707</v>
      </c>
      <c r="AD635" s="77" t="s">
        <v>2751</v>
      </c>
      <c r="AE635" s="80" t="str">
        <f>HYPERLINK("https://twitter.com/binabindu/status/1255463188168093697")</f>
        <v>https://twitter.com/binabindu/status/1255463188168093697</v>
      </c>
      <c r="AF635" s="79">
        <v>43950.48986111111</v>
      </c>
      <c r="AG635" s="85">
        <v>43950</v>
      </c>
      <c r="AH635" s="81" t="s">
        <v>3252</v>
      </c>
      <c r="AI635" s="77" t="b">
        <v>0</v>
      </c>
      <c r="AJ635" s="77"/>
      <c r="AK635" s="77"/>
      <c r="AL635" s="77"/>
      <c r="AM635" s="77"/>
      <c r="AN635" s="77"/>
      <c r="AO635" s="77"/>
      <c r="AP635" s="77"/>
      <c r="AQ635" s="77" t="s">
        <v>4118</v>
      </c>
      <c r="AR635" s="77"/>
      <c r="AS635" s="77"/>
      <c r="AT635" s="77"/>
      <c r="AU635" s="77"/>
      <c r="AV635" s="80" t="str">
        <f>HYPERLINK("https://pbs.twimg.com/media/EWxNG0uXsAEfKgC.jpg")</f>
        <v>https://pbs.twimg.com/media/EWxNG0uXsAEfKgC.jpg</v>
      </c>
      <c r="AW635" s="81" t="s">
        <v>4998</v>
      </c>
      <c r="AX635" s="81" t="s">
        <v>4998</v>
      </c>
      <c r="AY635" s="77"/>
      <c r="AZ635" s="81" t="s">
        <v>5773</v>
      </c>
      <c r="BA635" s="81" t="s">
        <v>5773</v>
      </c>
      <c r="BB635" s="81" t="s">
        <v>5773</v>
      </c>
      <c r="BC635" s="81" t="s">
        <v>4998</v>
      </c>
      <c r="BD635" s="81" t="s">
        <v>5825</v>
      </c>
      <c r="BE635" s="77"/>
      <c r="BF635" s="77"/>
      <c r="BG635" s="77"/>
      <c r="BH635" s="77"/>
      <c r="BI635" s="77"/>
    </row>
    <row r="636" spans="1:61" ht="15">
      <c r="A636" s="62" t="s">
        <v>392</v>
      </c>
      <c r="B636" s="62" t="s">
        <v>553</v>
      </c>
      <c r="C636" s="63"/>
      <c r="D636" s="64"/>
      <c r="E636" s="65"/>
      <c r="F636" s="66"/>
      <c r="G636" s="63"/>
      <c r="H636" s="67"/>
      <c r="I636" s="68"/>
      <c r="J636" s="68"/>
      <c r="K636" s="32" t="s">
        <v>65</v>
      </c>
      <c r="L636" s="75">
        <v>636</v>
      </c>
      <c r="M636" s="75"/>
      <c r="N636" s="70"/>
      <c r="O636" s="77" t="s">
        <v>571</v>
      </c>
      <c r="P636" s="79">
        <v>42154.22828703704</v>
      </c>
      <c r="Q636" s="77" t="s">
        <v>1063</v>
      </c>
      <c r="R636" s="77">
        <v>5</v>
      </c>
      <c r="S636" s="77">
        <v>5</v>
      </c>
      <c r="T636" s="77">
        <v>0</v>
      </c>
      <c r="U636" s="77">
        <v>0</v>
      </c>
      <c r="V636" s="77"/>
      <c r="W636" s="81" t="s">
        <v>1721</v>
      </c>
      <c r="X636" s="77" t="s">
        <v>1968</v>
      </c>
      <c r="Y636" s="77" t="s">
        <v>2037</v>
      </c>
      <c r="Z636" s="77" t="s">
        <v>2097</v>
      </c>
      <c r="AA636" s="77" t="s">
        <v>2305</v>
      </c>
      <c r="AB636" s="77" t="s">
        <v>2696</v>
      </c>
      <c r="AC636" s="81" t="s">
        <v>2742</v>
      </c>
      <c r="AD636" s="77" t="s">
        <v>2751</v>
      </c>
      <c r="AE636" s="80" t="str">
        <f>HYPERLINK("https://twitter.com/cssnectar/status/604519790783258624")</f>
        <v>https://twitter.com/cssnectar/status/604519790783258624</v>
      </c>
      <c r="AF636" s="79">
        <v>42154.22828703704</v>
      </c>
      <c r="AG636" s="85">
        <v>42154</v>
      </c>
      <c r="AH636" s="81" t="s">
        <v>3253</v>
      </c>
      <c r="AI636" s="77" t="b">
        <v>0</v>
      </c>
      <c r="AJ636" s="77"/>
      <c r="AK636" s="77"/>
      <c r="AL636" s="77"/>
      <c r="AM636" s="77"/>
      <c r="AN636" s="77"/>
      <c r="AO636" s="77"/>
      <c r="AP636" s="77"/>
      <c r="AQ636" s="77" t="s">
        <v>4119</v>
      </c>
      <c r="AR636" s="77"/>
      <c r="AS636" s="77"/>
      <c r="AT636" s="77"/>
      <c r="AU636" s="77"/>
      <c r="AV636" s="80" t="str">
        <f>HYPERLINK("https://pbs.twimg.com/media/CGOvi_XUQAE9Cvb.jpg")</f>
        <v>https://pbs.twimg.com/media/CGOvi_XUQAE9Cvb.jpg</v>
      </c>
      <c r="AW636" s="81" t="s">
        <v>4999</v>
      </c>
      <c r="AX636" s="81" t="s">
        <v>4999</v>
      </c>
      <c r="AY636" s="77"/>
      <c r="AZ636" s="81" t="s">
        <v>5773</v>
      </c>
      <c r="BA636" s="81" t="s">
        <v>5773</v>
      </c>
      <c r="BB636" s="81" t="s">
        <v>5773</v>
      </c>
      <c r="BC636" s="81" t="s">
        <v>4999</v>
      </c>
      <c r="BD636" s="77">
        <v>2833476896</v>
      </c>
      <c r="BE636" s="77"/>
      <c r="BF636" s="77"/>
      <c r="BG636" s="77"/>
      <c r="BH636" s="77"/>
      <c r="BI636" s="77"/>
    </row>
    <row r="637" spans="1:61" ht="15">
      <c r="A637" s="62" t="s">
        <v>392</v>
      </c>
      <c r="B637" s="62" t="s">
        <v>299</v>
      </c>
      <c r="C637" s="63"/>
      <c r="D637" s="64"/>
      <c r="E637" s="65"/>
      <c r="F637" s="66"/>
      <c r="G637" s="63"/>
      <c r="H637" s="67"/>
      <c r="I637" s="68"/>
      <c r="J637" s="68"/>
      <c r="K637" s="32" t="s">
        <v>65</v>
      </c>
      <c r="L637" s="75">
        <v>637</v>
      </c>
      <c r="M637" s="75"/>
      <c r="N637" s="70"/>
      <c r="O637" s="77" t="s">
        <v>571</v>
      </c>
      <c r="P637" s="79">
        <v>42801.484456018516</v>
      </c>
      <c r="Q637" s="77" t="s">
        <v>1064</v>
      </c>
      <c r="R637" s="77">
        <v>3</v>
      </c>
      <c r="S637" s="77">
        <v>3</v>
      </c>
      <c r="T637" s="77">
        <v>0</v>
      </c>
      <c r="U637" s="77">
        <v>0</v>
      </c>
      <c r="V637" s="77"/>
      <c r="W637" s="81" t="s">
        <v>1721</v>
      </c>
      <c r="X637" s="77" t="s">
        <v>1969</v>
      </c>
      <c r="Y637" s="77" t="s">
        <v>2037</v>
      </c>
      <c r="Z637" s="77" t="s">
        <v>299</v>
      </c>
      <c r="AA637" s="77" t="s">
        <v>2306</v>
      </c>
      <c r="AB637" s="77" t="s">
        <v>2696</v>
      </c>
      <c r="AC637" s="81" t="s">
        <v>2742</v>
      </c>
      <c r="AD637" s="77" t="s">
        <v>2751</v>
      </c>
      <c r="AE637" s="80" t="str">
        <f>HYPERLINK("https://twitter.com/cssnectar/status/839077574735167488")</f>
        <v>https://twitter.com/cssnectar/status/839077574735167488</v>
      </c>
      <c r="AF637" s="79">
        <v>42801.484456018516</v>
      </c>
      <c r="AG637" s="85">
        <v>42801</v>
      </c>
      <c r="AH637" s="81" t="s">
        <v>3254</v>
      </c>
      <c r="AI637" s="77" t="b">
        <v>0</v>
      </c>
      <c r="AJ637" s="77"/>
      <c r="AK637" s="77"/>
      <c r="AL637" s="77"/>
      <c r="AM637" s="77"/>
      <c r="AN637" s="77"/>
      <c r="AO637" s="77"/>
      <c r="AP637" s="77"/>
      <c r="AQ637" s="77" t="s">
        <v>4120</v>
      </c>
      <c r="AR637" s="77"/>
      <c r="AS637" s="77"/>
      <c r="AT637" s="77"/>
      <c r="AU637" s="77"/>
      <c r="AV637" s="80" t="str">
        <f>HYPERLINK("https://pbs.twimg.com/media/C6UAmzrWgAAEaVf.jpg")</f>
        <v>https://pbs.twimg.com/media/C6UAmzrWgAAEaVf.jpg</v>
      </c>
      <c r="AW637" s="81" t="s">
        <v>5000</v>
      </c>
      <c r="AX637" s="81" t="s">
        <v>5000</v>
      </c>
      <c r="AY637" s="77"/>
      <c r="AZ637" s="81" t="s">
        <v>5773</v>
      </c>
      <c r="BA637" s="81" t="s">
        <v>5773</v>
      </c>
      <c r="BB637" s="81" t="s">
        <v>5773</v>
      </c>
      <c r="BC637" s="81" t="s">
        <v>5000</v>
      </c>
      <c r="BD637" s="77">
        <v>2833476896</v>
      </c>
      <c r="BE637" s="77"/>
      <c r="BF637" s="77"/>
      <c r="BG637" s="77"/>
      <c r="BH637" s="77"/>
      <c r="BI637" s="77"/>
    </row>
    <row r="638" spans="1:61" ht="15">
      <c r="A638" s="62" t="s">
        <v>392</v>
      </c>
      <c r="B638" s="62" t="s">
        <v>299</v>
      </c>
      <c r="C638" s="63"/>
      <c r="D638" s="64"/>
      <c r="E638" s="65"/>
      <c r="F638" s="66"/>
      <c r="G638" s="63"/>
      <c r="H638" s="67"/>
      <c r="I638" s="68"/>
      <c r="J638" s="68"/>
      <c r="K638" s="32" t="s">
        <v>65</v>
      </c>
      <c r="L638" s="75">
        <v>638</v>
      </c>
      <c r="M638" s="75"/>
      <c r="N638" s="70"/>
      <c r="O638" s="77" t="s">
        <v>571</v>
      </c>
      <c r="P638" s="79">
        <v>42153.3109837963</v>
      </c>
      <c r="Q638" s="77" t="s">
        <v>1065</v>
      </c>
      <c r="R638" s="77">
        <v>3</v>
      </c>
      <c r="S638" s="77">
        <v>6</v>
      </c>
      <c r="T638" s="77">
        <v>0</v>
      </c>
      <c r="U638" s="77">
        <v>0</v>
      </c>
      <c r="V638" s="77"/>
      <c r="W638" s="81" t="s">
        <v>1721</v>
      </c>
      <c r="X638" s="80" t="str">
        <f>HYPERLINK("http://cssnectar.com/css-gallery-inspiration/best-web-design-company-in-uae/")</f>
        <v>http://cssnectar.com/css-gallery-inspiration/best-web-design-company-in-uae/</v>
      </c>
      <c r="Y638" s="77" t="s">
        <v>2038</v>
      </c>
      <c r="Z638" s="77" t="s">
        <v>299</v>
      </c>
      <c r="AA638" s="77" t="s">
        <v>2307</v>
      </c>
      <c r="AB638" s="77" t="s">
        <v>2696</v>
      </c>
      <c r="AC638" s="81" t="s">
        <v>2705</v>
      </c>
      <c r="AD638" s="77" t="s">
        <v>2751</v>
      </c>
      <c r="AE638" s="80" t="str">
        <f>HYPERLINK("https://twitter.com/cssnectar/status/604187370846474240")</f>
        <v>https://twitter.com/cssnectar/status/604187370846474240</v>
      </c>
      <c r="AF638" s="79">
        <v>42153.3109837963</v>
      </c>
      <c r="AG638" s="85">
        <v>42153</v>
      </c>
      <c r="AH638" s="81" t="s">
        <v>3255</v>
      </c>
      <c r="AI638" s="77" t="b">
        <v>0</v>
      </c>
      <c r="AJ638" s="77" t="s">
        <v>3886</v>
      </c>
      <c r="AK638" s="77" t="s">
        <v>3891</v>
      </c>
      <c r="AL638" s="77" t="s">
        <v>3894</v>
      </c>
      <c r="AM638" s="77" t="s">
        <v>3900</v>
      </c>
      <c r="AN638" s="77" t="s">
        <v>3907</v>
      </c>
      <c r="AO638" s="77" t="s">
        <v>3915</v>
      </c>
      <c r="AP638" s="77" t="s">
        <v>3918</v>
      </c>
      <c r="AQ638" s="77" t="s">
        <v>4121</v>
      </c>
      <c r="AR638" s="77"/>
      <c r="AS638" s="77"/>
      <c r="AT638" s="77"/>
      <c r="AU638" s="77"/>
      <c r="AV638" s="80" t="str">
        <f>HYPERLINK("https://pbs.twimg.com/media/CGKBNcrUUAA_uMX.jpg")</f>
        <v>https://pbs.twimg.com/media/CGKBNcrUUAA_uMX.jpg</v>
      </c>
      <c r="AW638" s="81" t="s">
        <v>5001</v>
      </c>
      <c r="AX638" s="81" t="s">
        <v>5001</v>
      </c>
      <c r="AY638" s="77"/>
      <c r="AZ638" s="81" t="s">
        <v>5773</v>
      </c>
      <c r="BA638" s="81" t="s">
        <v>5773</v>
      </c>
      <c r="BB638" s="81" t="s">
        <v>5773</v>
      </c>
      <c r="BC638" s="81" t="s">
        <v>5001</v>
      </c>
      <c r="BD638" s="77">
        <v>2833476896</v>
      </c>
      <c r="BE638" s="77"/>
      <c r="BF638" s="77"/>
      <c r="BG638" s="77"/>
      <c r="BH638" s="77"/>
      <c r="BI638" s="77"/>
    </row>
    <row r="639" spans="1:61" ht="15">
      <c r="A639" s="62" t="s">
        <v>392</v>
      </c>
      <c r="B639" s="62" t="s">
        <v>299</v>
      </c>
      <c r="C639" s="63"/>
      <c r="D639" s="64"/>
      <c r="E639" s="65"/>
      <c r="F639" s="66"/>
      <c r="G639" s="63"/>
      <c r="H639" s="67"/>
      <c r="I639" s="68"/>
      <c r="J639" s="68"/>
      <c r="K639" s="32" t="s">
        <v>65</v>
      </c>
      <c r="L639" s="75">
        <v>639</v>
      </c>
      <c r="M639" s="75"/>
      <c r="N639" s="70"/>
      <c r="O639" s="77" t="s">
        <v>571</v>
      </c>
      <c r="P639" s="79">
        <v>42526.21944444445</v>
      </c>
      <c r="Q639" s="77" t="s">
        <v>1066</v>
      </c>
      <c r="R639" s="77">
        <v>0</v>
      </c>
      <c r="S639" s="77">
        <v>2</v>
      </c>
      <c r="T639" s="77">
        <v>0</v>
      </c>
      <c r="U639" s="77">
        <v>0</v>
      </c>
      <c r="V639" s="77"/>
      <c r="W639" s="81" t="s">
        <v>1721</v>
      </c>
      <c r="X639" s="77" t="s">
        <v>1970</v>
      </c>
      <c r="Y639" s="77" t="s">
        <v>2037</v>
      </c>
      <c r="Z639" s="77" t="s">
        <v>299</v>
      </c>
      <c r="AA639" s="77" t="s">
        <v>2308</v>
      </c>
      <c r="AB639" s="77" t="s">
        <v>2696</v>
      </c>
      <c r="AC639" s="81" t="s">
        <v>2742</v>
      </c>
      <c r="AD639" s="77" t="s">
        <v>2751</v>
      </c>
      <c r="AE639" s="80" t="str">
        <f>HYPERLINK("https://twitter.com/cssnectar/status/739324873751691264")</f>
        <v>https://twitter.com/cssnectar/status/739324873751691264</v>
      </c>
      <c r="AF639" s="79">
        <v>42526.21944444445</v>
      </c>
      <c r="AG639" s="85">
        <v>42526</v>
      </c>
      <c r="AH639" s="81" t="s">
        <v>3256</v>
      </c>
      <c r="AI639" s="77" t="b">
        <v>0</v>
      </c>
      <c r="AJ639" s="77"/>
      <c r="AK639" s="77"/>
      <c r="AL639" s="77"/>
      <c r="AM639" s="77"/>
      <c r="AN639" s="77"/>
      <c r="AO639" s="77"/>
      <c r="AP639" s="77"/>
      <c r="AQ639" s="77" t="s">
        <v>4122</v>
      </c>
      <c r="AR639" s="77"/>
      <c r="AS639" s="77"/>
      <c r="AT639" s="77"/>
      <c r="AU639" s="77"/>
      <c r="AV639" s="80" t="str">
        <f>HYPERLINK("https://pbs.twimg.com/media/CkKcDbAUoAAXMVL.jpg")</f>
        <v>https://pbs.twimg.com/media/CkKcDbAUoAAXMVL.jpg</v>
      </c>
      <c r="AW639" s="81" t="s">
        <v>5002</v>
      </c>
      <c r="AX639" s="81" t="s">
        <v>5002</v>
      </c>
      <c r="AY639" s="77"/>
      <c r="AZ639" s="81" t="s">
        <v>5773</v>
      </c>
      <c r="BA639" s="81" t="s">
        <v>5773</v>
      </c>
      <c r="BB639" s="81" t="s">
        <v>5773</v>
      </c>
      <c r="BC639" s="81" t="s">
        <v>5002</v>
      </c>
      <c r="BD639" s="77">
        <v>2833476896</v>
      </c>
      <c r="BE639" s="77"/>
      <c r="BF639" s="77"/>
      <c r="BG639" s="77"/>
      <c r="BH639" s="77"/>
      <c r="BI639" s="77"/>
    </row>
    <row r="640" spans="1:61" ht="15">
      <c r="A640" s="62" t="s">
        <v>392</v>
      </c>
      <c r="B640" s="62" t="s">
        <v>299</v>
      </c>
      <c r="C640" s="63"/>
      <c r="D640" s="64"/>
      <c r="E640" s="65"/>
      <c r="F640" s="66"/>
      <c r="G640" s="63"/>
      <c r="H640" s="67"/>
      <c r="I640" s="68"/>
      <c r="J640" s="68"/>
      <c r="K640" s="32" t="s">
        <v>65</v>
      </c>
      <c r="L640" s="75">
        <v>640</v>
      </c>
      <c r="M640" s="75"/>
      <c r="N640" s="70"/>
      <c r="O640" s="77" t="s">
        <v>571</v>
      </c>
      <c r="P640" s="79">
        <v>42154.22828703704</v>
      </c>
      <c r="Q640" s="77" t="s">
        <v>1063</v>
      </c>
      <c r="R640" s="77">
        <v>5</v>
      </c>
      <c r="S640" s="77">
        <v>5</v>
      </c>
      <c r="T640" s="77">
        <v>0</v>
      </c>
      <c r="U640" s="77">
        <v>0</v>
      </c>
      <c r="V640" s="77"/>
      <c r="W640" s="81" t="s">
        <v>1721</v>
      </c>
      <c r="X640" s="77" t="s">
        <v>1968</v>
      </c>
      <c r="Y640" s="77" t="s">
        <v>2037</v>
      </c>
      <c r="Z640" s="77" t="s">
        <v>2097</v>
      </c>
      <c r="AA640" s="77" t="s">
        <v>2305</v>
      </c>
      <c r="AB640" s="77" t="s">
        <v>2696</v>
      </c>
      <c r="AC640" s="81" t="s">
        <v>2742</v>
      </c>
      <c r="AD640" s="77" t="s">
        <v>2751</v>
      </c>
      <c r="AE640" s="80" t="str">
        <f>HYPERLINK("https://twitter.com/cssnectar/status/604519790783258624")</f>
        <v>https://twitter.com/cssnectar/status/604519790783258624</v>
      </c>
      <c r="AF640" s="79">
        <v>42154.22828703704</v>
      </c>
      <c r="AG640" s="85">
        <v>42154</v>
      </c>
      <c r="AH640" s="81" t="s">
        <v>3253</v>
      </c>
      <c r="AI640" s="77" t="b">
        <v>0</v>
      </c>
      <c r="AJ640" s="77"/>
      <c r="AK640" s="77"/>
      <c r="AL640" s="77"/>
      <c r="AM640" s="77"/>
      <c r="AN640" s="77"/>
      <c r="AO640" s="77"/>
      <c r="AP640" s="77"/>
      <c r="AQ640" s="77" t="s">
        <v>4119</v>
      </c>
      <c r="AR640" s="77"/>
      <c r="AS640" s="77"/>
      <c r="AT640" s="77"/>
      <c r="AU640" s="77"/>
      <c r="AV640" s="80" t="str">
        <f>HYPERLINK("https://pbs.twimg.com/media/CGOvi_XUQAE9Cvb.jpg")</f>
        <v>https://pbs.twimg.com/media/CGOvi_XUQAE9Cvb.jpg</v>
      </c>
      <c r="AW640" s="81" t="s">
        <v>4999</v>
      </c>
      <c r="AX640" s="81" t="s">
        <v>4999</v>
      </c>
      <c r="AY640" s="77"/>
      <c r="AZ640" s="81" t="s">
        <v>5773</v>
      </c>
      <c r="BA640" s="81" t="s">
        <v>5773</v>
      </c>
      <c r="BB640" s="81" t="s">
        <v>5773</v>
      </c>
      <c r="BC640" s="81" t="s">
        <v>4999</v>
      </c>
      <c r="BD640" s="77">
        <v>2833476896</v>
      </c>
      <c r="BE640" s="77"/>
      <c r="BF640" s="77"/>
      <c r="BG640" s="77"/>
      <c r="BH640" s="77"/>
      <c r="BI640" s="77"/>
    </row>
    <row r="641" spans="1:61" ht="15">
      <c r="A641" s="62" t="s">
        <v>393</v>
      </c>
      <c r="B641" s="62" t="s">
        <v>554</v>
      </c>
      <c r="C641" s="63"/>
      <c r="D641" s="64"/>
      <c r="E641" s="65"/>
      <c r="F641" s="66"/>
      <c r="G641" s="63"/>
      <c r="H641" s="67"/>
      <c r="I641" s="68"/>
      <c r="J641" s="68"/>
      <c r="K641" s="32" t="s">
        <v>65</v>
      </c>
      <c r="L641" s="75">
        <v>641</v>
      </c>
      <c r="M641" s="75"/>
      <c r="N641" s="70"/>
      <c r="O641" s="77" t="s">
        <v>571</v>
      </c>
      <c r="P641" s="79">
        <v>43195.41552083333</v>
      </c>
      <c r="Q641" s="77" t="s">
        <v>1067</v>
      </c>
      <c r="R641" s="77">
        <v>0</v>
      </c>
      <c r="S641" s="77">
        <v>1</v>
      </c>
      <c r="T641" s="77">
        <v>0</v>
      </c>
      <c r="U641" s="77">
        <v>0</v>
      </c>
      <c r="V641" s="77"/>
      <c r="W641" s="77"/>
      <c r="X641" s="77"/>
      <c r="Y641" s="77"/>
      <c r="Z641" s="77" t="s">
        <v>2098</v>
      </c>
      <c r="AA641" s="77"/>
      <c r="AB641" s="77"/>
      <c r="AC641" s="81" t="s">
        <v>2727</v>
      </c>
      <c r="AD641" s="77" t="s">
        <v>2759</v>
      </c>
      <c r="AE641" s="80" t="str">
        <f>HYPERLINK("https://twitter.com/smontelimar/status/981833410476986368")</f>
        <v>https://twitter.com/smontelimar/status/981833410476986368</v>
      </c>
      <c r="AF641" s="79">
        <v>43195.41552083333</v>
      </c>
      <c r="AG641" s="85">
        <v>43195</v>
      </c>
      <c r="AH641" s="81" t="s">
        <v>3257</v>
      </c>
      <c r="AI641" s="77"/>
      <c r="AJ641" s="77"/>
      <c r="AK641" s="77"/>
      <c r="AL641" s="77"/>
      <c r="AM641" s="77"/>
      <c r="AN641" s="77"/>
      <c r="AO641" s="77"/>
      <c r="AP641" s="77"/>
      <c r="AQ641" s="77"/>
      <c r="AR641" s="77"/>
      <c r="AS641" s="77"/>
      <c r="AT641" s="77"/>
      <c r="AU641" s="77"/>
      <c r="AV641" s="80" t="str">
        <f>HYPERLINK("https://pbs.twimg.com/profile_images/1203968856353595393/7Fni1Ogd_normal.jpg")</f>
        <v>https://pbs.twimg.com/profile_images/1203968856353595393/7Fni1Ogd_normal.jpg</v>
      </c>
      <c r="AW641" s="81" t="s">
        <v>5003</v>
      </c>
      <c r="AX641" s="81" t="s">
        <v>5003</v>
      </c>
      <c r="AY641" s="77"/>
      <c r="AZ641" s="81" t="s">
        <v>5773</v>
      </c>
      <c r="BA641" s="81" t="s">
        <v>5773</v>
      </c>
      <c r="BB641" s="81" t="s">
        <v>5773</v>
      </c>
      <c r="BC641" s="81" t="s">
        <v>5003</v>
      </c>
      <c r="BD641" s="77">
        <v>493479758</v>
      </c>
      <c r="BE641" s="77"/>
      <c r="BF641" s="77"/>
      <c r="BG641" s="77"/>
      <c r="BH641" s="77"/>
      <c r="BI641" s="77"/>
    </row>
    <row r="642" spans="1:61" ht="15">
      <c r="A642" s="62" t="s">
        <v>393</v>
      </c>
      <c r="B642" s="62" t="s">
        <v>555</v>
      </c>
      <c r="C642" s="63"/>
      <c r="D642" s="64"/>
      <c r="E642" s="65"/>
      <c r="F642" s="66"/>
      <c r="G642" s="63"/>
      <c r="H642" s="67"/>
      <c r="I642" s="68"/>
      <c r="J642" s="68"/>
      <c r="K642" s="32" t="s">
        <v>65</v>
      </c>
      <c r="L642" s="75">
        <v>642</v>
      </c>
      <c r="M642" s="75"/>
      <c r="N642" s="70"/>
      <c r="O642" s="77" t="s">
        <v>571</v>
      </c>
      <c r="P642" s="79">
        <v>43195.41552083333</v>
      </c>
      <c r="Q642" s="77" t="s">
        <v>1067</v>
      </c>
      <c r="R642" s="77">
        <v>0</v>
      </c>
      <c r="S642" s="77">
        <v>1</v>
      </c>
      <c r="T642" s="77">
        <v>0</v>
      </c>
      <c r="U642" s="77">
        <v>0</v>
      </c>
      <c r="V642" s="77"/>
      <c r="W642" s="77"/>
      <c r="X642" s="77"/>
      <c r="Y642" s="77"/>
      <c r="Z642" s="77" t="s">
        <v>2098</v>
      </c>
      <c r="AA642" s="77"/>
      <c r="AB642" s="77"/>
      <c r="AC642" s="81" t="s">
        <v>2727</v>
      </c>
      <c r="AD642" s="77" t="s">
        <v>2759</v>
      </c>
      <c r="AE642" s="80" t="str">
        <f>HYPERLINK("https://twitter.com/smontelimar/status/981833410476986368")</f>
        <v>https://twitter.com/smontelimar/status/981833410476986368</v>
      </c>
      <c r="AF642" s="79">
        <v>43195.41552083333</v>
      </c>
      <c r="AG642" s="85">
        <v>43195</v>
      </c>
      <c r="AH642" s="81" t="s">
        <v>3257</v>
      </c>
      <c r="AI642" s="77"/>
      <c r="AJ642" s="77"/>
      <c r="AK642" s="77"/>
      <c r="AL642" s="77"/>
      <c r="AM642" s="77"/>
      <c r="AN642" s="77"/>
      <c r="AO642" s="77"/>
      <c r="AP642" s="77"/>
      <c r="AQ642" s="77"/>
      <c r="AR642" s="77"/>
      <c r="AS642" s="77"/>
      <c r="AT642" s="77"/>
      <c r="AU642" s="77"/>
      <c r="AV642" s="80" t="str">
        <f>HYPERLINK("https://pbs.twimg.com/profile_images/1203968856353595393/7Fni1Ogd_normal.jpg")</f>
        <v>https://pbs.twimg.com/profile_images/1203968856353595393/7Fni1Ogd_normal.jpg</v>
      </c>
      <c r="AW642" s="81" t="s">
        <v>5003</v>
      </c>
      <c r="AX642" s="81" t="s">
        <v>5003</v>
      </c>
      <c r="AY642" s="77"/>
      <c r="AZ642" s="81" t="s">
        <v>5773</v>
      </c>
      <c r="BA642" s="81" t="s">
        <v>5773</v>
      </c>
      <c r="BB642" s="81" t="s">
        <v>5773</v>
      </c>
      <c r="BC642" s="81" t="s">
        <v>5003</v>
      </c>
      <c r="BD642" s="77">
        <v>493479758</v>
      </c>
      <c r="BE642" s="77"/>
      <c r="BF642" s="77"/>
      <c r="BG642" s="77"/>
      <c r="BH642" s="77"/>
      <c r="BI642" s="77"/>
    </row>
    <row r="643" spans="1:61" ht="15">
      <c r="A643" s="62" t="s">
        <v>393</v>
      </c>
      <c r="B643" s="62" t="s">
        <v>443</v>
      </c>
      <c r="C643" s="63"/>
      <c r="D643" s="64"/>
      <c r="E643" s="65"/>
      <c r="F643" s="66"/>
      <c r="G643" s="63"/>
      <c r="H643" s="67"/>
      <c r="I643" s="68"/>
      <c r="J643" s="68"/>
      <c r="K643" s="32" t="s">
        <v>65</v>
      </c>
      <c r="L643" s="75">
        <v>643</v>
      </c>
      <c r="M643" s="75"/>
      <c r="N643" s="70"/>
      <c r="O643" s="77" t="s">
        <v>571</v>
      </c>
      <c r="P643" s="79">
        <v>43195.41552083333</v>
      </c>
      <c r="Q643" s="77" t="s">
        <v>1067</v>
      </c>
      <c r="R643" s="77">
        <v>0</v>
      </c>
      <c r="S643" s="77">
        <v>1</v>
      </c>
      <c r="T643" s="77">
        <v>0</v>
      </c>
      <c r="U643" s="77">
        <v>0</v>
      </c>
      <c r="V643" s="77"/>
      <c r="W643" s="77"/>
      <c r="X643" s="77"/>
      <c r="Y643" s="77"/>
      <c r="Z643" s="77" t="s">
        <v>2098</v>
      </c>
      <c r="AA643" s="77"/>
      <c r="AB643" s="77"/>
      <c r="AC643" s="81" t="s">
        <v>2727</v>
      </c>
      <c r="AD643" s="77" t="s">
        <v>2759</v>
      </c>
      <c r="AE643" s="80" t="str">
        <f>HYPERLINK("https://twitter.com/smontelimar/status/981833410476986368")</f>
        <v>https://twitter.com/smontelimar/status/981833410476986368</v>
      </c>
      <c r="AF643" s="79">
        <v>43195.41552083333</v>
      </c>
      <c r="AG643" s="85">
        <v>43195</v>
      </c>
      <c r="AH643" s="81" t="s">
        <v>3257</v>
      </c>
      <c r="AI643" s="77"/>
      <c r="AJ643" s="77"/>
      <c r="AK643" s="77"/>
      <c r="AL643" s="77"/>
      <c r="AM643" s="77"/>
      <c r="AN643" s="77"/>
      <c r="AO643" s="77"/>
      <c r="AP643" s="77"/>
      <c r="AQ643" s="77"/>
      <c r="AR643" s="77"/>
      <c r="AS643" s="77"/>
      <c r="AT643" s="77"/>
      <c r="AU643" s="77"/>
      <c r="AV643" s="80" t="str">
        <f>HYPERLINK("https://pbs.twimg.com/profile_images/1203968856353595393/7Fni1Ogd_normal.jpg")</f>
        <v>https://pbs.twimg.com/profile_images/1203968856353595393/7Fni1Ogd_normal.jpg</v>
      </c>
      <c r="AW643" s="81" t="s">
        <v>5003</v>
      </c>
      <c r="AX643" s="81" t="s">
        <v>5003</v>
      </c>
      <c r="AY643" s="77"/>
      <c r="AZ643" s="81" t="s">
        <v>5773</v>
      </c>
      <c r="BA643" s="81" t="s">
        <v>5773</v>
      </c>
      <c r="BB643" s="81" t="s">
        <v>5773</v>
      </c>
      <c r="BC643" s="81" t="s">
        <v>5003</v>
      </c>
      <c r="BD643" s="77">
        <v>493479758</v>
      </c>
      <c r="BE643" s="77"/>
      <c r="BF643" s="77"/>
      <c r="BG643" s="77"/>
      <c r="BH643" s="77"/>
      <c r="BI643" s="77"/>
    </row>
    <row r="644" spans="1:61" ht="15">
      <c r="A644" s="62" t="s">
        <v>393</v>
      </c>
      <c r="B644" s="62" t="s">
        <v>556</v>
      </c>
      <c r="C644" s="63"/>
      <c r="D644" s="64"/>
      <c r="E644" s="65"/>
      <c r="F644" s="66"/>
      <c r="G644" s="63"/>
      <c r="H644" s="67"/>
      <c r="I644" s="68"/>
      <c r="J644" s="68"/>
      <c r="K644" s="32" t="s">
        <v>65</v>
      </c>
      <c r="L644" s="75">
        <v>644</v>
      </c>
      <c r="M644" s="75"/>
      <c r="N644" s="70"/>
      <c r="O644" s="77" t="s">
        <v>571</v>
      </c>
      <c r="P644" s="79">
        <v>43195.41552083333</v>
      </c>
      <c r="Q644" s="77" t="s">
        <v>1067</v>
      </c>
      <c r="R644" s="77">
        <v>0</v>
      </c>
      <c r="S644" s="77">
        <v>1</v>
      </c>
      <c r="T644" s="77">
        <v>0</v>
      </c>
      <c r="U644" s="77">
        <v>0</v>
      </c>
      <c r="V644" s="77"/>
      <c r="W644" s="77"/>
      <c r="X644" s="77"/>
      <c r="Y644" s="77"/>
      <c r="Z644" s="77" t="s">
        <v>2098</v>
      </c>
      <c r="AA644" s="77"/>
      <c r="AB644" s="77"/>
      <c r="AC644" s="81" t="s">
        <v>2727</v>
      </c>
      <c r="AD644" s="77" t="s">
        <v>2759</v>
      </c>
      <c r="AE644" s="80" t="str">
        <f>HYPERLINK("https://twitter.com/smontelimar/status/981833410476986368")</f>
        <v>https://twitter.com/smontelimar/status/981833410476986368</v>
      </c>
      <c r="AF644" s="79">
        <v>43195.41552083333</v>
      </c>
      <c r="AG644" s="85">
        <v>43195</v>
      </c>
      <c r="AH644" s="81" t="s">
        <v>3257</v>
      </c>
      <c r="AI644" s="77"/>
      <c r="AJ644" s="77"/>
      <c r="AK644" s="77"/>
      <c r="AL644" s="77"/>
      <c r="AM644" s="77"/>
      <c r="AN644" s="77"/>
      <c r="AO644" s="77"/>
      <c r="AP644" s="77"/>
      <c r="AQ644" s="77"/>
      <c r="AR644" s="77"/>
      <c r="AS644" s="77"/>
      <c r="AT644" s="77"/>
      <c r="AU644" s="77"/>
      <c r="AV644" s="80" t="str">
        <f>HYPERLINK("https://pbs.twimg.com/profile_images/1203968856353595393/7Fni1Ogd_normal.jpg")</f>
        <v>https://pbs.twimg.com/profile_images/1203968856353595393/7Fni1Ogd_normal.jpg</v>
      </c>
      <c r="AW644" s="81" t="s">
        <v>5003</v>
      </c>
      <c r="AX644" s="81" t="s">
        <v>5003</v>
      </c>
      <c r="AY644" s="77"/>
      <c r="AZ644" s="81" t="s">
        <v>5773</v>
      </c>
      <c r="BA644" s="81" t="s">
        <v>5773</v>
      </c>
      <c r="BB644" s="81" t="s">
        <v>5773</v>
      </c>
      <c r="BC644" s="81" t="s">
        <v>5003</v>
      </c>
      <c r="BD644" s="77">
        <v>493479758</v>
      </c>
      <c r="BE644" s="77"/>
      <c r="BF644" s="77"/>
      <c r="BG644" s="77"/>
      <c r="BH644" s="77"/>
      <c r="BI644" s="77"/>
    </row>
    <row r="645" spans="1:61" ht="15">
      <c r="A645" s="62" t="s">
        <v>393</v>
      </c>
      <c r="B645" s="62" t="s">
        <v>557</v>
      </c>
      <c r="C645" s="63"/>
      <c r="D645" s="64"/>
      <c r="E645" s="65"/>
      <c r="F645" s="66"/>
      <c r="G645" s="63"/>
      <c r="H645" s="67"/>
      <c r="I645" s="68"/>
      <c r="J645" s="68"/>
      <c r="K645" s="32" t="s">
        <v>65</v>
      </c>
      <c r="L645" s="75">
        <v>645</v>
      </c>
      <c r="M645" s="75"/>
      <c r="N645" s="70"/>
      <c r="O645" s="77" t="s">
        <v>571</v>
      </c>
      <c r="P645" s="79">
        <v>43195.41552083333</v>
      </c>
      <c r="Q645" s="77" t="s">
        <v>1067</v>
      </c>
      <c r="R645" s="77">
        <v>0</v>
      </c>
      <c r="S645" s="77">
        <v>1</v>
      </c>
      <c r="T645" s="77">
        <v>0</v>
      </c>
      <c r="U645" s="77">
        <v>0</v>
      </c>
      <c r="V645" s="77"/>
      <c r="W645" s="77"/>
      <c r="X645" s="77"/>
      <c r="Y645" s="77"/>
      <c r="Z645" s="77" t="s">
        <v>2098</v>
      </c>
      <c r="AA645" s="77"/>
      <c r="AB645" s="77"/>
      <c r="AC645" s="81" t="s">
        <v>2727</v>
      </c>
      <c r="AD645" s="77" t="s">
        <v>2759</v>
      </c>
      <c r="AE645" s="80" t="str">
        <f>HYPERLINK("https://twitter.com/smontelimar/status/981833410476986368")</f>
        <v>https://twitter.com/smontelimar/status/981833410476986368</v>
      </c>
      <c r="AF645" s="79">
        <v>43195.41552083333</v>
      </c>
      <c r="AG645" s="85">
        <v>43195</v>
      </c>
      <c r="AH645" s="81" t="s">
        <v>3257</v>
      </c>
      <c r="AI645" s="77"/>
      <c r="AJ645" s="77"/>
      <c r="AK645" s="77"/>
      <c r="AL645" s="77"/>
      <c r="AM645" s="77"/>
      <c r="AN645" s="77"/>
      <c r="AO645" s="77"/>
      <c r="AP645" s="77"/>
      <c r="AQ645" s="77"/>
      <c r="AR645" s="77"/>
      <c r="AS645" s="77"/>
      <c r="AT645" s="77"/>
      <c r="AU645" s="77"/>
      <c r="AV645" s="80" t="str">
        <f>HYPERLINK("https://pbs.twimg.com/profile_images/1203968856353595393/7Fni1Ogd_normal.jpg")</f>
        <v>https://pbs.twimg.com/profile_images/1203968856353595393/7Fni1Ogd_normal.jpg</v>
      </c>
      <c r="AW645" s="81" t="s">
        <v>5003</v>
      </c>
      <c r="AX645" s="81" t="s">
        <v>5003</v>
      </c>
      <c r="AY645" s="77"/>
      <c r="AZ645" s="81" t="s">
        <v>5773</v>
      </c>
      <c r="BA645" s="81" t="s">
        <v>5773</v>
      </c>
      <c r="BB645" s="81" t="s">
        <v>5773</v>
      </c>
      <c r="BC645" s="81" t="s">
        <v>5003</v>
      </c>
      <c r="BD645" s="77">
        <v>493479758</v>
      </c>
      <c r="BE645" s="77"/>
      <c r="BF645" s="77"/>
      <c r="BG645" s="77"/>
      <c r="BH645" s="77"/>
      <c r="BI645" s="77"/>
    </row>
    <row r="646" spans="1:61" ht="15">
      <c r="A646" s="62" t="s">
        <v>393</v>
      </c>
      <c r="B646" s="62" t="s">
        <v>558</v>
      </c>
      <c r="C646" s="63"/>
      <c r="D646" s="64"/>
      <c r="E646" s="65"/>
      <c r="F646" s="66"/>
      <c r="G646" s="63"/>
      <c r="H646" s="67"/>
      <c r="I646" s="68"/>
      <c r="J646" s="68"/>
      <c r="K646" s="32" t="s">
        <v>65</v>
      </c>
      <c r="L646" s="75">
        <v>646</v>
      </c>
      <c r="M646" s="75"/>
      <c r="N646" s="70"/>
      <c r="O646" s="77" t="s">
        <v>571</v>
      </c>
      <c r="P646" s="79">
        <v>43195.41552083333</v>
      </c>
      <c r="Q646" s="77" t="s">
        <v>1067</v>
      </c>
      <c r="R646" s="77">
        <v>0</v>
      </c>
      <c r="S646" s="77">
        <v>1</v>
      </c>
      <c r="T646" s="77">
        <v>0</v>
      </c>
      <c r="U646" s="77">
        <v>0</v>
      </c>
      <c r="V646" s="77"/>
      <c r="W646" s="77"/>
      <c r="X646" s="77"/>
      <c r="Y646" s="77"/>
      <c r="Z646" s="77" t="s">
        <v>2098</v>
      </c>
      <c r="AA646" s="77"/>
      <c r="AB646" s="77"/>
      <c r="AC646" s="81" t="s">
        <v>2727</v>
      </c>
      <c r="AD646" s="77" t="s">
        <v>2759</v>
      </c>
      <c r="AE646" s="80" t="str">
        <f>HYPERLINK("https://twitter.com/smontelimar/status/981833410476986368")</f>
        <v>https://twitter.com/smontelimar/status/981833410476986368</v>
      </c>
      <c r="AF646" s="79">
        <v>43195.41552083333</v>
      </c>
      <c r="AG646" s="85">
        <v>43195</v>
      </c>
      <c r="AH646" s="81" t="s">
        <v>3257</v>
      </c>
      <c r="AI646" s="77"/>
      <c r="AJ646" s="77"/>
      <c r="AK646" s="77"/>
      <c r="AL646" s="77"/>
      <c r="AM646" s="77"/>
      <c r="AN646" s="77"/>
      <c r="AO646" s="77"/>
      <c r="AP646" s="77"/>
      <c r="AQ646" s="77"/>
      <c r="AR646" s="77"/>
      <c r="AS646" s="77"/>
      <c r="AT646" s="77"/>
      <c r="AU646" s="77"/>
      <c r="AV646" s="80" t="str">
        <f>HYPERLINK("https://pbs.twimg.com/profile_images/1203968856353595393/7Fni1Ogd_normal.jpg")</f>
        <v>https://pbs.twimg.com/profile_images/1203968856353595393/7Fni1Ogd_normal.jpg</v>
      </c>
      <c r="AW646" s="81" t="s">
        <v>5003</v>
      </c>
      <c r="AX646" s="81" t="s">
        <v>5003</v>
      </c>
      <c r="AY646" s="77"/>
      <c r="AZ646" s="81" t="s">
        <v>5773</v>
      </c>
      <c r="BA646" s="81" t="s">
        <v>5773</v>
      </c>
      <c r="BB646" s="81" t="s">
        <v>5773</v>
      </c>
      <c r="BC646" s="81" t="s">
        <v>5003</v>
      </c>
      <c r="BD646" s="77">
        <v>493479758</v>
      </c>
      <c r="BE646" s="77"/>
      <c r="BF646" s="77"/>
      <c r="BG646" s="77"/>
      <c r="BH646" s="77"/>
      <c r="BI646" s="77"/>
    </row>
    <row r="647" spans="1:61" ht="15">
      <c r="A647" s="62" t="s">
        <v>393</v>
      </c>
      <c r="B647" s="62" t="s">
        <v>559</v>
      </c>
      <c r="C647" s="63"/>
      <c r="D647" s="64"/>
      <c r="E647" s="65"/>
      <c r="F647" s="66"/>
      <c r="G647" s="63"/>
      <c r="H647" s="67"/>
      <c r="I647" s="68"/>
      <c r="J647" s="68"/>
      <c r="K647" s="32" t="s">
        <v>65</v>
      </c>
      <c r="L647" s="75">
        <v>647</v>
      </c>
      <c r="M647" s="75"/>
      <c r="N647" s="70"/>
      <c r="O647" s="77" t="s">
        <v>571</v>
      </c>
      <c r="P647" s="79">
        <v>43195.41552083333</v>
      </c>
      <c r="Q647" s="77" t="s">
        <v>1067</v>
      </c>
      <c r="R647" s="77">
        <v>0</v>
      </c>
      <c r="S647" s="77">
        <v>1</v>
      </c>
      <c r="T647" s="77">
        <v>0</v>
      </c>
      <c r="U647" s="77">
        <v>0</v>
      </c>
      <c r="V647" s="77"/>
      <c r="W647" s="77"/>
      <c r="X647" s="77"/>
      <c r="Y647" s="77"/>
      <c r="Z647" s="77" t="s">
        <v>2098</v>
      </c>
      <c r="AA647" s="77"/>
      <c r="AB647" s="77"/>
      <c r="AC647" s="81" t="s">
        <v>2727</v>
      </c>
      <c r="AD647" s="77" t="s">
        <v>2759</v>
      </c>
      <c r="AE647" s="80" t="str">
        <f>HYPERLINK("https://twitter.com/smontelimar/status/981833410476986368")</f>
        <v>https://twitter.com/smontelimar/status/981833410476986368</v>
      </c>
      <c r="AF647" s="79">
        <v>43195.41552083333</v>
      </c>
      <c r="AG647" s="85">
        <v>43195</v>
      </c>
      <c r="AH647" s="81" t="s">
        <v>3257</v>
      </c>
      <c r="AI647" s="77"/>
      <c r="AJ647" s="77"/>
      <c r="AK647" s="77"/>
      <c r="AL647" s="77"/>
      <c r="AM647" s="77"/>
      <c r="AN647" s="77"/>
      <c r="AO647" s="77"/>
      <c r="AP647" s="77"/>
      <c r="AQ647" s="77"/>
      <c r="AR647" s="77"/>
      <c r="AS647" s="77"/>
      <c r="AT647" s="77"/>
      <c r="AU647" s="77"/>
      <c r="AV647" s="80" t="str">
        <f>HYPERLINK("https://pbs.twimg.com/profile_images/1203968856353595393/7Fni1Ogd_normal.jpg")</f>
        <v>https://pbs.twimg.com/profile_images/1203968856353595393/7Fni1Ogd_normal.jpg</v>
      </c>
      <c r="AW647" s="81" t="s">
        <v>5003</v>
      </c>
      <c r="AX647" s="81" t="s">
        <v>5003</v>
      </c>
      <c r="AY647" s="77"/>
      <c r="AZ647" s="81" t="s">
        <v>5773</v>
      </c>
      <c r="BA647" s="81" t="s">
        <v>5773</v>
      </c>
      <c r="BB647" s="81" t="s">
        <v>5773</v>
      </c>
      <c r="BC647" s="81" t="s">
        <v>5003</v>
      </c>
      <c r="BD647" s="77">
        <v>493479758</v>
      </c>
      <c r="BE647" s="77"/>
      <c r="BF647" s="77"/>
      <c r="BG647" s="77"/>
      <c r="BH647" s="77"/>
      <c r="BI647" s="77"/>
    </row>
    <row r="648" spans="1:61" ht="15">
      <c r="A648" s="62" t="s">
        <v>393</v>
      </c>
      <c r="B648" s="62" t="s">
        <v>560</v>
      </c>
      <c r="C648" s="63"/>
      <c r="D648" s="64"/>
      <c r="E648" s="65"/>
      <c r="F648" s="66"/>
      <c r="G648" s="63"/>
      <c r="H648" s="67"/>
      <c r="I648" s="68"/>
      <c r="J648" s="68"/>
      <c r="K648" s="32" t="s">
        <v>65</v>
      </c>
      <c r="L648" s="75">
        <v>648</v>
      </c>
      <c r="M648" s="75"/>
      <c r="N648" s="70"/>
      <c r="O648" s="77" t="s">
        <v>571</v>
      </c>
      <c r="P648" s="79">
        <v>43195.41552083333</v>
      </c>
      <c r="Q648" s="77" t="s">
        <v>1067</v>
      </c>
      <c r="R648" s="77">
        <v>0</v>
      </c>
      <c r="S648" s="77">
        <v>1</v>
      </c>
      <c r="T648" s="77">
        <v>0</v>
      </c>
      <c r="U648" s="77">
        <v>0</v>
      </c>
      <c r="V648" s="77"/>
      <c r="W648" s="77"/>
      <c r="X648" s="77"/>
      <c r="Y648" s="77"/>
      <c r="Z648" s="77" t="s">
        <v>2098</v>
      </c>
      <c r="AA648" s="77"/>
      <c r="AB648" s="77"/>
      <c r="AC648" s="81" t="s">
        <v>2727</v>
      </c>
      <c r="AD648" s="77" t="s">
        <v>2759</v>
      </c>
      <c r="AE648" s="80" t="str">
        <f>HYPERLINK("https://twitter.com/smontelimar/status/981833410476986368")</f>
        <v>https://twitter.com/smontelimar/status/981833410476986368</v>
      </c>
      <c r="AF648" s="79">
        <v>43195.41552083333</v>
      </c>
      <c r="AG648" s="85">
        <v>43195</v>
      </c>
      <c r="AH648" s="81" t="s">
        <v>3257</v>
      </c>
      <c r="AI648" s="77"/>
      <c r="AJ648" s="77"/>
      <c r="AK648" s="77"/>
      <c r="AL648" s="77"/>
      <c r="AM648" s="77"/>
      <c r="AN648" s="77"/>
      <c r="AO648" s="77"/>
      <c r="AP648" s="77"/>
      <c r="AQ648" s="77"/>
      <c r="AR648" s="77"/>
      <c r="AS648" s="77"/>
      <c r="AT648" s="77"/>
      <c r="AU648" s="77"/>
      <c r="AV648" s="80" t="str">
        <f>HYPERLINK("https://pbs.twimg.com/profile_images/1203968856353595393/7Fni1Ogd_normal.jpg")</f>
        <v>https://pbs.twimg.com/profile_images/1203968856353595393/7Fni1Ogd_normal.jpg</v>
      </c>
      <c r="AW648" s="81" t="s">
        <v>5003</v>
      </c>
      <c r="AX648" s="81" t="s">
        <v>5003</v>
      </c>
      <c r="AY648" s="77"/>
      <c r="AZ648" s="81" t="s">
        <v>5773</v>
      </c>
      <c r="BA648" s="81" t="s">
        <v>5773</v>
      </c>
      <c r="BB648" s="81" t="s">
        <v>5773</v>
      </c>
      <c r="BC648" s="81" t="s">
        <v>5003</v>
      </c>
      <c r="BD648" s="77">
        <v>493479758</v>
      </c>
      <c r="BE648" s="77"/>
      <c r="BF648" s="77"/>
      <c r="BG648" s="77"/>
      <c r="BH648" s="77"/>
      <c r="BI648" s="77"/>
    </row>
    <row r="649" spans="1:61" ht="15">
      <c r="A649" s="62" t="s">
        <v>393</v>
      </c>
      <c r="B649" s="62" t="s">
        <v>561</v>
      </c>
      <c r="C649" s="63"/>
      <c r="D649" s="64"/>
      <c r="E649" s="65"/>
      <c r="F649" s="66"/>
      <c r="G649" s="63"/>
      <c r="H649" s="67"/>
      <c r="I649" s="68"/>
      <c r="J649" s="68"/>
      <c r="K649" s="32" t="s">
        <v>65</v>
      </c>
      <c r="L649" s="75">
        <v>649</v>
      </c>
      <c r="M649" s="75"/>
      <c r="N649" s="70"/>
      <c r="O649" s="77" t="s">
        <v>571</v>
      </c>
      <c r="P649" s="79">
        <v>43195.41552083333</v>
      </c>
      <c r="Q649" s="77" t="s">
        <v>1067</v>
      </c>
      <c r="R649" s="77">
        <v>0</v>
      </c>
      <c r="S649" s="77">
        <v>1</v>
      </c>
      <c r="T649" s="77">
        <v>0</v>
      </c>
      <c r="U649" s="77">
        <v>0</v>
      </c>
      <c r="V649" s="77"/>
      <c r="W649" s="77"/>
      <c r="X649" s="77"/>
      <c r="Y649" s="77"/>
      <c r="Z649" s="77" t="s">
        <v>2098</v>
      </c>
      <c r="AA649" s="77"/>
      <c r="AB649" s="77"/>
      <c r="AC649" s="81" t="s">
        <v>2727</v>
      </c>
      <c r="AD649" s="77" t="s">
        <v>2759</v>
      </c>
      <c r="AE649" s="80" t="str">
        <f>HYPERLINK("https://twitter.com/smontelimar/status/981833410476986368")</f>
        <v>https://twitter.com/smontelimar/status/981833410476986368</v>
      </c>
      <c r="AF649" s="79">
        <v>43195.41552083333</v>
      </c>
      <c r="AG649" s="85">
        <v>43195</v>
      </c>
      <c r="AH649" s="81" t="s">
        <v>3257</v>
      </c>
      <c r="AI649" s="77"/>
      <c r="AJ649" s="77"/>
      <c r="AK649" s="77"/>
      <c r="AL649" s="77"/>
      <c r="AM649" s="77"/>
      <c r="AN649" s="77"/>
      <c r="AO649" s="77"/>
      <c r="AP649" s="77"/>
      <c r="AQ649" s="77"/>
      <c r="AR649" s="77"/>
      <c r="AS649" s="77"/>
      <c r="AT649" s="77"/>
      <c r="AU649" s="77"/>
      <c r="AV649" s="80" t="str">
        <f>HYPERLINK("https://pbs.twimg.com/profile_images/1203968856353595393/7Fni1Ogd_normal.jpg")</f>
        <v>https://pbs.twimg.com/profile_images/1203968856353595393/7Fni1Ogd_normal.jpg</v>
      </c>
      <c r="AW649" s="81" t="s">
        <v>5003</v>
      </c>
      <c r="AX649" s="81" t="s">
        <v>5003</v>
      </c>
      <c r="AY649" s="77"/>
      <c r="AZ649" s="81" t="s">
        <v>5773</v>
      </c>
      <c r="BA649" s="81" t="s">
        <v>5773</v>
      </c>
      <c r="BB649" s="81" t="s">
        <v>5773</v>
      </c>
      <c r="BC649" s="81" t="s">
        <v>5003</v>
      </c>
      <c r="BD649" s="77">
        <v>493479758</v>
      </c>
      <c r="BE649" s="77"/>
      <c r="BF649" s="77"/>
      <c r="BG649" s="77"/>
      <c r="BH649" s="77"/>
      <c r="BI649" s="77"/>
    </row>
    <row r="650" spans="1:61" ht="15">
      <c r="A650" s="62" t="s">
        <v>393</v>
      </c>
      <c r="B650" s="62" t="s">
        <v>562</v>
      </c>
      <c r="C650" s="63"/>
      <c r="D650" s="64"/>
      <c r="E650" s="65"/>
      <c r="F650" s="66"/>
      <c r="G650" s="63"/>
      <c r="H650" s="67"/>
      <c r="I650" s="68"/>
      <c r="J650" s="68"/>
      <c r="K650" s="32" t="s">
        <v>65</v>
      </c>
      <c r="L650" s="75">
        <v>650</v>
      </c>
      <c r="M650" s="75"/>
      <c r="N650" s="70"/>
      <c r="O650" s="77" t="s">
        <v>571</v>
      </c>
      <c r="P650" s="79">
        <v>43195.41552083333</v>
      </c>
      <c r="Q650" s="77" t="s">
        <v>1067</v>
      </c>
      <c r="R650" s="77">
        <v>0</v>
      </c>
      <c r="S650" s="77">
        <v>1</v>
      </c>
      <c r="T650" s="77">
        <v>0</v>
      </c>
      <c r="U650" s="77">
        <v>0</v>
      </c>
      <c r="V650" s="77"/>
      <c r="W650" s="77"/>
      <c r="X650" s="77"/>
      <c r="Y650" s="77"/>
      <c r="Z650" s="77" t="s">
        <v>2098</v>
      </c>
      <c r="AA650" s="77"/>
      <c r="AB650" s="77"/>
      <c r="AC650" s="81" t="s">
        <v>2727</v>
      </c>
      <c r="AD650" s="77" t="s">
        <v>2759</v>
      </c>
      <c r="AE650" s="80" t="str">
        <f>HYPERLINK("https://twitter.com/smontelimar/status/981833410476986368")</f>
        <v>https://twitter.com/smontelimar/status/981833410476986368</v>
      </c>
      <c r="AF650" s="79">
        <v>43195.41552083333</v>
      </c>
      <c r="AG650" s="85">
        <v>43195</v>
      </c>
      <c r="AH650" s="81" t="s">
        <v>3257</v>
      </c>
      <c r="AI650" s="77"/>
      <c r="AJ650" s="77"/>
      <c r="AK650" s="77"/>
      <c r="AL650" s="77"/>
      <c r="AM650" s="77"/>
      <c r="AN650" s="77"/>
      <c r="AO650" s="77"/>
      <c r="AP650" s="77"/>
      <c r="AQ650" s="77"/>
      <c r="AR650" s="77"/>
      <c r="AS650" s="77"/>
      <c r="AT650" s="77"/>
      <c r="AU650" s="77"/>
      <c r="AV650" s="80" t="str">
        <f>HYPERLINK("https://pbs.twimg.com/profile_images/1203968856353595393/7Fni1Ogd_normal.jpg")</f>
        <v>https://pbs.twimg.com/profile_images/1203968856353595393/7Fni1Ogd_normal.jpg</v>
      </c>
      <c r="AW650" s="81" t="s">
        <v>5003</v>
      </c>
      <c r="AX650" s="81" t="s">
        <v>5003</v>
      </c>
      <c r="AY650" s="77"/>
      <c r="AZ650" s="81" t="s">
        <v>5773</v>
      </c>
      <c r="BA650" s="81" t="s">
        <v>5773</v>
      </c>
      <c r="BB650" s="81" t="s">
        <v>5773</v>
      </c>
      <c r="BC650" s="81" t="s">
        <v>5003</v>
      </c>
      <c r="BD650" s="77">
        <v>493479758</v>
      </c>
      <c r="BE650" s="77"/>
      <c r="BF650" s="77"/>
      <c r="BG650" s="77"/>
      <c r="BH650" s="77"/>
      <c r="BI650" s="77"/>
    </row>
    <row r="651" spans="1:61" ht="15">
      <c r="A651" s="62" t="s">
        <v>393</v>
      </c>
      <c r="B651" s="62" t="s">
        <v>563</v>
      </c>
      <c r="C651" s="63"/>
      <c r="D651" s="64"/>
      <c r="E651" s="65"/>
      <c r="F651" s="66"/>
      <c r="G651" s="63"/>
      <c r="H651" s="67"/>
      <c r="I651" s="68"/>
      <c r="J651" s="68"/>
      <c r="K651" s="32" t="s">
        <v>65</v>
      </c>
      <c r="L651" s="75">
        <v>651</v>
      </c>
      <c r="M651" s="75"/>
      <c r="N651" s="70"/>
      <c r="O651" s="77" t="s">
        <v>571</v>
      </c>
      <c r="P651" s="79">
        <v>43195.41552083333</v>
      </c>
      <c r="Q651" s="77" t="s">
        <v>1067</v>
      </c>
      <c r="R651" s="77">
        <v>0</v>
      </c>
      <c r="S651" s="77">
        <v>1</v>
      </c>
      <c r="T651" s="77">
        <v>0</v>
      </c>
      <c r="U651" s="77">
        <v>0</v>
      </c>
      <c r="V651" s="77"/>
      <c r="W651" s="77"/>
      <c r="X651" s="77"/>
      <c r="Y651" s="77"/>
      <c r="Z651" s="77" t="s">
        <v>2098</v>
      </c>
      <c r="AA651" s="77"/>
      <c r="AB651" s="77"/>
      <c r="AC651" s="81" t="s">
        <v>2727</v>
      </c>
      <c r="AD651" s="77" t="s">
        <v>2759</v>
      </c>
      <c r="AE651" s="80" t="str">
        <f>HYPERLINK("https://twitter.com/smontelimar/status/981833410476986368")</f>
        <v>https://twitter.com/smontelimar/status/981833410476986368</v>
      </c>
      <c r="AF651" s="79">
        <v>43195.41552083333</v>
      </c>
      <c r="AG651" s="85">
        <v>43195</v>
      </c>
      <c r="AH651" s="81" t="s">
        <v>3257</v>
      </c>
      <c r="AI651" s="77"/>
      <c r="AJ651" s="77"/>
      <c r="AK651" s="77"/>
      <c r="AL651" s="77"/>
      <c r="AM651" s="77"/>
      <c r="AN651" s="77"/>
      <c r="AO651" s="77"/>
      <c r="AP651" s="77"/>
      <c r="AQ651" s="77"/>
      <c r="AR651" s="77"/>
      <c r="AS651" s="77"/>
      <c r="AT651" s="77"/>
      <c r="AU651" s="77"/>
      <c r="AV651" s="80" t="str">
        <f>HYPERLINK("https://pbs.twimg.com/profile_images/1203968856353595393/7Fni1Ogd_normal.jpg")</f>
        <v>https://pbs.twimg.com/profile_images/1203968856353595393/7Fni1Ogd_normal.jpg</v>
      </c>
      <c r="AW651" s="81" t="s">
        <v>5003</v>
      </c>
      <c r="AX651" s="81" t="s">
        <v>5003</v>
      </c>
      <c r="AY651" s="77"/>
      <c r="AZ651" s="81" t="s">
        <v>5773</v>
      </c>
      <c r="BA651" s="81" t="s">
        <v>5773</v>
      </c>
      <c r="BB651" s="81" t="s">
        <v>5773</v>
      </c>
      <c r="BC651" s="81" t="s">
        <v>5003</v>
      </c>
      <c r="BD651" s="77">
        <v>493479758</v>
      </c>
      <c r="BE651" s="77"/>
      <c r="BF651" s="77"/>
      <c r="BG651" s="77"/>
      <c r="BH651" s="77"/>
      <c r="BI651" s="77"/>
    </row>
    <row r="652" spans="1:61" ht="15">
      <c r="A652" s="62" t="s">
        <v>393</v>
      </c>
      <c r="B652" s="62" t="s">
        <v>564</v>
      </c>
      <c r="C652" s="63"/>
      <c r="D652" s="64"/>
      <c r="E652" s="65"/>
      <c r="F652" s="66"/>
      <c r="G652" s="63"/>
      <c r="H652" s="67"/>
      <c r="I652" s="68"/>
      <c r="J652" s="68"/>
      <c r="K652" s="32" t="s">
        <v>65</v>
      </c>
      <c r="L652" s="75">
        <v>652</v>
      </c>
      <c r="M652" s="75"/>
      <c r="N652" s="70"/>
      <c r="O652" s="77" t="s">
        <v>571</v>
      </c>
      <c r="P652" s="79">
        <v>43195.41552083333</v>
      </c>
      <c r="Q652" s="77" t="s">
        <v>1067</v>
      </c>
      <c r="R652" s="77">
        <v>0</v>
      </c>
      <c r="S652" s="77">
        <v>1</v>
      </c>
      <c r="T652" s="77">
        <v>0</v>
      </c>
      <c r="U652" s="77">
        <v>0</v>
      </c>
      <c r="V652" s="77"/>
      <c r="W652" s="77"/>
      <c r="X652" s="77"/>
      <c r="Y652" s="77"/>
      <c r="Z652" s="77" t="s">
        <v>2098</v>
      </c>
      <c r="AA652" s="77"/>
      <c r="AB652" s="77"/>
      <c r="AC652" s="81" t="s">
        <v>2727</v>
      </c>
      <c r="AD652" s="77" t="s">
        <v>2759</v>
      </c>
      <c r="AE652" s="80" t="str">
        <f>HYPERLINK("https://twitter.com/smontelimar/status/981833410476986368")</f>
        <v>https://twitter.com/smontelimar/status/981833410476986368</v>
      </c>
      <c r="AF652" s="79">
        <v>43195.41552083333</v>
      </c>
      <c r="AG652" s="85">
        <v>43195</v>
      </c>
      <c r="AH652" s="81" t="s">
        <v>3257</v>
      </c>
      <c r="AI652" s="77"/>
      <c r="AJ652" s="77"/>
      <c r="AK652" s="77"/>
      <c r="AL652" s="77"/>
      <c r="AM652" s="77"/>
      <c r="AN652" s="77"/>
      <c r="AO652" s="77"/>
      <c r="AP652" s="77"/>
      <c r="AQ652" s="77"/>
      <c r="AR652" s="77"/>
      <c r="AS652" s="77"/>
      <c r="AT652" s="77"/>
      <c r="AU652" s="77"/>
      <c r="AV652" s="80" t="str">
        <f>HYPERLINK("https://pbs.twimg.com/profile_images/1203968856353595393/7Fni1Ogd_normal.jpg")</f>
        <v>https://pbs.twimg.com/profile_images/1203968856353595393/7Fni1Ogd_normal.jpg</v>
      </c>
      <c r="AW652" s="81" t="s">
        <v>5003</v>
      </c>
      <c r="AX652" s="81" t="s">
        <v>5003</v>
      </c>
      <c r="AY652" s="77"/>
      <c r="AZ652" s="81" t="s">
        <v>5773</v>
      </c>
      <c r="BA652" s="81" t="s">
        <v>5773</v>
      </c>
      <c r="BB652" s="81" t="s">
        <v>5773</v>
      </c>
      <c r="BC652" s="81" t="s">
        <v>5003</v>
      </c>
      <c r="BD652" s="77">
        <v>493479758</v>
      </c>
      <c r="BE652" s="77"/>
      <c r="BF652" s="77"/>
      <c r="BG652" s="77"/>
      <c r="BH652" s="77"/>
      <c r="BI652" s="77"/>
    </row>
    <row r="653" spans="1:61" ht="15">
      <c r="A653" s="62" t="s">
        <v>393</v>
      </c>
      <c r="B653" s="62" t="s">
        <v>565</v>
      </c>
      <c r="C653" s="63"/>
      <c r="D653" s="64"/>
      <c r="E653" s="65"/>
      <c r="F653" s="66"/>
      <c r="G653" s="63"/>
      <c r="H653" s="67"/>
      <c r="I653" s="68"/>
      <c r="J653" s="68"/>
      <c r="K653" s="32" t="s">
        <v>65</v>
      </c>
      <c r="L653" s="75">
        <v>653</v>
      </c>
      <c r="M653" s="75"/>
      <c r="N653" s="70"/>
      <c r="O653" s="77" t="s">
        <v>571</v>
      </c>
      <c r="P653" s="79">
        <v>43195.41552083333</v>
      </c>
      <c r="Q653" s="77" t="s">
        <v>1067</v>
      </c>
      <c r="R653" s="77">
        <v>0</v>
      </c>
      <c r="S653" s="77">
        <v>1</v>
      </c>
      <c r="T653" s="77">
        <v>0</v>
      </c>
      <c r="U653" s="77">
        <v>0</v>
      </c>
      <c r="V653" s="77"/>
      <c r="W653" s="77"/>
      <c r="X653" s="77"/>
      <c r="Y653" s="77"/>
      <c r="Z653" s="77" t="s">
        <v>2098</v>
      </c>
      <c r="AA653" s="77"/>
      <c r="AB653" s="77"/>
      <c r="AC653" s="81" t="s">
        <v>2727</v>
      </c>
      <c r="AD653" s="77" t="s">
        <v>2759</v>
      </c>
      <c r="AE653" s="80" t="str">
        <f>HYPERLINK("https://twitter.com/smontelimar/status/981833410476986368")</f>
        <v>https://twitter.com/smontelimar/status/981833410476986368</v>
      </c>
      <c r="AF653" s="79">
        <v>43195.41552083333</v>
      </c>
      <c r="AG653" s="85">
        <v>43195</v>
      </c>
      <c r="AH653" s="81" t="s">
        <v>3257</v>
      </c>
      <c r="AI653" s="77"/>
      <c r="AJ653" s="77"/>
      <c r="AK653" s="77"/>
      <c r="AL653" s="77"/>
      <c r="AM653" s="77"/>
      <c r="AN653" s="77"/>
      <c r="AO653" s="77"/>
      <c r="AP653" s="77"/>
      <c r="AQ653" s="77"/>
      <c r="AR653" s="77"/>
      <c r="AS653" s="77"/>
      <c r="AT653" s="77"/>
      <c r="AU653" s="77"/>
      <c r="AV653" s="80" t="str">
        <f>HYPERLINK("https://pbs.twimg.com/profile_images/1203968856353595393/7Fni1Ogd_normal.jpg")</f>
        <v>https://pbs.twimg.com/profile_images/1203968856353595393/7Fni1Ogd_normal.jpg</v>
      </c>
      <c r="AW653" s="81" t="s">
        <v>5003</v>
      </c>
      <c r="AX653" s="81" t="s">
        <v>5003</v>
      </c>
      <c r="AY653" s="77"/>
      <c r="AZ653" s="81" t="s">
        <v>5773</v>
      </c>
      <c r="BA653" s="81" t="s">
        <v>5773</v>
      </c>
      <c r="BB653" s="81" t="s">
        <v>5773</v>
      </c>
      <c r="BC653" s="81" t="s">
        <v>5003</v>
      </c>
      <c r="BD653" s="77">
        <v>493479758</v>
      </c>
      <c r="BE653" s="77"/>
      <c r="BF653" s="77"/>
      <c r="BG653" s="77"/>
      <c r="BH653" s="77"/>
      <c r="BI653" s="77"/>
    </row>
    <row r="654" spans="1:61" ht="15">
      <c r="A654" s="62" t="s">
        <v>394</v>
      </c>
      <c r="B654" s="62" t="s">
        <v>394</v>
      </c>
      <c r="C654" s="63"/>
      <c r="D654" s="64"/>
      <c r="E654" s="65"/>
      <c r="F654" s="66"/>
      <c r="G654" s="63"/>
      <c r="H654" s="67"/>
      <c r="I654" s="68"/>
      <c r="J654" s="68"/>
      <c r="K654" s="32" t="s">
        <v>65</v>
      </c>
      <c r="L654" s="75">
        <v>654</v>
      </c>
      <c r="M654" s="75"/>
      <c r="N654" s="70"/>
      <c r="O654" s="77" t="s">
        <v>179</v>
      </c>
      <c r="P654" s="79">
        <v>40579.44621527778</v>
      </c>
      <c r="Q654" s="77" t="s">
        <v>1068</v>
      </c>
      <c r="R654" s="77">
        <v>0</v>
      </c>
      <c r="S654" s="77">
        <v>0</v>
      </c>
      <c r="T654" s="77">
        <v>0</v>
      </c>
      <c r="U654" s="77">
        <v>0</v>
      </c>
      <c r="V654" s="77"/>
      <c r="W654" s="77"/>
      <c r="X654" s="77"/>
      <c r="Y654" s="77"/>
      <c r="Z654" s="77"/>
      <c r="AA654" s="77"/>
      <c r="AB654" s="77"/>
      <c r="AC654" s="81" t="s">
        <v>2716</v>
      </c>
      <c r="AD654" s="77" t="s">
        <v>2751</v>
      </c>
      <c r="AE654" s="80" t="str">
        <f>HYPERLINK("https://twitter.com/mguruz/status/33837876785446912")</f>
        <v>https://twitter.com/mguruz/status/33837876785446912</v>
      </c>
      <c r="AF654" s="79">
        <v>40579.44621527778</v>
      </c>
      <c r="AG654" s="85">
        <v>40579</v>
      </c>
      <c r="AH654" s="81" t="s">
        <v>3258</v>
      </c>
      <c r="AI654" s="77"/>
      <c r="AJ654" s="77"/>
      <c r="AK654" s="77"/>
      <c r="AL654" s="77"/>
      <c r="AM654" s="77"/>
      <c r="AN654" s="77"/>
      <c r="AO654" s="77"/>
      <c r="AP654" s="77"/>
      <c r="AQ654" s="77"/>
      <c r="AR654" s="77"/>
      <c r="AS654" s="77"/>
      <c r="AT654" s="77"/>
      <c r="AU654" s="77"/>
      <c r="AV654" s="80" t="str">
        <f>HYPERLINK("https://pbs.twimg.com/profile_images/1130956036/love-8204_normal.jpg")</f>
        <v>https://pbs.twimg.com/profile_images/1130956036/love-8204_normal.jpg</v>
      </c>
      <c r="AW654" s="81" t="s">
        <v>5004</v>
      </c>
      <c r="AX654" s="81" t="s">
        <v>5004</v>
      </c>
      <c r="AY654" s="77"/>
      <c r="AZ654" s="81" t="s">
        <v>5773</v>
      </c>
      <c r="BA654" s="81" t="s">
        <v>5773</v>
      </c>
      <c r="BB654" s="81" t="s">
        <v>5773</v>
      </c>
      <c r="BC654" s="81" t="s">
        <v>5004</v>
      </c>
      <c r="BD654" s="77">
        <v>193782515</v>
      </c>
      <c r="BE654" s="77"/>
      <c r="BF654" s="77"/>
      <c r="BG654" s="77"/>
      <c r="BH654" s="77"/>
      <c r="BI654" s="77"/>
    </row>
    <row r="655" spans="1:61" ht="15">
      <c r="A655" s="62" t="s">
        <v>395</v>
      </c>
      <c r="B655" s="62" t="s">
        <v>439</v>
      </c>
      <c r="C655" s="63"/>
      <c r="D655" s="64"/>
      <c r="E655" s="65"/>
      <c r="F655" s="66"/>
      <c r="G655" s="63"/>
      <c r="H655" s="67"/>
      <c r="I655" s="68"/>
      <c r="J655" s="68"/>
      <c r="K655" s="32" t="s">
        <v>65</v>
      </c>
      <c r="L655" s="75">
        <v>655</v>
      </c>
      <c r="M655" s="75"/>
      <c r="N655" s="70"/>
      <c r="O655" s="77" t="s">
        <v>571</v>
      </c>
      <c r="P655" s="79">
        <v>43725.15758101852</v>
      </c>
      <c r="Q655" s="77" t="s">
        <v>1069</v>
      </c>
      <c r="R655" s="77">
        <v>0</v>
      </c>
      <c r="S655" s="77">
        <v>0</v>
      </c>
      <c r="T655" s="77">
        <v>0</v>
      </c>
      <c r="U655" s="77">
        <v>0</v>
      </c>
      <c r="V655" s="77"/>
      <c r="W655" s="77"/>
      <c r="X655" s="80" t="str">
        <f>HYPERLINK("http://customerthink.com/7-social-media-habits-you-need-to-stop-right-now/")</f>
        <v>http://customerthink.com/7-social-media-habits-you-need-to-stop-right-now/</v>
      </c>
      <c r="Y655" s="77" t="s">
        <v>1981</v>
      </c>
      <c r="Z655" s="77" t="s">
        <v>2063</v>
      </c>
      <c r="AA655" s="77"/>
      <c r="AB655" s="77"/>
      <c r="AC655" s="81" t="s">
        <v>2705</v>
      </c>
      <c r="AD655" s="77" t="s">
        <v>2751</v>
      </c>
      <c r="AE655" s="80" t="str">
        <f>HYPERLINK("https://twitter.com/bob_thompson/status/1173805505405313026")</f>
        <v>https://twitter.com/bob_thompson/status/1173805505405313026</v>
      </c>
      <c r="AF655" s="79">
        <v>43725.15758101852</v>
      </c>
      <c r="AG655" s="85">
        <v>43725</v>
      </c>
      <c r="AH655" s="81" t="s">
        <v>3259</v>
      </c>
      <c r="AI655" s="77" t="b">
        <v>0</v>
      </c>
      <c r="AJ655" s="77"/>
      <c r="AK655" s="77"/>
      <c r="AL655" s="77"/>
      <c r="AM655" s="77"/>
      <c r="AN655" s="77"/>
      <c r="AO655" s="77"/>
      <c r="AP655" s="77"/>
      <c r="AQ655" s="77"/>
      <c r="AR655" s="77"/>
      <c r="AS655" s="77"/>
      <c r="AT655" s="77"/>
      <c r="AU655" s="77"/>
      <c r="AV655" s="80" t="str">
        <f>HYPERLINK("https://pbs.twimg.com/profile_images/1453428033042333698/QFjMjQn8_normal.jpg")</f>
        <v>https://pbs.twimg.com/profile_images/1453428033042333698/QFjMjQn8_normal.jpg</v>
      </c>
      <c r="AW655" s="81" t="s">
        <v>5005</v>
      </c>
      <c r="AX655" s="81" t="s">
        <v>5005</v>
      </c>
      <c r="AY655" s="77"/>
      <c r="AZ655" s="81" t="s">
        <v>5773</v>
      </c>
      <c r="BA655" s="81" t="s">
        <v>5773</v>
      </c>
      <c r="BB655" s="81" t="s">
        <v>5773</v>
      </c>
      <c r="BC655" s="81" t="s">
        <v>5005</v>
      </c>
      <c r="BD655" s="77">
        <v>16357285</v>
      </c>
      <c r="BE655" s="77"/>
      <c r="BF655" s="77"/>
      <c r="BG655" s="77"/>
      <c r="BH655" s="77"/>
      <c r="BI655" s="77"/>
    </row>
    <row r="656" spans="1:61" ht="15">
      <c r="A656" s="62" t="s">
        <v>395</v>
      </c>
      <c r="B656" s="62" t="s">
        <v>439</v>
      </c>
      <c r="C656" s="63"/>
      <c r="D656" s="64"/>
      <c r="E656" s="65"/>
      <c r="F656" s="66"/>
      <c r="G656" s="63"/>
      <c r="H656" s="67"/>
      <c r="I656" s="68"/>
      <c r="J656" s="68"/>
      <c r="K656" s="32" t="s">
        <v>65</v>
      </c>
      <c r="L656" s="75">
        <v>656</v>
      </c>
      <c r="M656" s="75"/>
      <c r="N656" s="70"/>
      <c r="O656" s="77" t="s">
        <v>571</v>
      </c>
      <c r="P656" s="79">
        <v>43855.23099537037</v>
      </c>
      <c r="Q656" s="77" t="s">
        <v>1070</v>
      </c>
      <c r="R656" s="77">
        <v>0</v>
      </c>
      <c r="S656" s="77">
        <v>0</v>
      </c>
      <c r="T656" s="77">
        <v>0</v>
      </c>
      <c r="U656" s="77">
        <v>0</v>
      </c>
      <c r="V656" s="77"/>
      <c r="W656" s="77"/>
      <c r="X656" s="80" t="str">
        <f>HYPERLINK("http://customerthink.com/think-effectively-with-seo-and-brand-building-strategies/")</f>
        <v>http://customerthink.com/think-effectively-with-seo-and-brand-building-strategies/</v>
      </c>
      <c r="Y656" s="77" t="s">
        <v>1981</v>
      </c>
      <c r="Z656" s="77" t="s">
        <v>2063</v>
      </c>
      <c r="AA656" s="77"/>
      <c r="AB656" s="77"/>
      <c r="AC656" s="81" t="s">
        <v>2705</v>
      </c>
      <c r="AD656" s="77" t="s">
        <v>2751</v>
      </c>
      <c r="AE656" s="80" t="str">
        <f>HYPERLINK("https://twitter.com/bob_thompson/status/1220942533804429318")</f>
        <v>https://twitter.com/bob_thompson/status/1220942533804429318</v>
      </c>
      <c r="AF656" s="79">
        <v>43855.23099537037</v>
      </c>
      <c r="AG656" s="85">
        <v>43855</v>
      </c>
      <c r="AH656" s="81" t="s">
        <v>3260</v>
      </c>
      <c r="AI656" s="77" t="b">
        <v>0</v>
      </c>
      <c r="AJ656" s="77"/>
      <c r="AK656" s="77"/>
      <c r="AL656" s="77"/>
      <c r="AM656" s="77"/>
      <c r="AN656" s="77"/>
      <c r="AO656" s="77"/>
      <c r="AP656" s="77"/>
      <c r="AQ656" s="77"/>
      <c r="AR656" s="77"/>
      <c r="AS656" s="77"/>
      <c r="AT656" s="77"/>
      <c r="AU656" s="77"/>
      <c r="AV656" s="80" t="str">
        <f>HYPERLINK("https://pbs.twimg.com/profile_images/1453428033042333698/QFjMjQn8_normal.jpg")</f>
        <v>https://pbs.twimg.com/profile_images/1453428033042333698/QFjMjQn8_normal.jpg</v>
      </c>
      <c r="AW656" s="81" t="s">
        <v>5006</v>
      </c>
      <c r="AX656" s="81" t="s">
        <v>5006</v>
      </c>
      <c r="AY656" s="77"/>
      <c r="AZ656" s="81" t="s">
        <v>5773</v>
      </c>
      <c r="BA656" s="81" t="s">
        <v>5773</v>
      </c>
      <c r="BB656" s="81" t="s">
        <v>5773</v>
      </c>
      <c r="BC656" s="81" t="s">
        <v>5006</v>
      </c>
      <c r="BD656" s="77">
        <v>16357285</v>
      </c>
      <c r="BE656" s="77"/>
      <c r="BF656" s="77"/>
      <c r="BG656" s="77"/>
      <c r="BH656" s="77"/>
      <c r="BI656" s="77"/>
    </row>
    <row r="657" spans="1:61" ht="15">
      <c r="A657" s="62" t="s">
        <v>395</v>
      </c>
      <c r="B657" s="62" t="s">
        <v>299</v>
      </c>
      <c r="C657" s="63"/>
      <c r="D657" s="64"/>
      <c r="E657" s="65"/>
      <c r="F657" s="66"/>
      <c r="G657" s="63"/>
      <c r="H657" s="67"/>
      <c r="I657" s="68"/>
      <c r="J657" s="68"/>
      <c r="K657" s="32" t="s">
        <v>65</v>
      </c>
      <c r="L657" s="75">
        <v>657</v>
      </c>
      <c r="M657" s="75"/>
      <c r="N657" s="70"/>
      <c r="O657" s="77" t="s">
        <v>571</v>
      </c>
      <c r="P657" s="79">
        <v>43725.15758101852</v>
      </c>
      <c r="Q657" s="77" t="s">
        <v>1069</v>
      </c>
      <c r="R657" s="77">
        <v>0</v>
      </c>
      <c r="S657" s="77">
        <v>0</v>
      </c>
      <c r="T657" s="77">
        <v>0</v>
      </c>
      <c r="U657" s="77">
        <v>0</v>
      </c>
      <c r="V657" s="77"/>
      <c r="W657" s="77"/>
      <c r="X657" s="80" t="str">
        <f>HYPERLINK("http://customerthink.com/7-social-media-habits-you-need-to-stop-right-now/")</f>
        <v>http://customerthink.com/7-social-media-habits-you-need-to-stop-right-now/</v>
      </c>
      <c r="Y657" s="77" t="s">
        <v>1981</v>
      </c>
      <c r="Z657" s="77" t="s">
        <v>2063</v>
      </c>
      <c r="AA657" s="77"/>
      <c r="AB657" s="77"/>
      <c r="AC657" s="81" t="s">
        <v>2705</v>
      </c>
      <c r="AD657" s="77" t="s">
        <v>2751</v>
      </c>
      <c r="AE657" s="80" t="str">
        <f>HYPERLINK("https://twitter.com/bob_thompson/status/1173805505405313026")</f>
        <v>https://twitter.com/bob_thompson/status/1173805505405313026</v>
      </c>
      <c r="AF657" s="79">
        <v>43725.15758101852</v>
      </c>
      <c r="AG657" s="85">
        <v>43725</v>
      </c>
      <c r="AH657" s="81" t="s">
        <v>3259</v>
      </c>
      <c r="AI657" s="77" t="b">
        <v>0</v>
      </c>
      <c r="AJ657" s="77"/>
      <c r="AK657" s="77"/>
      <c r="AL657" s="77"/>
      <c r="AM657" s="77"/>
      <c r="AN657" s="77"/>
      <c r="AO657" s="77"/>
      <c r="AP657" s="77"/>
      <c r="AQ657" s="77"/>
      <c r="AR657" s="77"/>
      <c r="AS657" s="77"/>
      <c r="AT657" s="77"/>
      <c r="AU657" s="77"/>
      <c r="AV657" s="80" t="str">
        <f>HYPERLINK("https://pbs.twimg.com/profile_images/1453428033042333698/QFjMjQn8_normal.jpg")</f>
        <v>https://pbs.twimg.com/profile_images/1453428033042333698/QFjMjQn8_normal.jpg</v>
      </c>
      <c r="AW657" s="81" t="s">
        <v>5005</v>
      </c>
      <c r="AX657" s="81" t="s">
        <v>5005</v>
      </c>
      <c r="AY657" s="77"/>
      <c r="AZ657" s="81" t="s">
        <v>5773</v>
      </c>
      <c r="BA657" s="81" t="s">
        <v>5773</v>
      </c>
      <c r="BB657" s="81" t="s">
        <v>5773</v>
      </c>
      <c r="BC657" s="81" t="s">
        <v>5005</v>
      </c>
      <c r="BD657" s="77">
        <v>16357285</v>
      </c>
      <c r="BE657" s="77"/>
      <c r="BF657" s="77"/>
      <c r="BG657" s="77"/>
      <c r="BH657" s="77"/>
      <c r="BI657" s="77"/>
    </row>
    <row r="658" spans="1:61" ht="15">
      <c r="A658" s="62" t="s">
        <v>395</v>
      </c>
      <c r="B658" s="62" t="s">
        <v>299</v>
      </c>
      <c r="C658" s="63"/>
      <c r="D658" s="64"/>
      <c r="E658" s="65"/>
      <c r="F658" s="66"/>
      <c r="G658" s="63"/>
      <c r="H658" s="67"/>
      <c r="I658" s="68"/>
      <c r="J658" s="68"/>
      <c r="K658" s="32" t="s">
        <v>65</v>
      </c>
      <c r="L658" s="75">
        <v>658</v>
      </c>
      <c r="M658" s="75"/>
      <c r="N658" s="70"/>
      <c r="O658" s="77" t="s">
        <v>571</v>
      </c>
      <c r="P658" s="79">
        <v>43855.23099537037</v>
      </c>
      <c r="Q658" s="77" t="s">
        <v>1070</v>
      </c>
      <c r="R658" s="77">
        <v>0</v>
      </c>
      <c r="S658" s="77">
        <v>0</v>
      </c>
      <c r="T658" s="77">
        <v>0</v>
      </c>
      <c r="U658" s="77">
        <v>0</v>
      </c>
      <c r="V658" s="77"/>
      <c r="W658" s="77"/>
      <c r="X658" s="80" t="str">
        <f>HYPERLINK("http://customerthink.com/think-effectively-with-seo-and-brand-building-strategies/")</f>
        <v>http://customerthink.com/think-effectively-with-seo-and-brand-building-strategies/</v>
      </c>
      <c r="Y658" s="77" t="s">
        <v>1981</v>
      </c>
      <c r="Z658" s="77" t="s">
        <v>2063</v>
      </c>
      <c r="AA658" s="77"/>
      <c r="AB658" s="77"/>
      <c r="AC658" s="81" t="s">
        <v>2705</v>
      </c>
      <c r="AD658" s="77" t="s">
        <v>2751</v>
      </c>
      <c r="AE658" s="80" t="str">
        <f>HYPERLINK("https://twitter.com/bob_thompson/status/1220942533804429318")</f>
        <v>https://twitter.com/bob_thompson/status/1220942533804429318</v>
      </c>
      <c r="AF658" s="79">
        <v>43855.23099537037</v>
      </c>
      <c r="AG658" s="85">
        <v>43855</v>
      </c>
      <c r="AH658" s="81" t="s">
        <v>3260</v>
      </c>
      <c r="AI658" s="77" t="b">
        <v>0</v>
      </c>
      <c r="AJ658" s="77"/>
      <c r="AK658" s="77"/>
      <c r="AL658" s="77"/>
      <c r="AM658" s="77"/>
      <c r="AN658" s="77"/>
      <c r="AO658" s="77"/>
      <c r="AP658" s="77"/>
      <c r="AQ658" s="77"/>
      <c r="AR658" s="77"/>
      <c r="AS658" s="77"/>
      <c r="AT658" s="77"/>
      <c r="AU658" s="77"/>
      <c r="AV658" s="80" t="str">
        <f>HYPERLINK("https://pbs.twimg.com/profile_images/1453428033042333698/QFjMjQn8_normal.jpg")</f>
        <v>https://pbs.twimg.com/profile_images/1453428033042333698/QFjMjQn8_normal.jpg</v>
      </c>
      <c r="AW658" s="81" t="s">
        <v>5006</v>
      </c>
      <c r="AX658" s="81" t="s">
        <v>5006</v>
      </c>
      <c r="AY658" s="77"/>
      <c r="AZ658" s="81" t="s">
        <v>5773</v>
      </c>
      <c r="BA658" s="81" t="s">
        <v>5773</v>
      </c>
      <c r="BB658" s="81" t="s">
        <v>5773</v>
      </c>
      <c r="BC658" s="81" t="s">
        <v>5006</v>
      </c>
      <c r="BD658" s="77">
        <v>16357285</v>
      </c>
      <c r="BE658" s="77"/>
      <c r="BF658" s="77"/>
      <c r="BG658" s="77"/>
      <c r="BH658" s="77"/>
      <c r="BI658" s="77"/>
    </row>
    <row r="659" spans="1:61" ht="15">
      <c r="A659" s="62" t="s">
        <v>396</v>
      </c>
      <c r="B659" s="62" t="s">
        <v>299</v>
      </c>
      <c r="C659" s="63"/>
      <c r="D659" s="64"/>
      <c r="E659" s="65"/>
      <c r="F659" s="66"/>
      <c r="G659" s="63"/>
      <c r="H659" s="67"/>
      <c r="I659" s="68"/>
      <c r="J659" s="68"/>
      <c r="K659" s="32" t="s">
        <v>65</v>
      </c>
      <c r="L659" s="75">
        <v>659</v>
      </c>
      <c r="M659" s="75"/>
      <c r="N659" s="70"/>
      <c r="O659" s="77" t="s">
        <v>571</v>
      </c>
      <c r="P659" s="79">
        <v>42956.57766203704</v>
      </c>
      <c r="Q659" s="77" t="s">
        <v>1071</v>
      </c>
      <c r="R659" s="77">
        <v>0</v>
      </c>
      <c r="S659" s="77">
        <v>0</v>
      </c>
      <c r="T659" s="77">
        <v>0</v>
      </c>
      <c r="U659" s="77">
        <v>0</v>
      </c>
      <c r="V659" s="77"/>
      <c r="W659" s="77"/>
      <c r="X659" s="77" t="s">
        <v>1971</v>
      </c>
      <c r="Y659" s="77" t="s">
        <v>2039</v>
      </c>
      <c r="Z659" s="77" t="s">
        <v>299</v>
      </c>
      <c r="AA659" s="77"/>
      <c r="AB659" s="77"/>
      <c r="AC659" s="81" t="s">
        <v>2711</v>
      </c>
      <c r="AD659" s="77" t="s">
        <v>2755</v>
      </c>
      <c r="AE659" s="80" t="str">
        <f>HYPERLINK("https://twitter.com/bluformiga/status/895281469597331458")</f>
        <v>https://twitter.com/bluformiga/status/895281469597331458</v>
      </c>
      <c r="AF659" s="79">
        <v>42956.57766203704</v>
      </c>
      <c r="AG659" s="85">
        <v>42956</v>
      </c>
      <c r="AH659" s="81" t="s">
        <v>3261</v>
      </c>
      <c r="AI659" s="77" t="b">
        <v>0</v>
      </c>
      <c r="AJ659" s="77"/>
      <c r="AK659" s="77"/>
      <c r="AL659" s="77"/>
      <c r="AM659" s="77"/>
      <c r="AN659" s="77"/>
      <c r="AO659" s="77"/>
      <c r="AP659" s="77"/>
      <c r="AQ659" s="77"/>
      <c r="AR659" s="77"/>
      <c r="AS659" s="77"/>
      <c r="AT659" s="77"/>
      <c r="AU659" s="77"/>
      <c r="AV659" s="80" t="str">
        <f>HYPERLINK("https://pbs.twimg.com/profile_images/874339226023755777/kXsi95qh_normal.jpg")</f>
        <v>https://pbs.twimg.com/profile_images/874339226023755777/kXsi95qh_normal.jpg</v>
      </c>
      <c r="AW659" s="81" t="s">
        <v>5007</v>
      </c>
      <c r="AX659" s="81" t="s">
        <v>5007</v>
      </c>
      <c r="AY659" s="77"/>
      <c r="AZ659" s="81" t="s">
        <v>5773</v>
      </c>
      <c r="BA659" s="81" t="s">
        <v>5773</v>
      </c>
      <c r="BB659" s="81" t="s">
        <v>5773</v>
      </c>
      <c r="BC659" s="81" t="s">
        <v>5007</v>
      </c>
      <c r="BD659" s="77">
        <v>3013566597</v>
      </c>
      <c r="BE659" s="77"/>
      <c r="BF659" s="77"/>
      <c r="BG659" s="77"/>
      <c r="BH659" s="77"/>
      <c r="BI659" s="77"/>
    </row>
    <row r="660" spans="1:61" ht="15">
      <c r="A660" s="62" t="s">
        <v>397</v>
      </c>
      <c r="B660" s="62" t="s">
        <v>397</v>
      </c>
      <c r="C660" s="63"/>
      <c r="D660" s="64"/>
      <c r="E660" s="65"/>
      <c r="F660" s="66"/>
      <c r="G660" s="63"/>
      <c r="H660" s="67"/>
      <c r="I660" s="68"/>
      <c r="J660" s="68"/>
      <c r="K660" s="32" t="s">
        <v>65</v>
      </c>
      <c r="L660" s="75">
        <v>660</v>
      </c>
      <c r="M660" s="75"/>
      <c r="N660" s="70"/>
      <c r="O660" s="77" t="s">
        <v>179</v>
      </c>
      <c r="P660" s="79">
        <v>41812.05645833333</v>
      </c>
      <c r="Q660" s="77" t="s">
        <v>1072</v>
      </c>
      <c r="R660" s="77">
        <v>0</v>
      </c>
      <c r="S660" s="77">
        <v>0</v>
      </c>
      <c r="T660" s="77">
        <v>0</v>
      </c>
      <c r="U660" s="77">
        <v>0</v>
      </c>
      <c r="V660" s="77"/>
      <c r="W660" s="77"/>
      <c r="X660" s="77"/>
      <c r="Y660" s="77"/>
      <c r="Z660" s="77"/>
      <c r="AA660" s="77"/>
      <c r="AB660" s="77"/>
      <c r="AC660" s="81" t="s">
        <v>2701</v>
      </c>
      <c r="AD660" s="77" t="s">
        <v>2751</v>
      </c>
      <c r="AE660" s="80" t="str">
        <f>HYPERLINK("https://twitter.com/shittyscotty/status/480520875356082176")</f>
        <v>https://twitter.com/shittyscotty/status/480520875356082176</v>
      </c>
      <c r="AF660" s="79">
        <v>41812.05645833333</v>
      </c>
      <c r="AG660" s="85">
        <v>41812</v>
      </c>
      <c r="AH660" s="81" t="s">
        <v>3262</v>
      </c>
      <c r="AI660" s="77"/>
      <c r="AJ660" s="77"/>
      <c r="AK660" s="77"/>
      <c r="AL660" s="77"/>
      <c r="AM660" s="77"/>
      <c r="AN660" s="77"/>
      <c r="AO660" s="77"/>
      <c r="AP660" s="77"/>
      <c r="AQ660" s="77"/>
      <c r="AR660" s="77"/>
      <c r="AS660" s="77"/>
      <c r="AT660" s="77"/>
      <c r="AU660" s="77"/>
      <c r="AV660" s="80" t="str">
        <f>HYPERLINK("https://pbs.twimg.com/profile_images/498334656425897986/huKFIA0R_normal.jpeg")</f>
        <v>https://pbs.twimg.com/profile_images/498334656425897986/huKFIA0R_normal.jpeg</v>
      </c>
      <c r="AW660" s="81" t="s">
        <v>5008</v>
      </c>
      <c r="AX660" s="81" t="s">
        <v>5008</v>
      </c>
      <c r="AY660" s="77"/>
      <c r="AZ660" s="81" t="s">
        <v>5773</v>
      </c>
      <c r="BA660" s="81" t="s">
        <v>5773</v>
      </c>
      <c r="BB660" s="81" t="s">
        <v>5773</v>
      </c>
      <c r="BC660" s="81" t="s">
        <v>5008</v>
      </c>
      <c r="BD660" s="77">
        <v>1471043924</v>
      </c>
      <c r="BE660" s="77"/>
      <c r="BF660" s="77"/>
      <c r="BG660" s="77"/>
      <c r="BH660" s="77"/>
      <c r="BI660" s="77"/>
    </row>
    <row r="661" spans="1:61" ht="15">
      <c r="A661" s="62" t="s">
        <v>398</v>
      </c>
      <c r="B661" s="62" t="s">
        <v>398</v>
      </c>
      <c r="C661" s="63"/>
      <c r="D661" s="64"/>
      <c r="E661" s="65"/>
      <c r="F661" s="66"/>
      <c r="G661" s="63"/>
      <c r="H661" s="67"/>
      <c r="I661" s="68"/>
      <c r="J661" s="68"/>
      <c r="K661" s="32" t="s">
        <v>65</v>
      </c>
      <c r="L661" s="75">
        <v>661</v>
      </c>
      <c r="M661" s="75"/>
      <c r="N661" s="70"/>
      <c r="O661" s="77" t="s">
        <v>179</v>
      </c>
      <c r="P661" s="79">
        <v>42788.66621527778</v>
      </c>
      <c r="Q661" s="77" t="s">
        <v>1073</v>
      </c>
      <c r="R661" s="77">
        <v>0</v>
      </c>
      <c r="S661" s="77">
        <v>0</v>
      </c>
      <c r="T661" s="77">
        <v>0</v>
      </c>
      <c r="U661" s="77">
        <v>0</v>
      </c>
      <c r="V661" s="77"/>
      <c r="W661" s="77"/>
      <c r="X661" s="80" t="str">
        <f>HYPERLINK("https://goo.gl/fb/yh2tZK")</f>
        <v>https://goo.gl/fb/yh2tZK</v>
      </c>
      <c r="Y661" s="77" t="s">
        <v>1975</v>
      </c>
      <c r="Z661" s="77"/>
      <c r="AA661" s="77"/>
      <c r="AB661" s="77"/>
      <c r="AC661" s="81" t="s">
        <v>2702</v>
      </c>
      <c r="AD661" s="77" t="s">
        <v>2751</v>
      </c>
      <c r="AE661" s="80" t="str">
        <f>HYPERLINK("https://twitter.com/tgjobalert/status/834432397332582400")</f>
        <v>https://twitter.com/tgjobalert/status/834432397332582400</v>
      </c>
      <c r="AF661" s="79">
        <v>42788.66621527778</v>
      </c>
      <c r="AG661" s="85">
        <v>42788</v>
      </c>
      <c r="AH661" s="81" t="s">
        <v>3263</v>
      </c>
      <c r="AI661" s="77" t="b">
        <v>0</v>
      </c>
      <c r="AJ661" s="77"/>
      <c r="AK661" s="77"/>
      <c r="AL661" s="77"/>
      <c r="AM661" s="77"/>
      <c r="AN661" s="77"/>
      <c r="AO661" s="77"/>
      <c r="AP661" s="77"/>
      <c r="AQ661" s="77"/>
      <c r="AR661" s="77"/>
      <c r="AS661" s="77"/>
      <c r="AT661" s="77"/>
      <c r="AU661" s="77"/>
      <c r="AV661" s="80" t="str">
        <f>HYPERLINK("https://pbs.twimg.com/profile_images/479648312442642432/F-d7VOXN_normal.jpeg")</f>
        <v>https://pbs.twimg.com/profile_images/479648312442642432/F-d7VOXN_normal.jpeg</v>
      </c>
      <c r="AW661" s="81" t="s">
        <v>5009</v>
      </c>
      <c r="AX661" s="81" t="s">
        <v>5009</v>
      </c>
      <c r="AY661" s="77"/>
      <c r="AZ661" s="81" t="s">
        <v>5773</v>
      </c>
      <c r="BA661" s="81" t="s">
        <v>5773</v>
      </c>
      <c r="BB661" s="81" t="s">
        <v>5773</v>
      </c>
      <c r="BC661" s="81" t="s">
        <v>5009</v>
      </c>
      <c r="BD661" s="77">
        <v>2577037710</v>
      </c>
      <c r="BE661" s="77"/>
      <c r="BF661" s="77"/>
      <c r="BG661" s="77"/>
      <c r="BH661" s="77"/>
      <c r="BI661" s="77"/>
    </row>
    <row r="662" spans="1:61" ht="15">
      <c r="A662" s="62" t="s">
        <v>398</v>
      </c>
      <c r="B662" s="62" t="s">
        <v>398</v>
      </c>
      <c r="C662" s="63"/>
      <c r="D662" s="64"/>
      <c r="E662" s="65"/>
      <c r="F662" s="66"/>
      <c r="G662" s="63"/>
      <c r="H662" s="67"/>
      <c r="I662" s="68"/>
      <c r="J662" s="68"/>
      <c r="K662" s="32" t="s">
        <v>65</v>
      </c>
      <c r="L662" s="75">
        <v>662</v>
      </c>
      <c r="M662" s="75"/>
      <c r="N662" s="70"/>
      <c r="O662" s="77" t="s">
        <v>179</v>
      </c>
      <c r="P662" s="79">
        <v>42788.66086805556</v>
      </c>
      <c r="Q662" s="77" t="s">
        <v>1074</v>
      </c>
      <c r="R662" s="77">
        <v>0</v>
      </c>
      <c r="S662" s="77">
        <v>0</v>
      </c>
      <c r="T662" s="77">
        <v>0</v>
      </c>
      <c r="U662" s="77">
        <v>0</v>
      </c>
      <c r="V662" s="77"/>
      <c r="W662" s="77"/>
      <c r="X662" s="80" t="str">
        <f>HYPERLINK("https://goo.gl/fb/3yWiIV")</f>
        <v>https://goo.gl/fb/3yWiIV</v>
      </c>
      <c r="Y662" s="77" t="s">
        <v>1975</v>
      </c>
      <c r="Z662" s="77"/>
      <c r="AA662" s="77"/>
      <c r="AB662" s="77"/>
      <c r="AC662" s="81" t="s">
        <v>2702</v>
      </c>
      <c r="AD662" s="77" t="s">
        <v>2751</v>
      </c>
      <c r="AE662" s="80" t="str">
        <f>HYPERLINK("https://twitter.com/tgjobalert/status/834430461753565187")</f>
        <v>https://twitter.com/tgjobalert/status/834430461753565187</v>
      </c>
      <c r="AF662" s="79">
        <v>42788.66086805556</v>
      </c>
      <c r="AG662" s="85">
        <v>42788</v>
      </c>
      <c r="AH662" s="81" t="s">
        <v>3264</v>
      </c>
      <c r="AI662" s="77" t="b">
        <v>0</v>
      </c>
      <c r="AJ662" s="77"/>
      <c r="AK662" s="77"/>
      <c r="AL662" s="77"/>
      <c r="AM662" s="77"/>
      <c r="AN662" s="77"/>
      <c r="AO662" s="77"/>
      <c r="AP662" s="77"/>
      <c r="AQ662" s="77"/>
      <c r="AR662" s="77"/>
      <c r="AS662" s="77"/>
      <c r="AT662" s="77"/>
      <c r="AU662" s="77"/>
      <c r="AV662" s="80" t="str">
        <f>HYPERLINK("https://pbs.twimg.com/profile_images/479648312442642432/F-d7VOXN_normal.jpeg")</f>
        <v>https://pbs.twimg.com/profile_images/479648312442642432/F-d7VOXN_normal.jpeg</v>
      </c>
      <c r="AW662" s="81" t="s">
        <v>5010</v>
      </c>
      <c r="AX662" s="81" t="s">
        <v>5010</v>
      </c>
      <c r="AY662" s="77"/>
      <c r="AZ662" s="81" t="s">
        <v>5773</v>
      </c>
      <c r="BA662" s="81" t="s">
        <v>5773</v>
      </c>
      <c r="BB662" s="81" t="s">
        <v>5773</v>
      </c>
      <c r="BC662" s="81" t="s">
        <v>5010</v>
      </c>
      <c r="BD662" s="77">
        <v>2577037710</v>
      </c>
      <c r="BE662" s="77"/>
      <c r="BF662" s="77"/>
      <c r="BG662" s="77"/>
      <c r="BH662" s="77"/>
      <c r="BI662" s="77"/>
    </row>
    <row r="663" spans="1:61" ht="15">
      <c r="A663" s="62" t="s">
        <v>398</v>
      </c>
      <c r="B663" s="62" t="s">
        <v>398</v>
      </c>
      <c r="C663" s="63"/>
      <c r="D663" s="64"/>
      <c r="E663" s="65"/>
      <c r="F663" s="66"/>
      <c r="G663" s="63"/>
      <c r="H663" s="67"/>
      <c r="I663" s="68"/>
      <c r="J663" s="68"/>
      <c r="K663" s="32" t="s">
        <v>65</v>
      </c>
      <c r="L663" s="75">
        <v>663</v>
      </c>
      <c r="M663" s="75"/>
      <c r="N663" s="70"/>
      <c r="O663" s="77" t="s">
        <v>179</v>
      </c>
      <c r="P663" s="79">
        <v>42788.657743055555</v>
      </c>
      <c r="Q663" s="77" t="s">
        <v>1075</v>
      </c>
      <c r="R663" s="77">
        <v>0</v>
      </c>
      <c r="S663" s="77">
        <v>0</v>
      </c>
      <c r="T663" s="77">
        <v>0</v>
      </c>
      <c r="U663" s="77">
        <v>0</v>
      </c>
      <c r="V663" s="77"/>
      <c r="W663" s="77"/>
      <c r="X663" s="80" t="str">
        <f>HYPERLINK("https://goo.gl/fb/7TbwbQ")</f>
        <v>https://goo.gl/fb/7TbwbQ</v>
      </c>
      <c r="Y663" s="77" t="s">
        <v>1975</v>
      </c>
      <c r="Z663" s="77"/>
      <c r="AA663" s="77"/>
      <c r="AB663" s="77"/>
      <c r="AC663" s="81" t="s">
        <v>2702</v>
      </c>
      <c r="AD663" s="77" t="s">
        <v>2751</v>
      </c>
      <c r="AE663" s="80" t="str">
        <f>HYPERLINK("https://twitter.com/tgjobalert/status/834429329824239620")</f>
        <v>https://twitter.com/tgjobalert/status/834429329824239620</v>
      </c>
      <c r="AF663" s="79">
        <v>42788.657743055555</v>
      </c>
      <c r="AG663" s="85">
        <v>42788</v>
      </c>
      <c r="AH663" s="81" t="s">
        <v>3265</v>
      </c>
      <c r="AI663" s="77" t="b">
        <v>0</v>
      </c>
      <c r="AJ663" s="77"/>
      <c r="AK663" s="77"/>
      <c r="AL663" s="77"/>
      <c r="AM663" s="77"/>
      <c r="AN663" s="77"/>
      <c r="AO663" s="77"/>
      <c r="AP663" s="77"/>
      <c r="AQ663" s="77"/>
      <c r="AR663" s="77"/>
      <c r="AS663" s="77"/>
      <c r="AT663" s="77"/>
      <c r="AU663" s="77"/>
      <c r="AV663" s="80" t="str">
        <f>HYPERLINK("https://pbs.twimg.com/profile_images/479648312442642432/F-d7VOXN_normal.jpeg")</f>
        <v>https://pbs.twimg.com/profile_images/479648312442642432/F-d7VOXN_normal.jpeg</v>
      </c>
      <c r="AW663" s="81" t="s">
        <v>5011</v>
      </c>
      <c r="AX663" s="81" t="s">
        <v>5011</v>
      </c>
      <c r="AY663" s="77"/>
      <c r="AZ663" s="81" t="s">
        <v>5773</v>
      </c>
      <c r="BA663" s="81" t="s">
        <v>5773</v>
      </c>
      <c r="BB663" s="81" t="s">
        <v>5773</v>
      </c>
      <c r="BC663" s="81" t="s">
        <v>5011</v>
      </c>
      <c r="BD663" s="77">
        <v>2577037710</v>
      </c>
      <c r="BE663" s="77"/>
      <c r="BF663" s="77"/>
      <c r="BG663" s="77"/>
      <c r="BH663" s="77"/>
      <c r="BI663" s="77"/>
    </row>
    <row r="664" spans="1:61" ht="15">
      <c r="A664" s="62" t="s">
        <v>398</v>
      </c>
      <c r="B664" s="62" t="s">
        <v>398</v>
      </c>
      <c r="C664" s="63"/>
      <c r="D664" s="64"/>
      <c r="E664" s="65"/>
      <c r="F664" s="66"/>
      <c r="G664" s="63"/>
      <c r="H664" s="67"/>
      <c r="I664" s="68"/>
      <c r="J664" s="68"/>
      <c r="K664" s="32" t="s">
        <v>65</v>
      </c>
      <c r="L664" s="75">
        <v>664</v>
      </c>
      <c r="M664" s="75"/>
      <c r="N664" s="70"/>
      <c r="O664" s="77" t="s">
        <v>179</v>
      </c>
      <c r="P664" s="79">
        <v>42788.67046296296</v>
      </c>
      <c r="Q664" s="77" t="s">
        <v>1076</v>
      </c>
      <c r="R664" s="77">
        <v>0</v>
      </c>
      <c r="S664" s="77">
        <v>1</v>
      </c>
      <c r="T664" s="77">
        <v>0</v>
      </c>
      <c r="U664" s="77">
        <v>0</v>
      </c>
      <c r="V664" s="77"/>
      <c r="W664" s="77"/>
      <c r="X664" s="80" t="str">
        <f>HYPERLINK("https://goo.gl/fb/g5WU3b")</f>
        <v>https://goo.gl/fb/g5WU3b</v>
      </c>
      <c r="Y664" s="77" t="s">
        <v>1975</v>
      </c>
      <c r="Z664" s="77"/>
      <c r="AA664" s="77"/>
      <c r="AB664" s="77"/>
      <c r="AC664" s="81" t="s">
        <v>2702</v>
      </c>
      <c r="AD664" s="77" t="s">
        <v>2751</v>
      </c>
      <c r="AE664" s="80" t="str">
        <f>HYPERLINK("https://twitter.com/tgjobalert/status/834433939951517698")</f>
        <v>https://twitter.com/tgjobalert/status/834433939951517698</v>
      </c>
      <c r="AF664" s="79">
        <v>42788.67046296296</v>
      </c>
      <c r="AG664" s="85">
        <v>42788</v>
      </c>
      <c r="AH664" s="81" t="s">
        <v>3266</v>
      </c>
      <c r="AI664" s="77" t="b">
        <v>0</v>
      </c>
      <c r="AJ664" s="77"/>
      <c r="AK664" s="77"/>
      <c r="AL664" s="77"/>
      <c r="AM664" s="77"/>
      <c r="AN664" s="77"/>
      <c r="AO664" s="77"/>
      <c r="AP664" s="77"/>
      <c r="AQ664" s="77"/>
      <c r="AR664" s="77"/>
      <c r="AS664" s="77"/>
      <c r="AT664" s="77"/>
      <c r="AU664" s="77"/>
      <c r="AV664" s="80" t="str">
        <f>HYPERLINK("https://pbs.twimg.com/profile_images/479648312442642432/F-d7VOXN_normal.jpeg")</f>
        <v>https://pbs.twimg.com/profile_images/479648312442642432/F-d7VOXN_normal.jpeg</v>
      </c>
      <c r="AW664" s="81" t="s">
        <v>5012</v>
      </c>
      <c r="AX664" s="81" t="s">
        <v>5012</v>
      </c>
      <c r="AY664" s="77"/>
      <c r="AZ664" s="81" t="s">
        <v>5773</v>
      </c>
      <c r="BA664" s="81" t="s">
        <v>5773</v>
      </c>
      <c r="BB664" s="81" t="s">
        <v>5773</v>
      </c>
      <c r="BC664" s="81" t="s">
        <v>5012</v>
      </c>
      <c r="BD664" s="77">
        <v>2577037710</v>
      </c>
      <c r="BE664" s="77"/>
      <c r="BF664" s="77"/>
      <c r="BG664" s="77"/>
      <c r="BH664" s="77"/>
      <c r="BI664" s="77"/>
    </row>
    <row r="665" spans="1:61" ht="15">
      <c r="A665" s="62" t="s">
        <v>398</v>
      </c>
      <c r="B665" s="62" t="s">
        <v>398</v>
      </c>
      <c r="C665" s="63"/>
      <c r="D665" s="64"/>
      <c r="E665" s="65"/>
      <c r="F665" s="66"/>
      <c r="G665" s="63"/>
      <c r="H665" s="67"/>
      <c r="I665" s="68"/>
      <c r="J665" s="68"/>
      <c r="K665" s="32" t="s">
        <v>65</v>
      </c>
      <c r="L665" s="75">
        <v>665</v>
      </c>
      <c r="M665" s="75"/>
      <c r="N665" s="70"/>
      <c r="O665" s="77" t="s">
        <v>179</v>
      </c>
      <c r="P665" s="79">
        <v>42788.66831018519</v>
      </c>
      <c r="Q665" s="77" t="s">
        <v>1077</v>
      </c>
      <c r="R665" s="77">
        <v>0</v>
      </c>
      <c r="S665" s="77">
        <v>0</v>
      </c>
      <c r="T665" s="77">
        <v>0</v>
      </c>
      <c r="U665" s="77">
        <v>0</v>
      </c>
      <c r="V665" s="77"/>
      <c r="W665" s="77"/>
      <c r="X665" s="80" t="str">
        <f>HYPERLINK("https://goo.gl/fb/PkDpxM")</f>
        <v>https://goo.gl/fb/PkDpxM</v>
      </c>
      <c r="Y665" s="77" t="s">
        <v>1975</v>
      </c>
      <c r="Z665" s="77"/>
      <c r="AA665" s="77"/>
      <c r="AB665" s="77"/>
      <c r="AC665" s="81" t="s">
        <v>2702</v>
      </c>
      <c r="AD665" s="77" t="s">
        <v>2751</v>
      </c>
      <c r="AE665" s="80" t="str">
        <f>HYPERLINK("https://twitter.com/tgjobalert/status/834433156380053504")</f>
        <v>https://twitter.com/tgjobalert/status/834433156380053504</v>
      </c>
      <c r="AF665" s="79">
        <v>42788.66831018519</v>
      </c>
      <c r="AG665" s="85">
        <v>42788</v>
      </c>
      <c r="AH665" s="81" t="s">
        <v>3267</v>
      </c>
      <c r="AI665" s="77" t="b">
        <v>0</v>
      </c>
      <c r="AJ665" s="77"/>
      <c r="AK665" s="77"/>
      <c r="AL665" s="77"/>
      <c r="AM665" s="77"/>
      <c r="AN665" s="77"/>
      <c r="AO665" s="77"/>
      <c r="AP665" s="77"/>
      <c r="AQ665" s="77"/>
      <c r="AR665" s="77"/>
      <c r="AS665" s="77"/>
      <c r="AT665" s="77"/>
      <c r="AU665" s="77"/>
      <c r="AV665" s="80" t="str">
        <f>HYPERLINK("https://pbs.twimg.com/profile_images/479648312442642432/F-d7VOXN_normal.jpeg")</f>
        <v>https://pbs.twimg.com/profile_images/479648312442642432/F-d7VOXN_normal.jpeg</v>
      </c>
      <c r="AW665" s="81" t="s">
        <v>5013</v>
      </c>
      <c r="AX665" s="81" t="s">
        <v>5013</v>
      </c>
      <c r="AY665" s="77"/>
      <c r="AZ665" s="81" t="s">
        <v>5773</v>
      </c>
      <c r="BA665" s="81" t="s">
        <v>5773</v>
      </c>
      <c r="BB665" s="81" t="s">
        <v>5773</v>
      </c>
      <c r="BC665" s="81" t="s">
        <v>5013</v>
      </c>
      <c r="BD665" s="77">
        <v>2577037710</v>
      </c>
      <c r="BE665" s="77"/>
      <c r="BF665" s="77"/>
      <c r="BG665" s="77"/>
      <c r="BH665" s="77"/>
      <c r="BI665" s="77"/>
    </row>
    <row r="666" spans="1:61" ht="15">
      <c r="A666" s="62" t="s">
        <v>398</v>
      </c>
      <c r="B666" s="62" t="s">
        <v>398</v>
      </c>
      <c r="C666" s="63"/>
      <c r="D666" s="64"/>
      <c r="E666" s="65"/>
      <c r="F666" s="66"/>
      <c r="G666" s="63"/>
      <c r="H666" s="67"/>
      <c r="I666" s="68"/>
      <c r="J666" s="68"/>
      <c r="K666" s="32" t="s">
        <v>65</v>
      </c>
      <c r="L666" s="75">
        <v>666</v>
      </c>
      <c r="M666" s="75"/>
      <c r="N666" s="70"/>
      <c r="O666" s="77" t="s">
        <v>179</v>
      </c>
      <c r="P666" s="79">
        <v>42788.66748842593</v>
      </c>
      <c r="Q666" s="77" t="s">
        <v>1078</v>
      </c>
      <c r="R666" s="77">
        <v>0</v>
      </c>
      <c r="S666" s="77">
        <v>0</v>
      </c>
      <c r="T666" s="77">
        <v>0</v>
      </c>
      <c r="U666" s="77">
        <v>0</v>
      </c>
      <c r="V666" s="77"/>
      <c r="W666" s="77"/>
      <c r="X666" s="80" t="str">
        <f>HYPERLINK("https://goo.gl/fb/ikyrIJ")</f>
        <v>https://goo.gl/fb/ikyrIJ</v>
      </c>
      <c r="Y666" s="77" t="s">
        <v>1975</v>
      </c>
      <c r="Z666" s="77"/>
      <c r="AA666" s="77"/>
      <c r="AB666" s="77"/>
      <c r="AC666" s="81" t="s">
        <v>2702</v>
      </c>
      <c r="AD666" s="77" t="s">
        <v>2751</v>
      </c>
      <c r="AE666" s="80" t="str">
        <f>HYPERLINK("https://twitter.com/tgjobalert/status/834432861776248833")</f>
        <v>https://twitter.com/tgjobalert/status/834432861776248833</v>
      </c>
      <c r="AF666" s="79">
        <v>42788.66748842593</v>
      </c>
      <c r="AG666" s="85">
        <v>42788</v>
      </c>
      <c r="AH666" s="81" t="s">
        <v>3268</v>
      </c>
      <c r="AI666" s="77" t="b">
        <v>0</v>
      </c>
      <c r="AJ666" s="77"/>
      <c r="AK666" s="77"/>
      <c r="AL666" s="77"/>
      <c r="AM666" s="77"/>
      <c r="AN666" s="77"/>
      <c r="AO666" s="77"/>
      <c r="AP666" s="77"/>
      <c r="AQ666" s="77"/>
      <c r="AR666" s="77"/>
      <c r="AS666" s="77"/>
      <c r="AT666" s="77"/>
      <c r="AU666" s="77"/>
      <c r="AV666" s="80" t="str">
        <f>HYPERLINK("https://pbs.twimg.com/profile_images/479648312442642432/F-d7VOXN_normal.jpeg")</f>
        <v>https://pbs.twimg.com/profile_images/479648312442642432/F-d7VOXN_normal.jpeg</v>
      </c>
      <c r="AW666" s="81" t="s">
        <v>5014</v>
      </c>
      <c r="AX666" s="81" t="s">
        <v>5014</v>
      </c>
      <c r="AY666" s="77"/>
      <c r="AZ666" s="81" t="s">
        <v>5773</v>
      </c>
      <c r="BA666" s="81" t="s">
        <v>5773</v>
      </c>
      <c r="BB666" s="81" t="s">
        <v>5773</v>
      </c>
      <c r="BC666" s="81" t="s">
        <v>5014</v>
      </c>
      <c r="BD666" s="77">
        <v>2577037710</v>
      </c>
      <c r="BE666" s="77"/>
      <c r="BF666" s="77"/>
      <c r="BG666" s="77"/>
      <c r="BH666" s="77"/>
      <c r="BI666" s="77"/>
    </row>
    <row r="667" spans="1:61" ht="15">
      <c r="A667" s="62" t="s">
        <v>398</v>
      </c>
      <c r="B667" s="62" t="s">
        <v>398</v>
      </c>
      <c r="C667" s="63"/>
      <c r="D667" s="64"/>
      <c r="E667" s="65"/>
      <c r="F667" s="66"/>
      <c r="G667" s="63"/>
      <c r="H667" s="67"/>
      <c r="I667" s="68"/>
      <c r="J667" s="68"/>
      <c r="K667" s="32" t="s">
        <v>65</v>
      </c>
      <c r="L667" s="75">
        <v>667</v>
      </c>
      <c r="M667" s="75"/>
      <c r="N667" s="70"/>
      <c r="O667" s="77" t="s">
        <v>179</v>
      </c>
      <c r="P667" s="79">
        <v>42788.66684027778</v>
      </c>
      <c r="Q667" s="77" t="s">
        <v>1079</v>
      </c>
      <c r="R667" s="77">
        <v>0</v>
      </c>
      <c r="S667" s="77">
        <v>0</v>
      </c>
      <c r="T667" s="77">
        <v>0</v>
      </c>
      <c r="U667" s="77">
        <v>0</v>
      </c>
      <c r="V667" s="77"/>
      <c r="W667" s="77"/>
      <c r="X667" s="80" t="str">
        <f>HYPERLINK("https://goo.gl/fb/neDsXP")</f>
        <v>https://goo.gl/fb/neDsXP</v>
      </c>
      <c r="Y667" s="77" t="s">
        <v>1975</v>
      </c>
      <c r="Z667" s="77"/>
      <c r="AA667" s="77"/>
      <c r="AB667" s="77"/>
      <c r="AC667" s="81" t="s">
        <v>2702</v>
      </c>
      <c r="AD667" s="77" t="s">
        <v>2751</v>
      </c>
      <c r="AE667" s="80" t="str">
        <f>HYPERLINK("https://twitter.com/tgjobalert/status/834432624135389184")</f>
        <v>https://twitter.com/tgjobalert/status/834432624135389184</v>
      </c>
      <c r="AF667" s="79">
        <v>42788.66684027778</v>
      </c>
      <c r="AG667" s="85">
        <v>42788</v>
      </c>
      <c r="AH667" s="81" t="s">
        <v>3269</v>
      </c>
      <c r="AI667" s="77" t="b">
        <v>0</v>
      </c>
      <c r="AJ667" s="77"/>
      <c r="AK667" s="77"/>
      <c r="AL667" s="77"/>
      <c r="AM667" s="77"/>
      <c r="AN667" s="77"/>
      <c r="AO667" s="77"/>
      <c r="AP667" s="77"/>
      <c r="AQ667" s="77"/>
      <c r="AR667" s="77"/>
      <c r="AS667" s="77"/>
      <c r="AT667" s="77"/>
      <c r="AU667" s="77"/>
      <c r="AV667" s="80" t="str">
        <f>HYPERLINK("https://pbs.twimg.com/profile_images/479648312442642432/F-d7VOXN_normal.jpeg")</f>
        <v>https://pbs.twimg.com/profile_images/479648312442642432/F-d7VOXN_normal.jpeg</v>
      </c>
      <c r="AW667" s="81" t="s">
        <v>5015</v>
      </c>
      <c r="AX667" s="81" t="s">
        <v>5015</v>
      </c>
      <c r="AY667" s="77"/>
      <c r="AZ667" s="81" t="s">
        <v>5773</v>
      </c>
      <c r="BA667" s="81" t="s">
        <v>5773</v>
      </c>
      <c r="BB667" s="81" t="s">
        <v>5773</v>
      </c>
      <c r="BC667" s="81" t="s">
        <v>5015</v>
      </c>
      <c r="BD667" s="77">
        <v>2577037710</v>
      </c>
      <c r="BE667" s="77"/>
      <c r="BF667" s="77"/>
      <c r="BG667" s="77"/>
      <c r="BH667" s="77"/>
      <c r="BI667" s="77"/>
    </row>
    <row r="668" spans="1:61" ht="15">
      <c r="A668" s="62" t="s">
        <v>399</v>
      </c>
      <c r="B668" s="62" t="s">
        <v>399</v>
      </c>
      <c r="C668" s="63"/>
      <c r="D668" s="64"/>
      <c r="E668" s="65"/>
      <c r="F668" s="66"/>
      <c r="G668" s="63"/>
      <c r="H668" s="67"/>
      <c r="I668" s="68"/>
      <c r="J668" s="68"/>
      <c r="K668" s="32" t="s">
        <v>65</v>
      </c>
      <c r="L668" s="75">
        <v>668</v>
      </c>
      <c r="M668" s="75"/>
      <c r="N668" s="70"/>
      <c r="O668" s="77" t="s">
        <v>179</v>
      </c>
      <c r="P668" s="79">
        <v>40686.61821759259</v>
      </c>
      <c r="Q668" s="77" t="s">
        <v>1080</v>
      </c>
      <c r="R668" s="77">
        <v>0</v>
      </c>
      <c r="S668" s="77">
        <v>0</v>
      </c>
      <c r="T668" s="77">
        <v>0</v>
      </c>
      <c r="U668" s="77">
        <v>0</v>
      </c>
      <c r="V668" s="77"/>
      <c r="W668" s="81" t="s">
        <v>1862</v>
      </c>
      <c r="X668" s="77"/>
      <c r="Y668" s="77"/>
      <c r="Z668" s="77"/>
      <c r="AA668" s="77"/>
      <c r="AB668" s="77"/>
      <c r="AC668" s="81" t="s">
        <v>2743</v>
      </c>
      <c r="AD668" s="77" t="s">
        <v>2751</v>
      </c>
      <c r="AE668" s="80" t="str">
        <f>HYPERLINK("https://twitter.com/jobs_board/status/72675710342406144")</f>
        <v>https://twitter.com/jobs_board/status/72675710342406144</v>
      </c>
      <c r="AF668" s="79">
        <v>40686.61821759259</v>
      </c>
      <c r="AG668" s="85">
        <v>40686</v>
      </c>
      <c r="AH668" s="81" t="s">
        <v>3270</v>
      </c>
      <c r="AI668" s="77"/>
      <c r="AJ668" s="77"/>
      <c r="AK668" s="77"/>
      <c r="AL668" s="77"/>
      <c r="AM668" s="77"/>
      <c r="AN668" s="77"/>
      <c r="AO668" s="77"/>
      <c r="AP668" s="77"/>
      <c r="AQ668" s="77"/>
      <c r="AR668" s="77"/>
      <c r="AS668" s="77"/>
      <c r="AT668" s="77"/>
      <c r="AU668" s="77"/>
      <c r="AV668" s="80" t="str">
        <f>HYPERLINK("https://pbs.twimg.com/profile_images/3035297399/09bc9094a48742cce5a6d1dae54bf77c_normal.png")</f>
        <v>https://pbs.twimg.com/profile_images/3035297399/09bc9094a48742cce5a6d1dae54bf77c_normal.png</v>
      </c>
      <c r="AW668" s="81" t="s">
        <v>5016</v>
      </c>
      <c r="AX668" s="81" t="s">
        <v>5016</v>
      </c>
      <c r="AY668" s="77"/>
      <c r="AZ668" s="81" t="s">
        <v>5773</v>
      </c>
      <c r="BA668" s="81" t="s">
        <v>5773</v>
      </c>
      <c r="BB668" s="81" t="s">
        <v>5773</v>
      </c>
      <c r="BC668" s="81" t="s">
        <v>5016</v>
      </c>
      <c r="BD668" s="77">
        <v>23128010</v>
      </c>
      <c r="BE668" s="77"/>
      <c r="BF668" s="77"/>
      <c r="BG668" s="77"/>
      <c r="BH668" s="77"/>
      <c r="BI668" s="77"/>
    </row>
    <row r="669" spans="1:61" ht="15">
      <c r="A669" s="62" t="s">
        <v>400</v>
      </c>
      <c r="B669" s="62" t="s">
        <v>566</v>
      </c>
      <c r="C669" s="63"/>
      <c r="D669" s="64"/>
      <c r="E669" s="65"/>
      <c r="F669" s="66"/>
      <c r="G669" s="63"/>
      <c r="H669" s="67"/>
      <c r="I669" s="68"/>
      <c r="J669" s="68"/>
      <c r="K669" s="32" t="s">
        <v>65</v>
      </c>
      <c r="L669" s="75">
        <v>669</v>
      </c>
      <c r="M669" s="75"/>
      <c r="N669" s="70"/>
      <c r="O669" s="77" t="s">
        <v>571</v>
      </c>
      <c r="P669" s="79">
        <v>42898.53925925926</v>
      </c>
      <c r="Q669" s="77" t="s">
        <v>1081</v>
      </c>
      <c r="R669" s="77">
        <v>0</v>
      </c>
      <c r="S669" s="77">
        <v>0</v>
      </c>
      <c r="T669" s="77">
        <v>0</v>
      </c>
      <c r="U669" s="77">
        <v>0</v>
      </c>
      <c r="V669" s="77"/>
      <c r="W669" s="77"/>
      <c r="X669" s="80" t="str">
        <f>HYPERLINK("https://commun.it/thank-you/?aid=thankyou134")</f>
        <v>https://commun.it/thank-you/?aid=thankyou134</v>
      </c>
      <c r="Y669" s="77" t="s">
        <v>2040</v>
      </c>
      <c r="Z669" s="77" t="s">
        <v>2099</v>
      </c>
      <c r="AA669" s="77"/>
      <c r="AB669" s="77"/>
      <c r="AC669" s="81" t="s">
        <v>2703</v>
      </c>
      <c r="AD669" s="77" t="s">
        <v>2751</v>
      </c>
      <c r="AE669" s="80" t="str">
        <f>HYPERLINK("https://twitter.com/gvalan/status/874249058516434944")</f>
        <v>https://twitter.com/gvalan/status/874249058516434944</v>
      </c>
      <c r="AF669" s="79">
        <v>42898.53925925926</v>
      </c>
      <c r="AG669" s="85">
        <v>42898</v>
      </c>
      <c r="AH669" s="81" t="s">
        <v>3271</v>
      </c>
      <c r="AI669" s="77" t="b">
        <v>0</v>
      </c>
      <c r="AJ669" s="77"/>
      <c r="AK669" s="77"/>
      <c r="AL669" s="77"/>
      <c r="AM669" s="77"/>
      <c r="AN669" s="77"/>
      <c r="AO669" s="77"/>
      <c r="AP669" s="77"/>
      <c r="AQ669" s="77"/>
      <c r="AR669" s="77"/>
      <c r="AS669" s="77"/>
      <c r="AT669" s="77"/>
      <c r="AU669" s="77"/>
      <c r="AV669" s="80" t="str">
        <f>HYPERLINK("https://pbs.twimg.com/profile_images/1430661185435754496/Tq0Bqq2u_normal.jpg")</f>
        <v>https://pbs.twimg.com/profile_images/1430661185435754496/Tq0Bqq2u_normal.jpg</v>
      </c>
      <c r="AW669" s="81" t="s">
        <v>5017</v>
      </c>
      <c r="AX669" s="81" t="s">
        <v>5017</v>
      </c>
      <c r="AY669" s="77"/>
      <c r="AZ669" s="81" t="s">
        <v>5773</v>
      </c>
      <c r="BA669" s="81" t="s">
        <v>5773</v>
      </c>
      <c r="BB669" s="81" t="s">
        <v>5773</v>
      </c>
      <c r="BC669" s="81" t="s">
        <v>5017</v>
      </c>
      <c r="BD669" s="77">
        <v>115991458</v>
      </c>
      <c r="BE669" s="77"/>
      <c r="BF669" s="77"/>
      <c r="BG669" s="77"/>
      <c r="BH669" s="77"/>
      <c r="BI669" s="77"/>
    </row>
    <row r="670" spans="1:61" ht="15">
      <c r="A670" s="62" t="s">
        <v>400</v>
      </c>
      <c r="B670" s="62" t="s">
        <v>299</v>
      </c>
      <c r="C670" s="63"/>
      <c r="D670" s="64"/>
      <c r="E670" s="65"/>
      <c r="F670" s="66"/>
      <c r="G670" s="63"/>
      <c r="H670" s="67"/>
      <c r="I670" s="68"/>
      <c r="J670" s="68"/>
      <c r="K670" s="32" t="s">
        <v>65</v>
      </c>
      <c r="L670" s="75">
        <v>670</v>
      </c>
      <c r="M670" s="75"/>
      <c r="N670" s="70"/>
      <c r="O670" s="77" t="s">
        <v>571</v>
      </c>
      <c r="P670" s="79">
        <v>42898.53925925926</v>
      </c>
      <c r="Q670" s="77" t="s">
        <v>1081</v>
      </c>
      <c r="R670" s="77">
        <v>0</v>
      </c>
      <c r="S670" s="77">
        <v>0</v>
      </c>
      <c r="T670" s="77">
        <v>0</v>
      </c>
      <c r="U670" s="77">
        <v>0</v>
      </c>
      <c r="V670" s="77"/>
      <c r="W670" s="77"/>
      <c r="X670" s="80" t="str">
        <f>HYPERLINK("https://commun.it/thank-you/?aid=thankyou134")</f>
        <v>https://commun.it/thank-you/?aid=thankyou134</v>
      </c>
      <c r="Y670" s="77" t="s">
        <v>2040</v>
      </c>
      <c r="Z670" s="77" t="s">
        <v>2099</v>
      </c>
      <c r="AA670" s="77"/>
      <c r="AB670" s="77"/>
      <c r="AC670" s="81" t="s">
        <v>2703</v>
      </c>
      <c r="AD670" s="77" t="s">
        <v>2751</v>
      </c>
      <c r="AE670" s="80" t="str">
        <f>HYPERLINK("https://twitter.com/gvalan/status/874249058516434944")</f>
        <v>https://twitter.com/gvalan/status/874249058516434944</v>
      </c>
      <c r="AF670" s="79">
        <v>42898.53925925926</v>
      </c>
      <c r="AG670" s="85">
        <v>42898</v>
      </c>
      <c r="AH670" s="81" t="s">
        <v>3271</v>
      </c>
      <c r="AI670" s="77" t="b">
        <v>0</v>
      </c>
      <c r="AJ670" s="77"/>
      <c r="AK670" s="77"/>
      <c r="AL670" s="77"/>
      <c r="AM670" s="77"/>
      <c r="AN670" s="77"/>
      <c r="AO670" s="77"/>
      <c r="AP670" s="77"/>
      <c r="AQ670" s="77"/>
      <c r="AR670" s="77"/>
      <c r="AS670" s="77"/>
      <c r="AT670" s="77"/>
      <c r="AU670" s="77"/>
      <c r="AV670" s="80" t="str">
        <f>HYPERLINK("https://pbs.twimg.com/profile_images/1430661185435754496/Tq0Bqq2u_normal.jpg")</f>
        <v>https://pbs.twimg.com/profile_images/1430661185435754496/Tq0Bqq2u_normal.jpg</v>
      </c>
      <c r="AW670" s="81" t="s">
        <v>5017</v>
      </c>
      <c r="AX670" s="81" t="s">
        <v>5017</v>
      </c>
      <c r="AY670" s="77"/>
      <c r="AZ670" s="81" t="s">
        <v>5773</v>
      </c>
      <c r="BA670" s="81" t="s">
        <v>5773</v>
      </c>
      <c r="BB670" s="81" t="s">
        <v>5773</v>
      </c>
      <c r="BC670" s="81" t="s">
        <v>5017</v>
      </c>
      <c r="BD670" s="77">
        <v>115991458</v>
      </c>
      <c r="BE670" s="77"/>
      <c r="BF670" s="77"/>
      <c r="BG670" s="77"/>
      <c r="BH670" s="77"/>
      <c r="BI670" s="77"/>
    </row>
    <row r="671" spans="1:61" ht="15">
      <c r="A671" s="62" t="s">
        <v>401</v>
      </c>
      <c r="B671" s="62" t="s">
        <v>401</v>
      </c>
      <c r="C671" s="63"/>
      <c r="D671" s="64"/>
      <c r="E671" s="65"/>
      <c r="F671" s="66"/>
      <c r="G671" s="63"/>
      <c r="H671" s="67"/>
      <c r="I671" s="68"/>
      <c r="J671" s="68"/>
      <c r="K671" s="32" t="s">
        <v>65</v>
      </c>
      <c r="L671" s="75">
        <v>671</v>
      </c>
      <c r="M671" s="75"/>
      <c r="N671" s="70"/>
      <c r="O671" s="77" t="s">
        <v>179</v>
      </c>
      <c r="P671" s="79">
        <v>43775.3602662037</v>
      </c>
      <c r="Q671" s="77" t="s">
        <v>1082</v>
      </c>
      <c r="R671" s="77">
        <v>0</v>
      </c>
      <c r="S671" s="77">
        <v>0</v>
      </c>
      <c r="T671" s="77">
        <v>0</v>
      </c>
      <c r="U671" s="77">
        <v>0</v>
      </c>
      <c r="V671" s="77"/>
      <c r="W671" s="81" t="s">
        <v>1863</v>
      </c>
      <c r="X671" s="80" t="str">
        <f>HYPERLINK("http://bit.ly/35DOSzX")</f>
        <v>http://bit.ly/35DOSzX</v>
      </c>
      <c r="Y671" s="77" t="s">
        <v>1984</v>
      </c>
      <c r="Z671" s="77"/>
      <c r="AA671" s="77"/>
      <c r="AB671" s="77"/>
      <c r="AC671" s="81" t="s">
        <v>2707</v>
      </c>
      <c r="AD671" s="77" t="s">
        <v>2751</v>
      </c>
      <c r="AE671" s="80" t="str">
        <f>HYPERLINK("https://twitter.com/inovies1/status/1191998348854620161")</f>
        <v>https://twitter.com/inovies1/status/1191998348854620161</v>
      </c>
      <c r="AF671" s="79">
        <v>43775.3602662037</v>
      </c>
      <c r="AG671" s="85">
        <v>43775</v>
      </c>
      <c r="AH671" s="81" t="s">
        <v>3272</v>
      </c>
      <c r="AI671" s="77" t="b">
        <v>0</v>
      </c>
      <c r="AJ671" s="77"/>
      <c r="AK671" s="77"/>
      <c r="AL671" s="77"/>
      <c r="AM671" s="77"/>
      <c r="AN671" s="77"/>
      <c r="AO671" s="77"/>
      <c r="AP671" s="77"/>
      <c r="AQ671" s="77"/>
      <c r="AR671" s="77"/>
      <c r="AS671" s="77"/>
      <c r="AT671" s="77"/>
      <c r="AU671" s="77"/>
      <c r="AV671" s="80" t="str">
        <f>HYPERLINK("https://abs.twimg.com/sticky/default_profile_images/default_profile_normal.png")</f>
        <v>https://abs.twimg.com/sticky/default_profile_images/default_profile_normal.png</v>
      </c>
      <c r="AW671" s="81" t="s">
        <v>5018</v>
      </c>
      <c r="AX671" s="81" t="s">
        <v>5018</v>
      </c>
      <c r="AY671" s="77"/>
      <c r="AZ671" s="81" t="s">
        <v>5773</v>
      </c>
      <c r="BA671" s="81" t="s">
        <v>5773</v>
      </c>
      <c r="BB671" s="81" t="s">
        <v>5773</v>
      </c>
      <c r="BC671" s="81" t="s">
        <v>5018</v>
      </c>
      <c r="BD671" s="81" t="s">
        <v>5826</v>
      </c>
      <c r="BE671" s="77"/>
      <c r="BF671" s="77"/>
      <c r="BG671" s="77"/>
      <c r="BH671" s="77"/>
      <c r="BI671" s="77"/>
    </row>
    <row r="672" spans="1:61" ht="15">
      <c r="A672" s="62" t="s">
        <v>401</v>
      </c>
      <c r="B672" s="62" t="s">
        <v>401</v>
      </c>
      <c r="C672" s="63"/>
      <c r="D672" s="64"/>
      <c r="E672" s="65"/>
      <c r="F672" s="66"/>
      <c r="G672" s="63"/>
      <c r="H672" s="67"/>
      <c r="I672" s="68"/>
      <c r="J672" s="68"/>
      <c r="K672" s="32" t="s">
        <v>65</v>
      </c>
      <c r="L672" s="75">
        <v>672</v>
      </c>
      <c r="M672" s="75"/>
      <c r="N672" s="70"/>
      <c r="O672" s="77" t="s">
        <v>179</v>
      </c>
      <c r="P672" s="79">
        <v>43773.50884259259</v>
      </c>
      <c r="Q672" s="77" t="s">
        <v>1083</v>
      </c>
      <c r="R672" s="77">
        <v>0</v>
      </c>
      <c r="S672" s="77">
        <v>0</v>
      </c>
      <c r="T672" s="77">
        <v>0</v>
      </c>
      <c r="U672" s="77">
        <v>0</v>
      </c>
      <c r="V672" s="77"/>
      <c r="W672" s="81" t="s">
        <v>1864</v>
      </c>
      <c r="X672" s="80" t="str">
        <f>HYPERLINK("http://bit.ly/35DOSzX")</f>
        <v>http://bit.ly/35DOSzX</v>
      </c>
      <c r="Y672" s="77" t="s">
        <v>1984</v>
      </c>
      <c r="Z672" s="77"/>
      <c r="AA672" s="77" t="s">
        <v>2309</v>
      </c>
      <c r="AB672" s="77" t="s">
        <v>2696</v>
      </c>
      <c r="AC672" s="81" t="s">
        <v>2707</v>
      </c>
      <c r="AD672" s="77" t="s">
        <v>2751</v>
      </c>
      <c r="AE672" s="80" t="str">
        <f>HYPERLINK("https://twitter.com/inovies1/status/1191327414720139264")</f>
        <v>https://twitter.com/inovies1/status/1191327414720139264</v>
      </c>
      <c r="AF672" s="79">
        <v>43773.50884259259</v>
      </c>
      <c r="AG672" s="85">
        <v>43773</v>
      </c>
      <c r="AH672" s="81" t="s">
        <v>3273</v>
      </c>
      <c r="AI672" s="77" t="b">
        <v>0</v>
      </c>
      <c r="AJ672" s="77"/>
      <c r="AK672" s="77"/>
      <c r="AL672" s="77"/>
      <c r="AM672" s="77"/>
      <c r="AN672" s="77"/>
      <c r="AO672" s="77"/>
      <c r="AP672" s="77"/>
      <c r="AQ672" s="77" t="s">
        <v>4123</v>
      </c>
      <c r="AR672" s="77"/>
      <c r="AS672" s="77"/>
      <c r="AT672" s="77"/>
      <c r="AU672" s="77"/>
      <c r="AV672" s="80" t="str">
        <f>HYPERLINK("https://pbs.twimg.com/media/EIhx9yLU4AAGXQ6.jpg")</f>
        <v>https://pbs.twimg.com/media/EIhx9yLU4AAGXQ6.jpg</v>
      </c>
      <c r="AW672" s="81" t="s">
        <v>5019</v>
      </c>
      <c r="AX672" s="81" t="s">
        <v>5019</v>
      </c>
      <c r="AY672" s="77"/>
      <c r="AZ672" s="81" t="s">
        <v>5773</v>
      </c>
      <c r="BA672" s="81" t="s">
        <v>5773</v>
      </c>
      <c r="BB672" s="81" t="s">
        <v>5773</v>
      </c>
      <c r="BC672" s="81" t="s">
        <v>5019</v>
      </c>
      <c r="BD672" s="81" t="s">
        <v>5826</v>
      </c>
      <c r="BE672" s="77"/>
      <c r="BF672" s="77"/>
      <c r="BG672" s="77"/>
      <c r="BH672" s="77"/>
      <c r="BI672" s="77"/>
    </row>
    <row r="673" spans="1:61" ht="15">
      <c r="A673" s="62" t="s">
        <v>402</v>
      </c>
      <c r="B673" s="62" t="s">
        <v>402</v>
      </c>
      <c r="C673" s="63"/>
      <c r="D673" s="64"/>
      <c r="E673" s="65"/>
      <c r="F673" s="66"/>
      <c r="G673" s="63"/>
      <c r="H673" s="67"/>
      <c r="I673" s="68"/>
      <c r="J673" s="68"/>
      <c r="K673" s="32" t="s">
        <v>65</v>
      </c>
      <c r="L673" s="75">
        <v>673</v>
      </c>
      <c r="M673" s="75"/>
      <c r="N673" s="70"/>
      <c r="O673" s="77" t="s">
        <v>179</v>
      </c>
      <c r="P673" s="79">
        <v>45277.92652777778</v>
      </c>
      <c r="Q673" s="77" t="s">
        <v>1084</v>
      </c>
      <c r="R673" s="77">
        <v>49</v>
      </c>
      <c r="S673" s="77">
        <v>148</v>
      </c>
      <c r="T673" s="77">
        <v>24</v>
      </c>
      <c r="U673" s="77">
        <v>28</v>
      </c>
      <c r="V673" s="77">
        <v>36245</v>
      </c>
      <c r="W673" s="81" t="s">
        <v>1865</v>
      </c>
      <c r="X673" s="77"/>
      <c r="Y673" s="77"/>
      <c r="Z673" s="77"/>
      <c r="AA673" s="77" t="s">
        <v>2310</v>
      </c>
      <c r="AB673" s="77" t="s">
        <v>2699</v>
      </c>
      <c r="AC673" s="81" t="s">
        <v>2704</v>
      </c>
      <c r="AD673" s="77" t="s">
        <v>2758</v>
      </c>
      <c r="AE673" s="80" t="str">
        <f>HYPERLINK("https://twitter.com/its_me_mahii/status/1736510131028783379")</f>
        <v>https://twitter.com/its_me_mahii/status/1736510131028783379</v>
      </c>
      <c r="AF673" s="79">
        <v>45277.92652777778</v>
      </c>
      <c r="AG673" s="85">
        <v>45277</v>
      </c>
      <c r="AH673" s="81" t="s">
        <v>3274</v>
      </c>
      <c r="AI673" s="77" t="b">
        <v>0</v>
      </c>
      <c r="AJ673" s="77"/>
      <c r="AK673" s="77"/>
      <c r="AL673" s="77"/>
      <c r="AM673" s="77"/>
      <c r="AN673" s="77"/>
      <c r="AO673" s="77"/>
      <c r="AP673" s="77"/>
      <c r="AQ673" s="77" t="s">
        <v>4124</v>
      </c>
      <c r="AR673" s="77" t="s">
        <v>4508</v>
      </c>
      <c r="AS673" s="77"/>
      <c r="AT673" s="77"/>
      <c r="AU673" s="77"/>
      <c r="AV673" s="80" t="str">
        <f>HYPERLINK("https://pbs.twimg.com/ext_tw_video_thumb/1736510103035969536/pu/img/MZIVwLODI9q0wAJK.jpg")</f>
        <v>https://pbs.twimg.com/ext_tw_video_thumb/1736510103035969536/pu/img/MZIVwLODI9q0wAJK.jpg</v>
      </c>
      <c r="AW673" s="81" t="s">
        <v>5020</v>
      </c>
      <c r="AX673" s="81" t="s">
        <v>5020</v>
      </c>
      <c r="AY673" s="77"/>
      <c r="AZ673" s="81" t="s">
        <v>5773</v>
      </c>
      <c r="BA673" s="81" t="s">
        <v>5773</v>
      </c>
      <c r="BB673" s="81" t="s">
        <v>5773</v>
      </c>
      <c r="BC673" s="81" t="s">
        <v>5020</v>
      </c>
      <c r="BD673" s="81" t="s">
        <v>5827</v>
      </c>
      <c r="BE673" s="77"/>
      <c r="BF673" s="77"/>
      <c r="BG673" s="77"/>
      <c r="BH673" s="77"/>
      <c r="BI673" s="77"/>
    </row>
    <row r="674" spans="1:61" ht="15">
      <c r="A674" s="62" t="s">
        <v>403</v>
      </c>
      <c r="B674" s="62" t="s">
        <v>403</v>
      </c>
      <c r="C674" s="63"/>
      <c r="D674" s="64"/>
      <c r="E674" s="65"/>
      <c r="F674" s="66"/>
      <c r="G674" s="63"/>
      <c r="H674" s="67"/>
      <c r="I674" s="68"/>
      <c r="J674" s="68"/>
      <c r="K674" s="32" t="s">
        <v>65</v>
      </c>
      <c r="L674" s="75">
        <v>674</v>
      </c>
      <c r="M674" s="75"/>
      <c r="N674" s="70"/>
      <c r="O674" s="77" t="s">
        <v>179</v>
      </c>
      <c r="P674" s="79">
        <v>44079.802939814814</v>
      </c>
      <c r="Q674" s="77" t="s">
        <v>1085</v>
      </c>
      <c r="R674" s="77">
        <v>0</v>
      </c>
      <c r="S674" s="77">
        <v>0</v>
      </c>
      <c r="T674" s="77">
        <v>1</v>
      </c>
      <c r="U674" s="77">
        <v>0</v>
      </c>
      <c r="V674" s="77"/>
      <c r="W674" s="77"/>
      <c r="X674" s="77"/>
      <c r="Y674" s="77"/>
      <c r="Z674" s="77"/>
      <c r="AA674" s="77"/>
      <c r="AB674" s="77"/>
      <c r="AC674" s="81" t="s">
        <v>2701</v>
      </c>
      <c r="AD674" s="77" t="s">
        <v>2751</v>
      </c>
      <c r="AE674" s="80" t="str">
        <f>HYPERLINK("https://twitter.com/oncemanu/status/1302324680926416897")</f>
        <v>https://twitter.com/oncemanu/status/1302324680926416897</v>
      </c>
      <c r="AF674" s="79">
        <v>44079.802939814814</v>
      </c>
      <c r="AG674" s="85">
        <v>44079</v>
      </c>
      <c r="AH674" s="81" t="s">
        <v>3275</v>
      </c>
      <c r="AI674" s="77"/>
      <c r="AJ674" s="77"/>
      <c r="AK674" s="77"/>
      <c r="AL674" s="77"/>
      <c r="AM674" s="77"/>
      <c r="AN674" s="77"/>
      <c r="AO674" s="77"/>
      <c r="AP674" s="77"/>
      <c r="AQ674" s="77"/>
      <c r="AR674" s="77"/>
      <c r="AS674" s="77"/>
      <c r="AT674" s="77"/>
      <c r="AU674" s="77"/>
      <c r="AV674" s="80" t="str">
        <f>HYPERLINK("https://pbs.twimg.com/profile_images/1402231080317505537/XzRmMhMg_normal.jpg")</f>
        <v>https://pbs.twimg.com/profile_images/1402231080317505537/XzRmMhMg_normal.jpg</v>
      </c>
      <c r="AW674" s="81" t="s">
        <v>5021</v>
      </c>
      <c r="AX674" s="81" t="s">
        <v>5716</v>
      </c>
      <c r="AY674" s="77"/>
      <c r="AZ674" s="81" t="s">
        <v>5773</v>
      </c>
      <c r="BA674" s="81" t="s">
        <v>5773</v>
      </c>
      <c r="BB674" s="81" t="s">
        <v>5773</v>
      </c>
      <c r="BC674" s="81" t="s">
        <v>5021</v>
      </c>
      <c r="BD674" s="77">
        <v>2970126215</v>
      </c>
      <c r="BE674" s="77"/>
      <c r="BF674" s="77"/>
      <c r="BG674" s="77"/>
      <c r="BH674" s="77"/>
      <c r="BI674" s="77"/>
    </row>
    <row r="675" spans="1:61" ht="15">
      <c r="A675" s="62" t="s">
        <v>404</v>
      </c>
      <c r="B675" s="62" t="s">
        <v>567</v>
      </c>
      <c r="C675" s="63"/>
      <c r="D675" s="64"/>
      <c r="E675" s="65"/>
      <c r="F675" s="66"/>
      <c r="G675" s="63"/>
      <c r="H675" s="67"/>
      <c r="I675" s="68"/>
      <c r="J675" s="68"/>
      <c r="K675" s="32" t="s">
        <v>65</v>
      </c>
      <c r="L675" s="75">
        <v>675</v>
      </c>
      <c r="M675" s="75"/>
      <c r="N675" s="70"/>
      <c r="O675" s="77" t="s">
        <v>571</v>
      </c>
      <c r="P675" s="79">
        <v>41241.457291666666</v>
      </c>
      <c r="Q675" s="77" t="s">
        <v>1086</v>
      </c>
      <c r="R675" s="77">
        <v>0</v>
      </c>
      <c r="S675" s="77">
        <v>0</v>
      </c>
      <c r="T675" s="77">
        <v>0</v>
      </c>
      <c r="U675" s="77">
        <v>0</v>
      </c>
      <c r="V675" s="77"/>
      <c r="W675" s="81" t="s">
        <v>1866</v>
      </c>
      <c r="X675" s="80" t="str">
        <f>HYPERLINK("http://bitly.com/QsHZJ1")</f>
        <v>http://bitly.com/QsHZJ1</v>
      </c>
      <c r="Y675" s="77" t="s">
        <v>1985</v>
      </c>
      <c r="Z675" s="77" t="s">
        <v>2100</v>
      </c>
      <c r="AA675" s="77"/>
      <c r="AB675" s="77"/>
      <c r="AC675" s="81" t="s">
        <v>2705</v>
      </c>
      <c r="AD675" s="77" t="s">
        <v>2751</v>
      </c>
      <c r="AE675" s="80" t="str">
        <f>HYPERLINK("https://twitter.com/defindia/status/273742657543606272")</f>
        <v>https://twitter.com/defindia/status/273742657543606272</v>
      </c>
      <c r="AF675" s="79">
        <v>41241.457291666666</v>
      </c>
      <c r="AG675" s="85">
        <v>41241</v>
      </c>
      <c r="AH675" s="81" t="s">
        <v>3276</v>
      </c>
      <c r="AI675" s="77" t="b">
        <v>0</v>
      </c>
      <c r="AJ675" s="77"/>
      <c r="AK675" s="77"/>
      <c r="AL675" s="77"/>
      <c r="AM675" s="77"/>
      <c r="AN675" s="77"/>
      <c r="AO675" s="77"/>
      <c r="AP675" s="77"/>
      <c r="AQ675" s="77"/>
      <c r="AR675" s="77"/>
      <c r="AS675" s="77"/>
      <c r="AT675" s="77"/>
      <c r="AU675" s="77"/>
      <c r="AV675" s="80" t="str">
        <f>HYPERLINK("https://pbs.twimg.com/profile_images/889352010339713028/-jdopwhx_normal.jpg")</f>
        <v>https://pbs.twimg.com/profile_images/889352010339713028/-jdopwhx_normal.jpg</v>
      </c>
      <c r="AW675" s="81" t="s">
        <v>5022</v>
      </c>
      <c r="AX675" s="81" t="s">
        <v>5022</v>
      </c>
      <c r="AY675" s="81" t="s">
        <v>5721</v>
      </c>
      <c r="AZ675" s="81" t="s">
        <v>5773</v>
      </c>
      <c r="BA675" s="81" t="s">
        <v>5773</v>
      </c>
      <c r="BB675" s="81" t="s">
        <v>5773</v>
      </c>
      <c r="BC675" s="81" t="s">
        <v>5022</v>
      </c>
      <c r="BD675" s="77">
        <v>123227807</v>
      </c>
      <c r="BE675" s="77"/>
      <c r="BF675" s="77"/>
      <c r="BG675" s="77"/>
      <c r="BH675" s="77"/>
      <c r="BI675" s="77"/>
    </row>
    <row r="676" spans="1:61" ht="15">
      <c r="A676" s="62" t="s">
        <v>404</v>
      </c>
      <c r="B676" s="62" t="s">
        <v>299</v>
      </c>
      <c r="C676" s="63"/>
      <c r="D676" s="64"/>
      <c r="E676" s="65"/>
      <c r="F676" s="66"/>
      <c r="G676" s="63"/>
      <c r="H676" s="67"/>
      <c r="I676" s="68"/>
      <c r="J676" s="68"/>
      <c r="K676" s="32" t="s">
        <v>65</v>
      </c>
      <c r="L676" s="75">
        <v>676</v>
      </c>
      <c r="M676" s="75"/>
      <c r="N676" s="70"/>
      <c r="O676" s="77" t="s">
        <v>571</v>
      </c>
      <c r="P676" s="79">
        <v>41241.457291666666</v>
      </c>
      <c r="Q676" s="77" t="s">
        <v>1086</v>
      </c>
      <c r="R676" s="77">
        <v>0</v>
      </c>
      <c r="S676" s="77">
        <v>0</v>
      </c>
      <c r="T676" s="77">
        <v>0</v>
      </c>
      <c r="U676" s="77">
        <v>0</v>
      </c>
      <c r="V676" s="77"/>
      <c r="W676" s="81" t="s">
        <v>1866</v>
      </c>
      <c r="X676" s="80" t="str">
        <f>HYPERLINK("http://bitly.com/QsHZJ1")</f>
        <v>http://bitly.com/QsHZJ1</v>
      </c>
      <c r="Y676" s="77" t="s">
        <v>1985</v>
      </c>
      <c r="Z676" s="77" t="s">
        <v>2100</v>
      </c>
      <c r="AA676" s="77"/>
      <c r="AB676" s="77"/>
      <c r="AC676" s="81" t="s">
        <v>2705</v>
      </c>
      <c r="AD676" s="77" t="s">
        <v>2751</v>
      </c>
      <c r="AE676" s="80" t="str">
        <f>HYPERLINK("https://twitter.com/defindia/status/273742657543606272")</f>
        <v>https://twitter.com/defindia/status/273742657543606272</v>
      </c>
      <c r="AF676" s="79">
        <v>41241.457291666666</v>
      </c>
      <c r="AG676" s="85">
        <v>41241</v>
      </c>
      <c r="AH676" s="81" t="s">
        <v>3276</v>
      </c>
      <c r="AI676" s="77" t="b">
        <v>0</v>
      </c>
      <c r="AJ676" s="77"/>
      <c r="AK676" s="77"/>
      <c r="AL676" s="77"/>
      <c r="AM676" s="77"/>
      <c r="AN676" s="77"/>
      <c r="AO676" s="77"/>
      <c r="AP676" s="77"/>
      <c r="AQ676" s="77"/>
      <c r="AR676" s="77"/>
      <c r="AS676" s="77"/>
      <c r="AT676" s="77"/>
      <c r="AU676" s="77"/>
      <c r="AV676" s="80" t="str">
        <f>HYPERLINK("https://pbs.twimg.com/profile_images/889352010339713028/-jdopwhx_normal.jpg")</f>
        <v>https://pbs.twimg.com/profile_images/889352010339713028/-jdopwhx_normal.jpg</v>
      </c>
      <c r="AW676" s="81" t="s">
        <v>5022</v>
      </c>
      <c r="AX676" s="81" t="s">
        <v>5022</v>
      </c>
      <c r="AY676" s="81" t="s">
        <v>5721</v>
      </c>
      <c r="AZ676" s="81" t="s">
        <v>5773</v>
      </c>
      <c r="BA676" s="81" t="s">
        <v>5773</v>
      </c>
      <c r="BB676" s="81" t="s">
        <v>5773</v>
      </c>
      <c r="BC676" s="81" t="s">
        <v>5022</v>
      </c>
      <c r="BD676" s="77">
        <v>123227807</v>
      </c>
      <c r="BE676" s="77"/>
      <c r="BF676" s="77"/>
      <c r="BG676" s="77"/>
      <c r="BH676" s="77"/>
      <c r="BI676" s="77"/>
    </row>
    <row r="677" spans="1:61" ht="15">
      <c r="A677" s="62" t="s">
        <v>405</v>
      </c>
      <c r="B677" s="62" t="s">
        <v>405</v>
      </c>
      <c r="C677" s="63"/>
      <c r="D677" s="64"/>
      <c r="E677" s="65"/>
      <c r="F677" s="66"/>
      <c r="G677" s="63"/>
      <c r="H677" s="67"/>
      <c r="I677" s="68"/>
      <c r="J677" s="68"/>
      <c r="K677" s="32" t="s">
        <v>65</v>
      </c>
      <c r="L677" s="75">
        <v>677</v>
      </c>
      <c r="M677" s="75"/>
      <c r="N677" s="70"/>
      <c r="O677" s="77" t="s">
        <v>179</v>
      </c>
      <c r="P677" s="79">
        <v>42956.337175925924</v>
      </c>
      <c r="Q677" s="77" t="s">
        <v>1087</v>
      </c>
      <c r="R677" s="77">
        <v>0</v>
      </c>
      <c r="S677" s="77">
        <v>0</v>
      </c>
      <c r="T677" s="77">
        <v>0</v>
      </c>
      <c r="U677" s="77">
        <v>0</v>
      </c>
      <c r="V677" s="77"/>
      <c r="W677" s="81" t="s">
        <v>1867</v>
      </c>
      <c r="X677" s="80" t="str">
        <f>HYPERLINK("http://ow.ly/TwQx30cJigK")</f>
        <v>http://ow.ly/TwQx30cJigK</v>
      </c>
      <c r="Y677" s="77" t="s">
        <v>2041</v>
      </c>
      <c r="Z677" s="77"/>
      <c r="AA677" s="77"/>
      <c r="AB677" s="77"/>
      <c r="AC677" s="81" t="s">
        <v>2710</v>
      </c>
      <c r="AD677" s="77" t="s">
        <v>2751</v>
      </c>
      <c r="AE677" s="80" t="str">
        <f>HYPERLINK("https://twitter.com/entwistletx/status/895194321502314496")</f>
        <v>https://twitter.com/entwistletx/status/895194321502314496</v>
      </c>
      <c r="AF677" s="79">
        <v>42956.337175925924</v>
      </c>
      <c r="AG677" s="85">
        <v>42956</v>
      </c>
      <c r="AH677" s="81" t="s">
        <v>3277</v>
      </c>
      <c r="AI677" s="77" t="b">
        <v>0</v>
      </c>
      <c r="AJ677" s="77"/>
      <c r="AK677" s="77"/>
      <c r="AL677" s="77"/>
      <c r="AM677" s="77"/>
      <c r="AN677" s="77"/>
      <c r="AO677" s="77"/>
      <c r="AP677" s="77"/>
      <c r="AQ677" s="77"/>
      <c r="AR677" s="77"/>
      <c r="AS677" s="77"/>
      <c r="AT677" s="77"/>
      <c r="AU677" s="77"/>
      <c r="AV677" s="80" t="str">
        <f>HYPERLINK("https://pbs.twimg.com/profile_images/976878554666471425/BJHFc8tF_normal.jpg")</f>
        <v>https://pbs.twimg.com/profile_images/976878554666471425/BJHFc8tF_normal.jpg</v>
      </c>
      <c r="AW677" s="81" t="s">
        <v>5023</v>
      </c>
      <c r="AX677" s="81" t="s">
        <v>5023</v>
      </c>
      <c r="AY677" s="77"/>
      <c r="AZ677" s="81" t="s">
        <v>5773</v>
      </c>
      <c r="BA677" s="81" t="s">
        <v>5773</v>
      </c>
      <c r="BB677" s="81" t="s">
        <v>5773</v>
      </c>
      <c r="BC677" s="81" t="s">
        <v>5023</v>
      </c>
      <c r="BD677" s="77">
        <v>15588825</v>
      </c>
      <c r="BE677" s="77"/>
      <c r="BF677" s="77"/>
      <c r="BG677" s="77"/>
      <c r="BH677" s="77"/>
      <c r="BI677" s="77"/>
    </row>
    <row r="678" spans="1:61" ht="15">
      <c r="A678" s="62" t="s">
        <v>406</v>
      </c>
      <c r="B678" s="62" t="s">
        <v>406</v>
      </c>
      <c r="C678" s="63"/>
      <c r="D678" s="64"/>
      <c r="E678" s="65"/>
      <c r="F678" s="66"/>
      <c r="G678" s="63"/>
      <c r="H678" s="67"/>
      <c r="I678" s="68"/>
      <c r="J678" s="68"/>
      <c r="K678" s="32" t="s">
        <v>65</v>
      </c>
      <c r="L678" s="75">
        <v>678</v>
      </c>
      <c r="M678" s="75"/>
      <c r="N678" s="70"/>
      <c r="O678" s="77" t="s">
        <v>179</v>
      </c>
      <c r="P678" s="79">
        <v>42909.41422453704</v>
      </c>
      <c r="Q678" s="77" t="s">
        <v>1088</v>
      </c>
      <c r="R678" s="77">
        <v>0</v>
      </c>
      <c r="S678" s="77">
        <v>1</v>
      </c>
      <c r="T678" s="77">
        <v>0</v>
      </c>
      <c r="U678" s="77">
        <v>0</v>
      </c>
      <c r="V678" s="77"/>
      <c r="W678" s="77"/>
      <c r="X678" s="80" t="str">
        <f>HYPERLINK("http://paper.li/AD360IE/1487249796?read=https%3A%2F%2Fwww.inovies.com%2Fdigital%2Dmarketing%2Fgrowth%2Dhacking")</f>
        <v>http://paper.li/AD360IE/1487249796?read=https%3A%2F%2Fwww.inovies.com%2Fdigital%2Dmarketing%2Fgrowth%2Dhacking</v>
      </c>
      <c r="Y678" s="77" t="s">
        <v>1978</v>
      </c>
      <c r="Z678" s="77"/>
      <c r="AA678" s="77"/>
      <c r="AB678" s="77"/>
      <c r="AC678" s="81" t="s">
        <v>2708</v>
      </c>
      <c r="AD678" s="77" t="s">
        <v>2751</v>
      </c>
      <c r="AE678" s="80" t="str">
        <f>HYPERLINK("https://twitter.com/360ie/status/878190012709441536")</f>
        <v>https://twitter.com/360ie/status/878190012709441536</v>
      </c>
      <c r="AF678" s="79">
        <v>42909.41422453704</v>
      </c>
      <c r="AG678" s="85">
        <v>42909</v>
      </c>
      <c r="AH678" s="81" t="s">
        <v>3278</v>
      </c>
      <c r="AI678" s="77" t="b">
        <v>0</v>
      </c>
      <c r="AJ678" s="77"/>
      <c r="AK678" s="77"/>
      <c r="AL678" s="77"/>
      <c r="AM678" s="77"/>
      <c r="AN678" s="77"/>
      <c r="AO678" s="77"/>
      <c r="AP678" s="77"/>
      <c r="AQ678" s="77"/>
      <c r="AR678" s="77"/>
      <c r="AS678" s="77"/>
      <c r="AT678" s="77"/>
      <c r="AU678" s="77"/>
      <c r="AV678" s="80" t="str">
        <f>HYPERLINK("https://pbs.twimg.com/profile_images/1326095627240034304/f6Bl2HxI_normal.jpg")</f>
        <v>https://pbs.twimg.com/profile_images/1326095627240034304/f6Bl2HxI_normal.jpg</v>
      </c>
      <c r="AW678" s="81" t="s">
        <v>5024</v>
      </c>
      <c r="AX678" s="81" t="s">
        <v>5024</v>
      </c>
      <c r="AY678" s="77"/>
      <c r="AZ678" s="81" t="s">
        <v>5773</v>
      </c>
      <c r="BA678" s="81" t="s">
        <v>5773</v>
      </c>
      <c r="BB678" s="81" t="s">
        <v>5773</v>
      </c>
      <c r="BC678" s="81" t="s">
        <v>5024</v>
      </c>
      <c r="BD678" s="81" t="s">
        <v>5828</v>
      </c>
      <c r="BE678" s="77"/>
      <c r="BF678" s="77"/>
      <c r="BG678" s="77"/>
      <c r="BH678" s="77"/>
      <c r="BI678" s="77"/>
    </row>
    <row r="679" spans="1:61" ht="15">
      <c r="A679" s="62" t="s">
        <v>407</v>
      </c>
      <c r="B679" s="62" t="s">
        <v>299</v>
      </c>
      <c r="C679" s="63"/>
      <c r="D679" s="64"/>
      <c r="E679" s="65"/>
      <c r="F679" s="66"/>
      <c r="G679" s="63"/>
      <c r="H679" s="67"/>
      <c r="I679" s="68"/>
      <c r="J679" s="68"/>
      <c r="K679" s="32" t="s">
        <v>65</v>
      </c>
      <c r="L679" s="75">
        <v>679</v>
      </c>
      <c r="M679" s="75"/>
      <c r="N679" s="70"/>
      <c r="O679" s="77" t="s">
        <v>571</v>
      </c>
      <c r="P679" s="79">
        <v>42968.27091435185</v>
      </c>
      <c r="Q679" s="77" t="s">
        <v>1089</v>
      </c>
      <c r="R679" s="77">
        <v>0</v>
      </c>
      <c r="S679" s="77">
        <v>0</v>
      </c>
      <c r="T679" s="77">
        <v>0</v>
      </c>
      <c r="U679" s="77">
        <v>0</v>
      </c>
      <c r="V679" s="77"/>
      <c r="W679" s="81" t="s">
        <v>1868</v>
      </c>
      <c r="X679" s="80" t="str">
        <f>HYPERLINK("http://willow.link/grounded/")</f>
        <v>http://willow.link/grounded/</v>
      </c>
      <c r="Y679" s="77" t="s">
        <v>2042</v>
      </c>
      <c r="Z679" s="77" t="s">
        <v>299</v>
      </c>
      <c r="AA679" s="77" t="s">
        <v>2311</v>
      </c>
      <c r="AB679" s="77" t="s">
        <v>2696</v>
      </c>
      <c r="AC679" s="81" t="s">
        <v>2744</v>
      </c>
      <c r="AD679" s="77" t="s">
        <v>2751</v>
      </c>
      <c r="AE679" s="80" t="str">
        <f>HYPERLINK("https://twitter.com/willowassist/status/899518961217351680")</f>
        <v>https://twitter.com/willowassist/status/899518961217351680</v>
      </c>
      <c r="AF679" s="79">
        <v>42968.27091435185</v>
      </c>
      <c r="AG679" s="85">
        <v>42968</v>
      </c>
      <c r="AH679" s="81" t="s">
        <v>3279</v>
      </c>
      <c r="AI679" s="77" t="b">
        <v>0</v>
      </c>
      <c r="AJ679" s="77"/>
      <c r="AK679" s="77"/>
      <c r="AL679" s="77"/>
      <c r="AM679" s="77"/>
      <c r="AN679" s="77"/>
      <c r="AO679" s="77"/>
      <c r="AP679" s="77"/>
      <c r="AQ679" s="77" t="s">
        <v>4125</v>
      </c>
      <c r="AR679" s="77"/>
      <c r="AS679" s="77"/>
      <c r="AT679" s="77"/>
      <c r="AU679" s="77"/>
      <c r="AV679" s="80" t="str">
        <f>HYPERLINK("https://pbs.twimg.com/media/DHu7ukAXcAAuWO3.jpg")</f>
        <v>https://pbs.twimg.com/media/DHu7ukAXcAAuWO3.jpg</v>
      </c>
      <c r="AW679" s="81" t="s">
        <v>5025</v>
      </c>
      <c r="AX679" s="81" t="s">
        <v>5025</v>
      </c>
      <c r="AY679" s="77"/>
      <c r="AZ679" s="81" t="s">
        <v>5773</v>
      </c>
      <c r="BA679" s="81" t="s">
        <v>5773</v>
      </c>
      <c r="BB679" s="81" t="s">
        <v>5773</v>
      </c>
      <c r="BC679" s="81" t="s">
        <v>5025</v>
      </c>
      <c r="BD679" s="77">
        <v>3007133678</v>
      </c>
      <c r="BE679" s="77"/>
      <c r="BF679" s="77"/>
      <c r="BG679" s="77"/>
      <c r="BH679" s="77"/>
      <c r="BI679" s="77"/>
    </row>
    <row r="680" spans="1:61" ht="15">
      <c r="A680" s="62" t="s">
        <v>408</v>
      </c>
      <c r="B680" s="62" t="s">
        <v>299</v>
      </c>
      <c r="C680" s="63"/>
      <c r="D680" s="64"/>
      <c r="E680" s="65"/>
      <c r="F680" s="66"/>
      <c r="G680" s="63"/>
      <c r="H680" s="67"/>
      <c r="I680" s="68"/>
      <c r="J680" s="68"/>
      <c r="K680" s="32" t="s">
        <v>65</v>
      </c>
      <c r="L680" s="75">
        <v>680</v>
      </c>
      <c r="M680" s="75"/>
      <c r="N680" s="70"/>
      <c r="O680" s="77" t="s">
        <v>571</v>
      </c>
      <c r="P680" s="79">
        <v>43119.145891203705</v>
      </c>
      <c r="Q680" s="77" t="s">
        <v>1090</v>
      </c>
      <c r="R680" s="77">
        <v>0</v>
      </c>
      <c r="S680" s="77">
        <v>0</v>
      </c>
      <c r="T680" s="77">
        <v>0</v>
      </c>
      <c r="U680" s="77">
        <v>0</v>
      </c>
      <c r="V680" s="77"/>
      <c r="W680" s="77"/>
      <c r="X680" s="77"/>
      <c r="Y680" s="77"/>
      <c r="Z680" s="77" t="s">
        <v>299</v>
      </c>
      <c r="AA680" s="77"/>
      <c r="AB680" s="77"/>
      <c r="AC680" s="81" t="s">
        <v>2745</v>
      </c>
      <c r="AD680" s="77" t="s">
        <v>2751</v>
      </c>
      <c r="AE680" s="80" t="str">
        <f>HYPERLINK("https://twitter.com/twitpulse_in/status/954194223577948161")</f>
        <v>https://twitter.com/twitpulse_in/status/954194223577948161</v>
      </c>
      <c r="AF680" s="79">
        <v>43119.145891203705</v>
      </c>
      <c r="AG680" s="85">
        <v>43119</v>
      </c>
      <c r="AH680" s="81" t="s">
        <v>3280</v>
      </c>
      <c r="AI680" s="77"/>
      <c r="AJ680" s="77"/>
      <c r="AK680" s="77"/>
      <c r="AL680" s="77"/>
      <c r="AM680" s="77"/>
      <c r="AN680" s="77"/>
      <c r="AO680" s="77"/>
      <c r="AP680" s="77"/>
      <c r="AQ680" s="77"/>
      <c r="AR680" s="77"/>
      <c r="AS680" s="77"/>
      <c r="AT680" s="77"/>
      <c r="AU680" s="77"/>
      <c r="AV680" s="80" t="str">
        <f>HYPERLINK("https://pbs.twimg.com/profile_images/1003750515606421506/9nTZsVzQ_normal.jpg")</f>
        <v>https://pbs.twimg.com/profile_images/1003750515606421506/9nTZsVzQ_normal.jpg</v>
      </c>
      <c r="AW680" s="81" t="s">
        <v>5026</v>
      </c>
      <c r="AX680" s="81" t="s">
        <v>5026</v>
      </c>
      <c r="AY680" s="77"/>
      <c r="AZ680" s="81" t="s">
        <v>5773</v>
      </c>
      <c r="BA680" s="81" t="s">
        <v>5773</v>
      </c>
      <c r="BB680" s="81" t="s">
        <v>5773</v>
      </c>
      <c r="BC680" s="81" t="s">
        <v>5026</v>
      </c>
      <c r="BD680" s="77">
        <v>3900808721</v>
      </c>
      <c r="BE680" s="77"/>
      <c r="BF680" s="77"/>
      <c r="BG680" s="77"/>
      <c r="BH680" s="77"/>
      <c r="BI680" s="77"/>
    </row>
    <row r="681" spans="1:61" ht="15">
      <c r="A681" s="62" t="s">
        <v>408</v>
      </c>
      <c r="B681" s="62" t="s">
        <v>299</v>
      </c>
      <c r="C681" s="63"/>
      <c r="D681" s="64"/>
      <c r="E681" s="65"/>
      <c r="F681" s="66"/>
      <c r="G681" s="63"/>
      <c r="H681" s="67"/>
      <c r="I681" s="68"/>
      <c r="J681" s="68"/>
      <c r="K681" s="32" t="s">
        <v>65</v>
      </c>
      <c r="L681" s="75">
        <v>681</v>
      </c>
      <c r="M681" s="75"/>
      <c r="N681" s="70"/>
      <c r="O681" s="77" t="s">
        <v>571</v>
      </c>
      <c r="P681" s="79">
        <v>43397.437893518516</v>
      </c>
      <c r="Q681" s="77" t="s">
        <v>1091</v>
      </c>
      <c r="R681" s="77">
        <v>0</v>
      </c>
      <c r="S681" s="77">
        <v>0</v>
      </c>
      <c r="T681" s="77">
        <v>0</v>
      </c>
      <c r="U681" s="77">
        <v>0</v>
      </c>
      <c r="V681" s="77"/>
      <c r="W681" s="77"/>
      <c r="X681" s="77"/>
      <c r="Y681" s="77"/>
      <c r="Z681" s="77" t="s">
        <v>299</v>
      </c>
      <c r="AA681" s="77"/>
      <c r="AB681" s="77"/>
      <c r="AC681" s="81" t="s">
        <v>2745</v>
      </c>
      <c r="AD681" s="77" t="s">
        <v>2751</v>
      </c>
      <c r="AE681" s="80" t="str">
        <f>HYPERLINK("https://twitter.com/twitpulse_in/status/1055043866729086983")</f>
        <v>https://twitter.com/twitpulse_in/status/1055043866729086983</v>
      </c>
      <c r="AF681" s="79">
        <v>43397.437893518516</v>
      </c>
      <c r="AG681" s="85">
        <v>43397</v>
      </c>
      <c r="AH681" s="81" t="s">
        <v>3281</v>
      </c>
      <c r="AI681" s="77"/>
      <c r="AJ681" s="77"/>
      <c r="AK681" s="77"/>
      <c r="AL681" s="77"/>
      <c r="AM681" s="77"/>
      <c r="AN681" s="77"/>
      <c r="AO681" s="77"/>
      <c r="AP681" s="77"/>
      <c r="AQ681" s="77"/>
      <c r="AR681" s="77"/>
      <c r="AS681" s="77"/>
      <c r="AT681" s="77"/>
      <c r="AU681" s="77"/>
      <c r="AV681" s="80" t="str">
        <f>HYPERLINK("https://pbs.twimg.com/profile_images/1003750515606421506/9nTZsVzQ_normal.jpg")</f>
        <v>https://pbs.twimg.com/profile_images/1003750515606421506/9nTZsVzQ_normal.jpg</v>
      </c>
      <c r="AW681" s="81" t="s">
        <v>5027</v>
      </c>
      <c r="AX681" s="81" t="s">
        <v>5027</v>
      </c>
      <c r="AY681" s="77"/>
      <c r="AZ681" s="81" t="s">
        <v>5773</v>
      </c>
      <c r="BA681" s="81" t="s">
        <v>5773</v>
      </c>
      <c r="BB681" s="81" t="s">
        <v>5773</v>
      </c>
      <c r="BC681" s="81" t="s">
        <v>5027</v>
      </c>
      <c r="BD681" s="77">
        <v>3900808721</v>
      </c>
      <c r="BE681" s="77"/>
      <c r="BF681" s="77"/>
      <c r="BG681" s="77"/>
      <c r="BH681" s="77"/>
      <c r="BI681" s="77"/>
    </row>
    <row r="682" spans="1:61" ht="15">
      <c r="A682" s="62" t="s">
        <v>409</v>
      </c>
      <c r="B682" s="62" t="s">
        <v>299</v>
      </c>
      <c r="C682" s="63"/>
      <c r="D682" s="64"/>
      <c r="E682" s="65"/>
      <c r="F682" s="66"/>
      <c r="G682" s="63"/>
      <c r="H682" s="67"/>
      <c r="I682" s="68"/>
      <c r="J682" s="68"/>
      <c r="K682" s="32" t="s">
        <v>65</v>
      </c>
      <c r="L682" s="75">
        <v>682</v>
      </c>
      <c r="M682" s="75"/>
      <c r="N682" s="70"/>
      <c r="O682" s="77" t="s">
        <v>571</v>
      </c>
      <c r="P682" s="79">
        <v>42945.491944444446</v>
      </c>
      <c r="Q682" s="77" t="s">
        <v>1092</v>
      </c>
      <c r="R682" s="77">
        <v>0</v>
      </c>
      <c r="S682" s="77">
        <v>0</v>
      </c>
      <c r="T682" s="77">
        <v>0</v>
      </c>
      <c r="U682" s="77">
        <v>0</v>
      </c>
      <c r="V682" s="77"/>
      <c r="W682" s="77"/>
      <c r="X682" s="80" t="str">
        <f>HYPERLINK("https://commun.it/?aid=thankyou162")</f>
        <v>https://commun.it/?aid=thankyou162</v>
      </c>
      <c r="Y682" s="77" t="s">
        <v>2040</v>
      </c>
      <c r="Z682" s="77" t="s">
        <v>2101</v>
      </c>
      <c r="AA682" s="77"/>
      <c r="AB682" s="77"/>
      <c r="AC682" s="81" t="s">
        <v>2703</v>
      </c>
      <c r="AD682" s="77" t="s">
        <v>2751</v>
      </c>
      <c r="AE682" s="80" t="str">
        <f>HYPERLINK("https://twitter.com/zerocoollatte/status/891264141415067650")</f>
        <v>https://twitter.com/zerocoollatte/status/891264141415067650</v>
      </c>
      <c r="AF682" s="79">
        <v>42945.491944444446</v>
      </c>
      <c r="AG682" s="85">
        <v>42945</v>
      </c>
      <c r="AH682" s="81" t="s">
        <v>3282</v>
      </c>
      <c r="AI682" s="77" t="b">
        <v>0</v>
      </c>
      <c r="AJ682" s="77"/>
      <c r="AK682" s="77"/>
      <c r="AL682" s="77"/>
      <c r="AM682" s="77"/>
      <c r="AN682" s="77"/>
      <c r="AO682" s="77"/>
      <c r="AP682" s="77"/>
      <c r="AQ682" s="77"/>
      <c r="AR682" s="77"/>
      <c r="AS682" s="77"/>
      <c r="AT682" s="77"/>
      <c r="AU682" s="77"/>
      <c r="AV682" s="80" t="str">
        <f>HYPERLINK("https://pbs.twimg.com/profile_images/1473321911908122627/TL3cRWaX_normal.jpg")</f>
        <v>https://pbs.twimg.com/profile_images/1473321911908122627/TL3cRWaX_normal.jpg</v>
      </c>
      <c r="AW682" s="81" t="s">
        <v>5028</v>
      </c>
      <c r="AX682" s="81" t="s">
        <v>5028</v>
      </c>
      <c r="AY682" s="77"/>
      <c r="AZ682" s="81" t="s">
        <v>5773</v>
      </c>
      <c r="BA682" s="81" t="s">
        <v>5773</v>
      </c>
      <c r="BB682" s="81" t="s">
        <v>5773</v>
      </c>
      <c r="BC682" s="81" t="s">
        <v>5028</v>
      </c>
      <c r="BD682" s="77">
        <v>2347548374</v>
      </c>
      <c r="BE682" s="77"/>
      <c r="BF682" s="77"/>
      <c r="BG682" s="77"/>
      <c r="BH682" s="77"/>
      <c r="BI682" s="77"/>
    </row>
    <row r="683" spans="1:61" ht="15">
      <c r="A683" s="62" t="s">
        <v>410</v>
      </c>
      <c r="B683" s="62" t="s">
        <v>410</v>
      </c>
      <c r="C683" s="63"/>
      <c r="D683" s="64"/>
      <c r="E683" s="65"/>
      <c r="F683" s="66"/>
      <c r="G683" s="63"/>
      <c r="H683" s="67"/>
      <c r="I683" s="68"/>
      <c r="J683" s="68"/>
      <c r="K683" s="32" t="s">
        <v>65</v>
      </c>
      <c r="L683" s="75">
        <v>683</v>
      </c>
      <c r="M683" s="75"/>
      <c r="N683" s="70"/>
      <c r="O683" s="77" t="s">
        <v>179</v>
      </c>
      <c r="P683" s="79">
        <v>42138.19260416667</v>
      </c>
      <c r="Q683" s="77" t="s">
        <v>1093</v>
      </c>
      <c r="R683" s="77">
        <v>0</v>
      </c>
      <c r="S683" s="77">
        <v>0</v>
      </c>
      <c r="T683" s="77">
        <v>0</v>
      </c>
      <c r="U683" s="77">
        <v>0</v>
      </c>
      <c r="V683" s="77"/>
      <c r="W683" s="77"/>
      <c r="X683" s="80" t="str">
        <f>HYPERLINK("http://bit.ly/1EEWWeu")</f>
        <v>http://bit.ly/1EEWWeu</v>
      </c>
      <c r="Y683" s="77" t="s">
        <v>1984</v>
      </c>
      <c r="Z683" s="77"/>
      <c r="AA683" s="77"/>
      <c r="AB683" s="77"/>
      <c r="AC683" s="81" t="s">
        <v>2710</v>
      </c>
      <c r="AD683" s="77" t="s">
        <v>2751</v>
      </c>
      <c r="AE683" s="80" t="str">
        <f>HYPERLINK("https://twitter.com/expertjobsorg/status/598708656415363072")</f>
        <v>https://twitter.com/expertjobsorg/status/598708656415363072</v>
      </c>
      <c r="AF683" s="79">
        <v>42138.19260416667</v>
      </c>
      <c r="AG683" s="85">
        <v>42138</v>
      </c>
      <c r="AH683" s="81" t="s">
        <v>3283</v>
      </c>
      <c r="AI683" s="77" t="b">
        <v>0</v>
      </c>
      <c r="AJ683" s="77"/>
      <c r="AK683" s="77"/>
      <c r="AL683" s="77"/>
      <c r="AM683" s="77"/>
      <c r="AN683" s="77"/>
      <c r="AO683" s="77"/>
      <c r="AP683" s="77"/>
      <c r="AQ683" s="77"/>
      <c r="AR683" s="77"/>
      <c r="AS683" s="77"/>
      <c r="AT683" s="77"/>
      <c r="AU683" s="77"/>
      <c r="AV683" s="80" t="str">
        <f>HYPERLINK("https://pbs.twimg.com/profile_images/475691913702408192/Lt4oX9Nv_normal.jpeg")</f>
        <v>https://pbs.twimg.com/profile_images/475691913702408192/Lt4oX9Nv_normal.jpeg</v>
      </c>
      <c r="AW683" s="81" t="s">
        <v>5029</v>
      </c>
      <c r="AX683" s="81" t="s">
        <v>5029</v>
      </c>
      <c r="AY683" s="77"/>
      <c r="AZ683" s="81" t="s">
        <v>5773</v>
      </c>
      <c r="BA683" s="81" t="s">
        <v>5773</v>
      </c>
      <c r="BB683" s="81" t="s">
        <v>5773</v>
      </c>
      <c r="BC683" s="81" t="s">
        <v>5029</v>
      </c>
      <c r="BD683" s="77">
        <v>2555190554</v>
      </c>
      <c r="BE683" s="77"/>
      <c r="BF683" s="77"/>
      <c r="BG683" s="77"/>
      <c r="BH683" s="77"/>
      <c r="BI683" s="77"/>
    </row>
    <row r="684" spans="1:61" ht="15">
      <c r="A684" s="62" t="s">
        <v>410</v>
      </c>
      <c r="B684" s="62" t="s">
        <v>410</v>
      </c>
      <c r="C684" s="63"/>
      <c r="D684" s="64"/>
      <c r="E684" s="65"/>
      <c r="F684" s="66"/>
      <c r="G684" s="63"/>
      <c r="H684" s="67"/>
      <c r="I684" s="68"/>
      <c r="J684" s="68"/>
      <c r="K684" s="32" t="s">
        <v>65</v>
      </c>
      <c r="L684" s="75">
        <v>684</v>
      </c>
      <c r="M684" s="75"/>
      <c r="N684" s="70"/>
      <c r="O684" s="77" t="s">
        <v>179</v>
      </c>
      <c r="P684" s="79">
        <v>41935.41315972222</v>
      </c>
      <c r="Q684" s="77" t="s">
        <v>1094</v>
      </c>
      <c r="R684" s="77">
        <v>0</v>
      </c>
      <c r="S684" s="77">
        <v>0</v>
      </c>
      <c r="T684" s="77">
        <v>0</v>
      </c>
      <c r="U684" s="77">
        <v>0</v>
      </c>
      <c r="V684" s="77"/>
      <c r="W684" s="77"/>
      <c r="X684" s="80" t="str">
        <f>HYPERLINK("http://bit.ly/1owQmEA")</f>
        <v>http://bit.ly/1owQmEA</v>
      </c>
      <c r="Y684" s="77" t="s">
        <v>1984</v>
      </c>
      <c r="Z684" s="77"/>
      <c r="AA684" s="77"/>
      <c r="AB684" s="77"/>
      <c r="AC684" s="81" t="s">
        <v>2710</v>
      </c>
      <c r="AD684" s="77" t="s">
        <v>2751</v>
      </c>
      <c r="AE684" s="80" t="str">
        <f>HYPERLINK("https://twitter.com/expertjobsorg/status/525223843674472448")</f>
        <v>https://twitter.com/expertjobsorg/status/525223843674472448</v>
      </c>
      <c r="AF684" s="79">
        <v>41935.41315972222</v>
      </c>
      <c r="AG684" s="85">
        <v>41935</v>
      </c>
      <c r="AH684" s="81" t="s">
        <v>3284</v>
      </c>
      <c r="AI684" s="77" t="b">
        <v>0</v>
      </c>
      <c r="AJ684" s="77"/>
      <c r="AK684" s="77"/>
      <c r="AL684" s="77"/>
      <c r="AM684" s="77"/>
      <c r="AN684" s="77"/>
      <c r="AO684" s="77"/>
      <c r="AP684" s="77"/>
      <c r="AQ684" s="77"/>
      <c r="AR684" s="77"/>
      <c r="AS684" s="77"/>
      <c r="AT684" s="77"/>
      <c r="AU684" s="77"/>
      <c r="AV684" s="80" t="str">
        <f>HYPERLINK("https://pbs.twimg.com/profile_images/475691913702408192/Lt4oX9Nv_normal.jpeg")</f>
        <v>https://pbs.twimg.com/profile_images/475691913702408192/Lt4oX9Nv_normal.jpeg</v>
      </c>
      <c r="AW684" s="81" t="s">
        <v>5030</v>
      </c>
      <c r="AX684" s="81" t="s">
        <v>5030</v>
      </c>
      <c r="AY684" s="77"/>
      <c r="AZ684" s="81" t="s">
        <v>5773</v>
      </c>
      <c r="BA684" s="81" t="s">
        <v>5773</v>
      </c>
      <c r="BB684" s="81" t="s">
        <v>5773</v>
      </c>
      <c r="BC684" s="81" t="s">
        <v>5030</v>
      </c>
      <c r="BD684" s="77">
        <v>2555190554</v>
      </c>
      <c r="BE684" s="77"/>
      <c r="BF684" s="77"/>
      <c r="BG684" s="77"/>
      <c r="BH684" s="77"/>
      <c r="BI684" s="77"/>
    </row>
    <row r="685" spans="1:61" ht="15">
      <c r="A685" s="62" t="s">
        <v>410</v>
      </c>
      <c r="B685" s="62" t="s">
        <v>410</v>
      </c>
      <c r="C685" s="63"/>
      <c r="D685" s="64"/>
      <c r="E685" s="65"/>
      <c r="F685" s="66"/>
      <c r="G685" s="63"/>
      <c r="H685" s="67"/>
      <c r="I685" s="68"/>
      <c r="J685" s="68"/>
      <c r="K685" s="32" t="s">
        <v>65</v>
      </c>
      <c r="L685" s="75">
        <v>685</v>
      </c>
      <c r="M685" s="75"/>
      <c r="N685" s="70"/>
      <c r="O685" s="77" t="s">
        <v>179</v>
      </c>
      <c r="P685" s="79">
        <v>41934.83292824074</v>
      </c>
      <c r="Q685" s="77" t="s">
        <v>1095</v>
      </c>
      <c r="R685" s="77">
        <v>0</v>
      </c>
      <c r="S685" s="77">
        <v>0</v>
      </c>
      <c r="T685" s="77">
        <v>0</v>
      </c>
      <c r="U685" s="77">
        <v>0</v>
      </c>
      <c r="V685" s="77"/>
      <c r="W685" s="77"/>
      <c r="X685" s="80" t="str">
        <f>HYPERLINK("http://bit.ly/1tLKN7r")</f>
        <v>http://bit.ly/1tLKN7r</v>
      </c>
      <c r="Y685" s="77" t="s">
        <v>1984</v>
      </c>
      <c r="Z685" s="77"/>
      <c r="AA685" s="77"/>
      <c r="AB685" s="77"/>
      <c r="AC685" s="81" t="s">
        <v>2710</v>
      </c>
      <c r="AD685" s="77" t="s">
        <v>2751</v>
      </c>
      <c r="AE685" s="80" t="str">
        <f>HYPERLINK("https://twitter.com/expertjobsorg/status/525013574331420672")</f>
        <v>https://twitter.com/expertjobsorg/status/525013574331420672</v>
      </c>
      <c r="AF685" s="79">
        <v>41934.83292824074</v>
      </c>
      <c r="AG685" s="85">
        <v>41934</v>
      </c>
      <c r="AH685" s="81" t="s">
        <v>3285</v>
      </c>
      <c r="AI685" s="77" t="b">
        <v>0</v>
      </c>
      <c r="AJ685" s="77"/>
      <c r="AK685" s="77"/>
      <c r="AL685" s="77"/>
      <c r="AM685" s="77"/>
      <c r="AN685" s="77"/>
      <c r="AO685" s="77"/>
      <c r="AP685" s="77"/>
      <c r="AQ685" s="77"/>
      <c r="AR685" s="77"/>
      <c r="AS685" s="77"/>
      <c r="AT685" s="77"/>
      <c r="AU685" s="77"/>
      <c r="AV685" s="80" t="str">
        <f>HYPERLINK("https://pbs.twimg.com/profile_images/475691913702408192/Lt4oX9Nv_normal.jpeg")</f>
        <v>https://pbs.twimg.com/profile_images/475691913702408192/Lt4oX9Nv_normal.jpeg</v>
      </c>
      <c r="AW685" s="81" t="s">
        <v>5031</v>
      </c>
      <c r="AX685" s="81" t="s">
        <v>5031</v>
      </c>
      <c r="AY685" s="77"/>
      <c r="AZ685" s="81" t="s">
        <v>5773</v>
      </c>
      <c r="BA685" s="81" t="s">
        <v>5773</v>
      </c>
      <c r="BB685" s="81" t="s">
        <v>5773</v>
      </c>
      <c r="BC685" s="81" t="s">
        <v>5031</v>
      </c>
      <c r="BD685" s="77">
        <v>2555190554</v>
      </c>
      <c r="BE685" s="77"/>
      <c r="BF685" s="77"/>
      <c r="BG685" s="77"/>
      <c r="BH685" s="77"/>
      <c r="BI685" s="77"/>
    </row>
    <row r="686" spans="1:61" ht="15">
      <c r="A686" s="62" t="s">
        <v>410</v>
      </c>
      <c r="B686" s="62" t="s">
        <v>410</v>
      </c>
      <c r="C686" s="63"/>
      <c r="D686" s="64"/>
      <c r="E686" s="65"/>
      <c r="F686" s="66"/>
      <c r="G686" s="63"/>
      <c r="H686" s="67"/>
      <c r="I686" s="68"/>
      <c r="J686" s="68"/>
      <c r="K686" s="32" t="s">
        <v>65</v>
      </c>
      <c r="L686" s="75">
        <v>686</v>
      </c>
      <c r="M686" s="75"/>
      <c r="N686" s="70"/>
      <c r="O686" s="77" t="s">
        <v>179</v>
      </c>
      <c r="P686" s="79">
        <v>41933.77679398148</v>
      </c>
      <c r="Q686" s="77" t="s">
        <v>1096</v>
      </c>
      <c r="R686" s="77">
        <v>0</v>
      </c>
      <c r="S686" s="77">
        <v>0</v>
      </c>
      <c r="T686" s="77">
        <v>0</v>
      </c>
      <c r="U686" s="77">
        <v>0</v>
      </c>
      <c r="V686" s="77"/>
      <c r="W686" s="77"/>
      <c r="X686" s="80" t="str">
        <f>HYPERLINK("http://bit.ly/1ygoi8I")</f>
        <v>http://bit.ly/1ygoi8I</v>
      </c>
      <c r="Y686" s="77" t="s">
        <v>1984</v>
      </c>
      <c r="Z686" s="77"/>
      <c r="AA686" s="77"/>
      <c r="AB686" s="77"/>
      <c r="AC686" s="81" t="s">
        <v>2710</v>
      </c>
      <c r="AD686" s="77" t="s">
        <v>2751</v>
      </c>
      <c r="AE686" s="80" t="str">
        <f>HYPERLINK("https://twitter.com/expertjobsorg/status/524630846318608384")</f>
        <v>https://twitter.com/expertjobsorg/status/524630846318608384</v>
      </c>
      <c r="AF686" s="79">
        <v>41933.77679398148</v>
      </c>
      <c r="AG686" s="85">
        <v>41933</v>
      </c>
      <c r="AH686" s="81" t="s">
        <v>3286</v>
      </c>
      <c r="AI686" s="77" t="b">
        <v>0</v>
      </c>
      <c r="AJ686" s="77"/>
      <c r="AK686" s="77"/>
      <c r="AL686" s="77"/>
      <c r="AM686" s="77"/>
      <c r="AN686" s="77"/>
      <c r="AO686" s="77"/>
      <c r="AP686" s="77"/>
      <c r="AQ686" s="77"/>
      <c r="AR686" s="77"/>
      <c r="AS686" s="77"/>
      <c r="AT686" s="77"/>
      <c r="AU686" s="77"/>
      <c r="AV686" s="80" t="str">
        <f>HYPERLINK("https://pbs.twimg.com/profile_images/475691913702408192/Lt4oX9Nv_normal.jpeg")</f>
        <v>https://pbs.twimg.com/profile_images/475691913702408192/Lt4oX9Nv_normal.jpeg</v>
      </c>
      <c r="AW686" s="81" t="s">
        <v>5032</v>
      </c>
      <c r="AX686" s="81" t="s">
        <v>5032</v>
      </c>
      <c r="AY686" s="77"/>
      <c r="AZ686" s="81" t="s">
        <v>5773</v>
      </c>
      <c r="BA686" s="81" t="s">
        <v>5773</v>
      </c>
      <c r="BB686" s="81" t="s">
        <v>5773</v>
      </c>
      <c r="BC686" s="81" t="s">
        <v>5032</v>
      </c>
      <c r="BD686" s="77">
        <v>2555190554</v>
      </c>
      <c r="BE686" s="77"/>
      <c r="BF686" s="77"/>
      <c r="BG686" s="77"/>
      <c r="BH686" s="77"/>
      <c r="BI686" s="77"/>
    </row>
    <row r="687" spans="1:61" ht="15">
      <c r="A687" s="62" t="s">
        <v>410</v>
      </c>
      <c r="B687" s="62" t="s">
        <v>410</v>
      </c>
      <c r="C687" s="63"/>
      <c r="D687" s="64"/>
      <c r="E687" s="65"/>
      <c r="F687" s="66"/>
      <c r="G687" s="63"/>
      <c r="H687" s="67"/>
      <c r="I687" s="68"/>
      <c r="J687" s="68"/>
      <c r="K687" s="32" t="s">
        <v>65</v>
      </c>
      <c r="L687" s="75">
        <v>687</v>
      </c>
      <c r="M687" s="75"/>
      <c r="N687" s="70"/>
      <c r="O687" s="77" t="s">
        <v>179</v>
      </c>
      <c r="P687" s="79">
        <v>41931.609826388885</v>
      </c>
      <c r="Q687" s="77" t="s">
        <v>1097</v>
      </c>
      <c r="R687" s="77">
        <v>0</v>
      </c>
      <c r="S687" s="77">
        <v>0</v>
      </c>
      <c r="T687" s="77">
        <v>0</v>
      </c>
      <c r="U687" s="77">
        <v>0</v>
      </c>
      <c r="V687" s="77"/>
      <c r="W687" s="77"/>
      <c r="X687" s="80" t="str">
        <f>HYPERLINK("http://bit.ly/1nvLe2Y")</f>
        <v>http://bit.ly/1nvLe2Y</v>
      </c>
      <c r="Y687" s="77" t="s">
        <v>1984</v>
      </c>
      <c r="Z687" s="77"/>
      <c r="AA687" s="77"/>
      <c r="AB687" s="77"/>
      <c r="AC687" s="81" t="s">
        <v>2710</v>
      </c>
      <c r="AD687" s="77" t="s">
        <v>2751</v>
      </c>
      <c r="AE687" s="80" t="str">
        <f>HYPERLINK("https://twitter.com/expertjobsorg/status/523845561913729024")</f>
        <v>https://twitter.com/expertjobsorg/status/523845561913729024</v>
      </c>
      <c r="AF687" s="79">
        <v>41931.609826388885</v>
      </c>
      <c r="AG687" s="85">
        <v>41931</v>
      </c>
      <c r="AH687" s="81" t="s">
        <v>3287</v>
      </c>
      <c r="AI687" s="77" t="b">
        <v>0</v>
      </c>
      <c r="AJ687" s="77"/>
      <c r="AK687" s="77"/>
      <c r="AL687" s="77"/>
      <c r="AM687" s="77"/>
      <c r="AN687" s="77"/>
      <c r="AO687" s="77"/>
      <c r="AP687" s="77"/>
      <c r="AQ687" s="77"/>
      <c r="AR687" s="77"/>
      <c r="AS687" s="77"/>
      <c r="AT687" s="77"/>
      <c r="AU687" s="77"/>
      <c r="AV687" s="80" t="str">
        <f>HYPERLINK("https://pbs.twimg.com/profile_images/475691913702408192/Lt4oX9Nv_normal.jpeg")</f>
        <v>https://pbs.twimg.com/profile_images/475691913702408192/Lt4oX9Nv_normal.jpeg</v>
      </c>
      <c r="AW687" s="81" t="s">
        <v>5033</v>
      </c>
      <c r="AX687" s="81" t="s">
        <v>5033</v>
      </c>
      <c r="AY687" s="77"/>
      <c r="AZ687" s="81" t="s">
        <v>5773</v>
      </c>
      <c r="BA687" s="81" t="s">
        <v>5773</v>
      </c>
      <c r="BB687" s="81" t="s">
        <v>5773</v>
      </c>
      <c r="BC687" s="81" t="s">
        <v>5033</v>
      </c>
      <c r="BD687" s="77">
        <v>2555190554</v>
      </c>
      <c r="BE687" s="77"/>
      <c r="BF687" s="77"/>
      <c r="BG687" s="77"/>
      <c r="BH687" s="77"/>
      <c r="BI687" s="77"/>
    </row>
    <row r="688" spans="1:61" ht="15">
      <c r="A688" s="62" t="s">
        <v>410</v>
      </c>
      <c r="B688" s="62" t="s">
        <v>410</v>
      </c>
      <c r="C688" s="63"/>
      <c r="D688" s="64"/>
      <c r="E688" s="65"/>
      <c r="F688" s="66"/>
      <c r="G688" s="63"/>
      <c r="H688" s="67"/>
      <c r="I688" s="68"/>
      <c r="J688" s="68"/>
      <c r="K688" s="32" t="s">
        <v>65</v>
      </c>
      <c r="L688" s="75">
        <v>688</v>
      </c>
      <c r="M688" s="75"/>
      <c r="N688" s="70"/>
      <c r="O688" s="77" t="s">
        <v>179</v>
      </c>
      <c r="P688" s="79">
        <v>41931.333090277774</v>
      </c>
      <c r="Q688" s="77" t="s">
        <v>1098</v>
      </c>
      <c r="R688" s="77">
        <v>0</v>
      </c>
      <c r="S688" s="77">
        <v>0</v>
      </c>
      <c r="T688" s="77">
        <v>0</v>
      </c>
      <c r="U688" s="77">
        <v>0</v>
      </c>
      <c r="V688" s="77"/>
      <c r="W688" s="77"/>
      <c r="X688" s="80" t="str">
        <f>HYPERLINK("http://bit.ly/11OZaLN")</f>
        <v>http://bit.ly/11OZaLN</v>
      </c>
      <c r="Y688" s="77" t="s">
        <v>1984</v>
      </c>
      <c r="Z688" s="77"/>
      <c r="AA688" s="77"/>
      <c r="AB688" s="77"/>
      <c r="AC688" s="81" t="s">
        <v>2710</v>
      </c>
      <c r="AD688" s="77" t="s">
        <v>2751</v>
      </c>
      <c r="AE688" s="80" t="str">
        <f>HYPERLINK("https://twitter.com/expertjobsorg/status/523745277648580608")</f>
        <v>https://twitter.com/expertjobsorg/status/523745277648580608</v>
      </c>
      <c r="AF688" s="79">
        <v>41931.333090277774</v>
      </c>
      <c r="AG688" s="85">
        <v>41931</v>
      </c>
      <c r="AH688" s="81" t="s">
        <v>3288</v>
      </c>
      <c r="AI688" s="77" t="b">
        <v>0</v>
      </c>
      <c r="AJ688" s="77"/>
      <c r="AK688" s="77"/>
      <c r="AL688" s="77"/>
      <c r="AM688" s="77"/>
      <c r="AN688" s="77"/>
      <c r="AO688" s="77"/>
      <c r="AP688" s="77"/>
      <c r="AQ688" s="77"/>
      <c r="AR688" s="77"/>
      <c r="AS688" s="77"/>
      <c r="AT688" s="77"/>
      <c r="AU688" s="77"/>
      <c r="AV688" s="80" t="str">
        <f>HYPERLINK("https://pbs.twimg.com/profile_images/475691913702408192/Lt4oX9Nv_normal.jpeg")</f>
        <v>https://pbs.twimg.com/profile_images/475691913702408192/Lt4oX9Nv_normal.jpeg</v>
      </c>
      <c r="AW688" s="81" t="s">
        <v>5034</v>
      </c>
      <c r="AX688" s="81" t="s">
        <v>5034</v>
      </c>
      <c r="AY688" s="77"/>
      <c r="AZ688" s="81" t="s">
        <v>5773</v>
      </c>
      <c r="BA688" s="81" t="s">
        <v>5773</v>
      </c>
      <c r="BB688" s="81" t="s">
        <v>5773</v>
      </c>
      <c r="BC688" s="81" t="s">
        <v>5034</v>
      </c>
      <c r="BD688" s="77">
        <v>2555190554</v>
      </c>
      <c r="BE688" s="77"/>
      <c r="BF688" s="77"/>
      <c r="BG688" s="77"/>
      <c r="BH688" s="77"/>
      <c r="BI688" s="77"/>
    </row>
    <row r="689" spans="1:61" ht="15">
      <c r="A689" s="62" t="s">
        <v>410</v>
      </c>
      <c r="B689" s="62" t="s">
        <v>410</v>
      </c>
      <c r="C689" s="63"/>
      <c r="D689" s="64"/>
      <c r="E689" s="65"/>
      <c r="F689" s="66"/>
      <c r="G689" s="63"/>
      <c r="H689" s="67"/>
      <c r="I689" s="68"/>
      <c r="J689" s="68"/>
      <c r="K689" s="32" t="s">
        <v>65</v>
      </c>
      <c r="L689" s="75">
        <v>689</v>
      </c>
      <c r="M689" s="75"/>
      <c r="N689" s="70"/>
      <c r="O689" s="77" t="s">
        <v>179</v>
      </c>
      <c r="P689" s="79">
        <v>41995.451053240744</v>
      </c>
      <c r="Q689" s="77" t="s">
        <v>1099</v>
      </c>
      <c r="R689" s="77">
        <v>0</v>
      </c>
      <c r="S689" s="77">
        <v>0</v>
      </c>
      <c r="T689" s="77">
        <v>0</v>
      </c>
      <c r="U689" s="77">
        <v>0</v>
      </c>
      <c r="V689" s="77"/>
      <c r="W689" s="77"/>
      <c r="X689" s="80" t="str">
        <f>HYPERLINK("http://bit.ly/1sPBuho")</f>
        <v>http://bit.ly/1sPBuho</v>
      </c>
      <c r="Y689" s="77" t="s">
        <v>1984</v>
      </c>
      <c r="Z689" s="77"/>
      <c r="AA689" s="77"/>
      <c r="AB689" s="77"/>
      <c r="AC689" s="81" t="s">
        <v>2710</v>
      </c>
      <c r="AD689" s="77" t="s">
        <v>2751</v>
      </c>
      <c r="AE689" s="80" t="str">
        <f>HYPERLINK("https://twitter.com/expertjobsorg/status/546980849036824576")</f>
        <v>https://twitter.com/expertjobsorg/status/546980849036824576</v>
      </c>
      <c r="AF689" s="79">
        <v>41995.451053240744</v>
      </c>
      <c r="AG689" s="85">
        <v>41995</v>
      </c>
      <c r="AH689" s="81" t="s">
        <v>3289</v>
      </c>
      <c r="AI689" s="77" t="b">
        <v>0</v>
      </c>
      <c r="AJ689" s="77"/>
      <c r="AK689" s="77"/>
      <c r="AL689" s="77"/>
      <c r="AM689" s="77"/>
      <c r="AN689" s="77"/>
      <c r="AO689" s="77"/>
      <c r="AP689" s="77"/>
      <c r="AQ689" s="77"/>
      <c r="AR689" s="77"/>
      <c r="AS689" s="77"/>
      <c r="AT689" s="77"/>
      <c r="AU689" s="77"/>
      <c r="AV689" s="80" t="str">
        <f>HYPERLINK("https://pbs.twimg.com/profile_images/475691913702408192/Lt4oX9Nv_normal.jpeg")</f>
        <v>https://pbs.twimg.com/profile_images/475691913702408192/Lt4oX9Nv_normal.jpeg</v>
      </c>
      <c r="AW689" s="81" t="s">
        <v>5035</v>
      </c>
      <c r="AX689" s="81" t="s">
        <v>5035</v>
      </c>
      <c r="AY689" s="77"/>
      <c r="AZ689" s="81" t="s">
        <v>5773</v>
      </c>
      <c r="BA689" s="81" t="s">
        <v>5773</v>
      </c>
      <c r="BB689" s="81" t="s">
        <v>5773</v>
      </c>
      <c r="BC689" s="81" t="s">
        <v>5035</v>
      </c>
      <c r="BD689" s="77">
        <v>2555190554</v>
      </c>
      <c r="BE689" s="77"/>
      <c r="BF689" s="77"/>
      <c r="BG689" s="77"/>
      <c r="BH689" s="77"/>
      <c r="BI689" s="77"/>
    </row>
    <row r="690" spans="1:61" ht="15">
      <c r="A690" s="62" t="s">
        <v>410</v>
      </c>
      <c r="B690" s="62" t="s">
        <v>410</v>
      </c>
      <c r="C690" s="63"/>
      <c r="D690" s="64"/>
      <c r="E690" s="65"/>
      <c r="F690" s="66"/>
      <c r="G690" s="63"/>
      <c r="H690" s="67"/>
      <c r="I690" s="68"/>
      <c r="J690" s="68"/>
      <c r="K690" s="32" t="s">
        <v>65</v>
      </c>
      <c r="L690" s="75">
        <v>690</v>
      </c>
      <c r="M690" s="75"/>
      <c r="N690" s="70"/>
      <c r="O690" s="77" t="s">
        <v>179</v>
      </c>
      <c r="P690" s="79">
        <v>41994.768530092595</v>
      </c>
      <c r="Q690" s="77" t="s">
        <v>1100</v>
      </c>
      <c r="R690" s="77">
        <v>0</v>
      </c>
      <c r="S690" s="77">
        <v>0</v>
      </c>
      <c r="T690" s="77">
        <v>0</v>
      </c>
      <c r="U690" s="77">
        <v>0</v>
      </c>
      <c r="V690" s="77"/>
      <c r="W690" s="77"/>
      <c r="X690" s="80" t="str">
        <f>HYPERLINK("http://bit.ly/1AuM5EI")</f>
        <v>http://bit.ly/1AuM5EI</v>
      </c>
      <c r="Y690" s="77" t="s">
        <v>1984</v>
      </c>
      <c r="Z690" s="77"/>
      <c r="AA690" s="77"/>
      <c r="AB690" s="77"/>
      <c r="AC690" s="81" t="s">
        <v>2710</v>
      </c>
      <c r="AD690" s="77" t="s">
        <v>2751</v>
      </c>
      <c r="AE690" s="80" t="str">
        <f>HYPERLINK("https://twitter.com/expertjobsorg/status/546733509956878336")</f>
        <v>https://twitter.com/expertjobsorg/status/546733509956878336</v>
      </c>
      <c r="AF690" s="79">
        <v>41994.768530092595</v>
      </c>
      <c r="AG690" s="85">
        <v>41994</v>
      </c>
      <c r="AH690" s="81" t="s">
        <v>3290</v>
      </c>
      <c r="AI690" s="77" t="b">
        <v>0</v>
      </c>
      <c r="AJ690" s="77"/>
      <c r="AK690" s="77"/>
      <c r="AL690" s="77"/>
      <c r="AM690" s="77"/>
      <c r="AN690" s="77"/>
      <c r="AO690" s="77"/>
      <c r="AP690" s="77"/>
      <c r="AQ690" s="77"/>
      <c r="AR690" s="77"/>
      <c r="AS690" s="77"/>
      <c r="AT690" s="77"/>
      <c r="AU690" s="77"/>
      <c r="AV690" s="80" t="str">
        <f>HYPERLINK("https://pbs.twimg.com/profile_images/475691913702408192/Lt4oX9Nv_normal.jpeg")</f>
        <v>https://pbs.twimg.com/profile_images/475691913702408192/Lt4oX9Nv_normal.jpeg</v>
      </c>
      <c r="AW690" s="81" t="s">
        <v>5036</v>
      </c>
      <c r="AX690" s="81" t="s">
        <v>5036</v>
      </c>
      <c r="AY690" s="77"/>
      <c r="AZ690" s="81" t="s">
        <v>5773</v>
      </c>
      <c r="BA690" s="81" t="s">
        <v>5773</v>
      </c>
      <c r="BB690" s="81" t="s">
        <v>5773</v>
      </c>
      <c r="BC690" s="81" t="s">
        <v>5036</v>
      </c>
      <c r="BD690" s="77">
        <v>2555190554</v>
      </c>
      <c r="BE690" s="77"/>
      <c r="BF690" s="77"/>
      <c r="BG690" s="77"/>
      <c r="BH690" s="77"/>
      <c r="BI690" s="77"/>
    </row>
    <row r="691" spans="1:61" ht="15">
      <c r="A691" s="62" t="s">
        <v>410</v>
      </c>
      <c r="B691" s="62" t="s">
        <v>410</v>
      </c>
      <c r="C691" s="63"/>
      <c r="D691" s="64"/>
      <c r="E691" s="65"/>
      <c r="F691" s="66"/>
      <c r="G691" s="63"/>
      <c r="H691" s="67"/>
      <c r="I691" s="68"/>
      <c r="J691" s="68"/>
      <c r="K691" s="32" t="s">
        <v>65</v>
      </c>
      <c r="L691" s="75">
        <v>691</v>
      </c>
      <c r="M691" s="75"/>
      <c r="N691" s="70"/>
      <c r="O691" s="77" t="s">
        <v>179</v>
      </c>
      <c r="P691" s="79">
        <v>41994.66284722222</v>
      </c>
      <c r="Q691" s="77" t="s">
        <v>1101</v>
      </c>
      <c r="R691" s="77">
        <v>0</v>
      </c>
      <c r="S691" s="77">
        <v>0</v>
      </c>
      <c r="T691" s="77">
        <v>0</v>
      </c>
      <c r="U691" s="77">
        <v>0</v>
      </c>
      <c r="V691" s="77"/>
      <c r="W691" s="77"/>
      <c r="X691" s="80" t="str">
        <f>HYPERLINK("http://bit.ly/1x92j7k")</f>
        <v>http://bit.ly/1x92j7k</v>
      </c>
      <c r="Y691" s="77" t="s">
        <v>1984</v>
      </c>
      <c r="Z691" s="77"/>
      <c r="AA691" s="77"/>
      <c r="AB691" s="77"/>
      <c r="AC691" s="81" t="s">
        <v>2710</v>
      </c>
      <c r="AD691" s="77" t="s">
        <v>2751</v>
      </c>
      <c r="AE691" s="80" t="str">
        <f>HYPERLINK("https://twitter.com/expertjobsorg/status/546695211733516289")</f>
        <v>https://twitter.com/expertjobsorg/status/546695211733516289</v>
      </c>
      <c r="AF691" s="79">
        <v>41994.66284722222</v>
      </c>
      <c r="AG691" s="85">
        <v>41994</v>
      </c>
      <c r="AH691" s="81" t="s">
        <v>3291</v>
      </c>
      <c r="AI691" s="77" t="b">
        <v>0</v>
      </c>
      <c r="AJ691" s="77"/>
      <c r="AK691" s="77"/>
      <c r="AL691" s="77"/>
      <c r="AM691" s="77"/>
      <c r="AN691" s="77"/>
      <c r="AO691" s="77"/>
      <c r="AP691" s="77"/>
      <c r="AQ691" s="77"/>
      <c r="AR691" s="77"/>
      <c r="AS691" s="77"/>
      <c r="AT691" s="77"/>
      <c r="AU691" s="77"/>
      <c r="AV691" s="80" t="str">
        <f>HYPERLINK("https://pbs.twimg.com/profile_images/475691913702408192/Lt4oX9Nv_normal.jpeg")</f>
        <v>https://pbs.twimg.com/profile_images/475691913702408192/Lt4oX9Nv_normal.jpeg</v>
      </c>
      <c r="AW691" s="81" t="s">
        <v>5037</v>
      </c>
      <c r="AX691" s="81" t="s">
        <v>5037</v>
      </c>
      <c r="AY691" s="77"/>
      <c r="AZ691" s="81" t="s">
        <v>5773</v>
      </c>
      <c r="BA691" s="81" t="s">
        <v>5773</v>
      </c>
      <c r="BB691" s="81" t="s">
        <v>5773</v>
      </c>
      <c r="BC691" s="81" t="s">
        <v>5037</v>
      </c>
      <c r="BD691" s="77">
        <v>2555190554</v>
      </c>
      <c r="BE691" s="77"/>
      <c r="BF691" s="77"/>
      <c r="BG691" s="77"/>
      <c r="BH691" s="77"/>
      <c r="BI691" s="77"/>
    </row>
    <row r="692" spans="1:61" ht="15">
      <c r="A692" s="62" t="s">
        <v>410</v>
      </c>
      <c r="B692" s="62" t="s">
        <v>410</v>
      </c>
      <c r="C692" s="63"/>
      <c r="D692" s="64"/>
      <c r="E692" s="65"/>
      <c r="F692" s="66"/>
      <c r="G692" s="63"/>
      <c r="H692" s="67"/>
      <c r="I692" s="68"/>
      <c r="J692" s="68"/>
      <c r="K692" s="32" t="s">
        <v>65</v>
      </c>
      <c r="L692" s="75">
        <v>692</v>
      </c>
      <c r="M692" s="75"/>
      <c r="N692" s="70"/>
      <c r="O692" s="77" t="s">
        <v>179</v>
      </c>
      <c r="P692" s="79">
        <v>41985.76275462963</v>
      </c>
      <c r="Q692" s="77" t="s">
        <v>1102</v>
      </c>
      <c r="R692" s="77">
        <v>0</v>
      </c>
      <c r="S692" s="77">
        <v>0</v>
      </c>
      <c r="T692" s="77">
        <v>0</v>
      </c>
      <c r="U692" s="77">
        <v>0</v>
      </c>
      <c r="V692" s="77"/>
      <c r="W692" s="77"/>
      <c r="X692" s="80" t="str">
        <f>HYPERLINK("http://bit.ly/1zZwICb")</f>
        <v>http://bit.ly/1zZwICb</v>
      </c>
      <c r="Y692" s="77" t="s">
        <v>1984</v>
      </c>
      <c r="Z692" s="77"/>
      <c r="AA692" s="77"/>
      <c r="AB692" s="77"/>
      <c r="AC692" s="81" t="s">
        <v>2710</v>
      </c>
      <c r="AD692" s="77" t="s">
        <v>2751</v>
      </c>
      <c r="AE692" s="80" t="str">
        <f>HYPERLINK("https://twitter.com/expertjobsorg/status/543469925378306048")</f>
        <v>https://twitter.com/expertjobsorg/status/543469925378306048</v>
      </c>
      <c r="AF692" s="79">
        <v>41985.76275462963</v>
      </c>
      <c r="AG692" s="85">
        <v>41985</v>
      </c>
      <c r="AH692" s="81" t="s">
        <v>3292</v>
      </c>
      <c r="AI692" s="77" t="b">
        <v>0</v>
      </c>
      <c r="AJ692" s="77"/>
      <c r="AK692" s="77"/>
      <c r="AL692" s="77"/>
      <c r="AM692" s="77"/>
      <c r="AN692" s="77"/>
      <c r="AO692" s="77"/>
      <c r="AP692" s="77"/>
      <c r="AQ692" s="77"/>
      <c r="AR692" s="77"/>
      <c r="AS692" s="77"/>
      <c r="AT692" s="77"/>
      <c r="AU692" s="77"/>
      <c r="AV692" s="80" t="str">
        <f>HYPERLINK("https://pbs.twimg.com/profile_images/475691913702408192/Lt4oX9Nv_normal.jpeg")</f>
        <v>https://pbs.twimg.com/profile_images/475691913702408192/Lt4oX9Nv_normal.jpeg</v>
      </c>
      <c r="AW692" s="81" t="s">
        <v>5038</v>
      </c>
      <c r="AX692" s="81" t="s">
        <v>5038</v>
      </c>
      <c r="AY692" s="77"/>
      <c r="AZ692" s="81" t="s">
        <v>5773</v>
      </c>
      <c r="BA692" s="81" t="s">
        <v>5773</v>
      </c>
      <c r="BB692" s="81" t="s">
        <v>5773</v>
      </c>
      <c r="BC692" s="81" t="s">
        <v>5038</v>
      </c>
      <c r="BD692" s="77">
        <v>2555190554</v>
      </c>
      <c r="BE692" s="77"/>
      <c r="BF692" s="77"/>
      <c r="BG692" s="77"/>
      <c r="BH692" s="77"/>
      <c r="BI692" s="77"/>
    </row>
    <row r="693" spans="1:61" ht="15">
      <c r="A693" s="62" t="s">
        <v>410</v>
      </c>
      <c r="B693" s="62" t="s">
        <v>410</v>
      </c>
      <c r="C693" s="63"/>
      <c r="D693" s="64"/>
      <c r="E693" s="65"/>
      <c r="F693" s="66"/>
      <c r="G693" s="63"/>
      <c r="H693" s="67"/>
      <c r="I693" s="68"/>
      <c r="J693" s="68"/>
      <c r="K693" s="32" t="s">
        <v>65</v>
      </c>
      <c r="L693" s="75">
        <v>693</v>
      </c>
      <c r="M693" s="75"/>
      <c r="N693" s="70"/>
      <c r="O693" s="77" t="s">
        <v>179</v>
      </c>
      <c r="P693" s="79">
        <v>41978.7221875</v>
      </c>
      <c r="Q693" s="77" t="s">
        <v>1103</v>
      </c>
      <c r="R693" s="77">
        <v>0</v>
      </c>
      <c r="S693" s="77">
        <v>0</v>
      </c>
      <c r="T693" s="77">
        <v>0</v>
      </c>
      <c r="U693" s="77">
        <v>0</v>
      </c>
      <c r="V693" s="77"/>
      <c r="W693" s="77"/>
      <c r="X693" s="80" t="str">
        <f>HYPERLINK("http://bit.ly/1ypmGeY")</f>
        <v>http://bit.ly/1ypmGeY</v>
      </c>
      <c r="Y693" s="77" t="s">
        <v>1984</v>
      </c>
      <c r="Z693" s="77"/>
      <c r="AA693" s="77"/>
      <c r="AB693" s="77"/>
      <c r="AC693" s="81" t="s">
        <v>2710</v>
      </c>
      <c r="AD693" s="77" t="s">
        <v>2751</v>
      </c>
      <c r="AE693" s="80" t="str">
        <f>HYPERLINK("https://twitter.com/expertjobsorg/status/540918509564592129")</f>
        <v>https://twitter.com/expertjobsorg/status/540918509564592129</v>
      </c>
      <c r="AF693" s="79">
        <v>41978.7221875</v>
      </c>
      <c r="AG693" s="85">
        <v>41978</v>
      </c>
      <c r="AH693" s="81" t="s">
        <v>3293</v>
      </c>
      <c r="AI693" s="77" t="b">
        <v>0</v>
      </c>
      <c r="AJ693" s="77"/>
      <c r="AK693" s="77"/>
      <c r="AL693" s="77"/>
      <c r="AM693" s="77"/>
      <c r="AN693" s="77"/>
      <c r="AO693" s="77"/>
      <c r="AP693" s="77"/>
      <c r="AQ693" s="77"/>
      <c r="AR693" s="77"/>
      <c r="AS693" s="77"/>
      <c r="AT693" s="77"/>
      <c r="AU693" s="77"/>
      <c r="AV693" s="80" t="str">
        <f>HYPERLINK("https://pbs.twimg.com/profile_images/475691913702408192/Lt4oX9Nv_normal.jpeg")</f>
        <v>https://pbs.twimg.com/profile_images/475691913702408192/Lt4oX9Nv_normal.jpeg</v>
      </c>
      <c r="AW693" s="81" t="s">
        <v>5039</v>
      </c>
      <c r="AX693" s="81" t="s">
        <v>5039</v>
      </c>
      <c r="AY693" s="77"/>
      <c r="AZ693" s="81" t="s">
        <v>5773</v>
      </c>
      <c r="BA693" s="81" t="s">
        <v>5773</v>
      </c>
      <c r="BB693" s="81" t="s">
        <v>5773</v>
      </c>
      <c r="BC693" s="81" t="s">
        <v>5039</v>
      </c>
      <c r="BD693" s="77">
        <v>2555190554</v>
      </c>
      <c r="BE693" s="77"/>
      <c r="BF693" s="77"/>
      <c r="BG693" s="77"/>
      <c r="BH693" s="77"/>
      <c r="BI693" s="77"/>
    </row>
    <row r="694" spans="1:61" ht="15">
      <c r="A694" s="62" t="s">
        <v>410</v>
      </c>
      <c r="B694" s="62" t="s">
        <v>410</v>
      </c>
      <c r="C694" s="63"/>
      <c r="D694" s="64"/>
      <c r="E694" s="65"/>
      <c r="F694" s="66"/>
      <c r="G694" s="63"/>
      <c r="H694" s="67"/>
      <c r="I694" s="68"/>
      <c r="J694" s="68"/>
      <c r="K694" s="32" t="s">
        <v>65</v>
      </c>
      <c r="L694" s="75">
        <v>694</v>
      </c>
      <c r="M694" s="75"/>
      <c r="N694" s="70"/>
      <c r="O694" s="77" t="s">
        <v>179</v>
      </c>
      <c r="P694" s="79">
        <v>41978.706087962964</v>
      </c>
      <c r="Q694" s="77" t="s">
        <v>1104</v>
      </c>
      <c r="R694" s="77">
        <v>0</v>
      </c>
      <c r="S694" s="77">
        <v>0</v>
      </c>
      <c r="T694" s="77">
        <v>0</v>
      </c>
      <c r="U694" s="77">
        <v>0</v>
      </c>
      <c r="V694" s="77"/>
      <c r="W694" s="77"/>
      <c r="X694" s="80" t="str">
        <f>HYPERLINK("http://bit.ly/1wF0pun")</f>
        <v>http://bit.ly/1wF0pun</v>
      </c>
      <c r="Y694" s="77" t="s">
        <v>1984</v>
      </c>
      <c r="Z694" s="77"/>
      <c r="AA694" s="77"/>
      <c r="AB694" s="77"/>
      <c r="AC694" s="81" t="s">
        <v>2710</v>
      </c>
      <c r="AD694" s="77" t="s">
        <v>2751</v>
      </c>
      <c r="AE694" s="80" t="str">
        <f>HYPERLINK("https://twitter.com/expertjobsorg/status/540912676017569792")</f>
        <v>https://twitter.com/expertjobsorg/status/540912676017569792</v>
      </c>
      <c r="AF694" s="79">
        <v>41978.706087962964</v>
      </c>
      <c r="AG694" s="85">
        <v>41978</v>
      </c>
      <c r="AH694" s="81" t="s">
        <v>3294</v>
      </c>
      <c r="AI694" s="77" t="b">
        <v>0</v>
      </c>
      <c r="AJ694" s="77"/>
      <c r="AK694" s="77"/>
      <c r="AL694" s="77"/>
      <c r="AM694" s="77"/>
      <c r="AN694" s="77"/>
      <c r="AO694" s="77"/>
      <c r="AP694" s="77"/>
      <c r="AQ694" s="77"/>
      <c r="AR694" s="77"/>
      <c r="AS694" s="77"/>
      <c r="AT694" s="77"/>
      <c r="AU694" s="77"/>
      <c r="AV694" s="80" t="str">
        <f>HYPERLINK("https://pbs.twimg.com/profile_images/475691913702408192/Lt4oX9Nv_normal.jpeg")</f>
        <v>https://pbs.twimg.com/profile_images/475691913702408192/Lt4oX9Nv_normal.jpeg</v>
      </c>
      <c r="AW694" s="81" t="s">
        <v>5040</v>
      </c>
      <c r="AX694" s="81" t="s">
        <v>5040</v>
      </c>
      <c r="AY694" s="77"/>
      <c r="AZ694" s="81" t="s">
        <v>5773</v>
      </c>
      <c r="BA694" s="81" t="s">
        <v>5773</v>
      </c>
      <c r="BB694" s="81" t="s">
        <v>5773</v>
      </c>
      <c r="BC694" s="81" t="s">
        <v>5040</v>
      </c>
      <c r="BD694" s="77">
        <v>2555190554</v>
      </c>
      <c r="BE694" s="77"/>
      <c r="BF694" s="77"/>
      <c r="BG694" s="77"/>
      <c r="BH694" s="77"/>
      <c r="BI694" s="77"/>
    </row>
    <row r="695" spans="1:61" ht="15">
      <c r="A695" s="62" t="s">
        <v>410</v>
      </c>
      <c r="B695" s="62" t="s">
        <v>410</v>
      </c>
      <c r="C695" s="63"/>
      <c r="D695" s="64"/>
      <c r="E695" s="65"/>
      <c r="F695" s="66"/>
      <c r="G695" s="63"/>
      <c r="H695" s="67"/>
      <c r="I695" s="68"/>
      <c r="J695" s="68"/>
      <c r="K695" s="32" t="s">
        <v>65</v>
      </c>
      <c r="L695" s="75">
        <v>695</v>
      </c>
      <c r="M695" s="75"/>
      <c r="N695" s="70"/>
      <c r="O695" s="77" t="s">
        <v>179</v>
      </c>
      <c r="P695" s="79">
        <v>41977.70043981481</v>
      </c>
      <c r="Q695" s="77" t="s">
        <v>1105</v>
      </c>
      <c r="R695" s="77">
        <v>0</v>
      </c>
      <c r="S695" s="77">
        <v>0</v>
      </c>
      <c r="T695" s="77">
        <v>0</v>
      </c>
      <c r="U695" s="77">
        <v>0</v>
      </c>
      <c r="V695" s="77"/>
      <c r="W695" s="77"/>
      <c r="X695" s="80" t="str">
        <f>HYPERLINK("http://bit.ly/1BhlJrg")</f>
        <v>http://bit.ly/1BhlJrg</v>
      </c>
      <c r="Y695" s="77" t="s">
        <v>1984</v>
      </c>
      <c r="Z695" s="77"/>
      <c r="AA695" s="77"/>
      <c r="AB695" s="77"/>
      <c r="AC695" s="81" t="s">
        <v>2710</v>
      </c>
      <c r="AD695" s="77" t="s">
        <v>2751</v>
      </c>
      <c r="AE695" s="80" t="str">
        <f>HYPERLINK("https://twitter.com/expertjobsorg/status/540548240756981760")</f>
        <v>https://twitter.com/expertjobsorg/status/540548240756981760</v>
      </c>
      <c r="AF695" s="79">
        <v>41977.70043981481</v>
      </c>
      <c r="AG695" s="85">
        <v>41977</v>
      </c>
      <c r="AH695" s="81" t="s">
        <v>3295</v>
      </c>
      <c r="AI695" s="77" t="b">
        <v>0</v>
      </c>
      <c r="AJ695" s="77"/>
      <c r="AK695" s="77"/>
      <c r="AL695" s="77"/>
      <c r="AM695" s="77"/>
      <c r="AN695" s="77"/>
      <c r="AO695" s="77"/>
      <c r="AP695" s="77"/>
      <c r="AQ695" s="77"/>
      <c r="AR695" s="77"/>
      <c r="AS695" s="77"/>
      <c r="AT695" s="77"/>
      <c r="AU695" s="77"/>
      <c r="AV695" s="80" t="str">
        <f>HYPERLINK("https://pbs.twimg.com/profile_images/475691913702408192/Lt4oX9Nv_normal.jpeg")</f>
        <v>https://pbs.twimg.com/profile_images/475691913702408192/Lt4oX9Nv_normal.jpeg</v>
      </c>
      <c r="AW695" s="81" t="s">
        <v>5041</v>
      </c>
      <c r="AX695" s="81" t="s">
        <v>5041</v>
      </c>
      <c r="AY695" s="77"/>
      <c r="AZ695" s="81" t="s">
        <v>5773</v>
      </c>
      <c r="BA695" s="81" t="s">
        <v>5773</v>
      </c>
      <c r="BB695" s="81" t="s">
        <v>5773</v>
      </c>
      <c r="BC695" s="81" t="s">
        <v>5041</v>
      </c>
      <c r="BD695" s="77">
        <v>2555190554</v>
      </c>
      <c r="BE695" s="77"/>
      <c r="BF695" s="77"/>
      <c r="BG695" s="77"/>
      <c r="BH695" s="77"/>
      <c r="BI695" s="77"/>
    </row>
    <row r="696" spans="1:61" ht="15">
      <c r="A696" s="62" t="s">
        <v>410</v>
      </c>
      <c r="B696" s="62" t="s">
        <v>410</v>
      </c>
      <c r="C696" s="63"/>
      <c r="D696" s="64"/>
      <c r="E696" s="65"/>
      <c r="F696" s="66"/>
      <c r="G696" s="63"/>
      <c r="H696" s="67"/>
      <c r="I696" s="68"/>
      <c r="J696" s="68"/>
      <c r="K696" s="32" t="s">
        <v>65</v>
      </c>
      <c r="L696" s="75">
        <v>696</v>
      </c>
      <c r="M696" s="75"/>
      <c r="N696" s="70"/>
      <c r="O696" s="77" t="s">
        <v>179</v>
      </c>
      <c r="P696" s="79">
        <v>41977.68828703704</v>
      </c>
      <c r="Q696" s="77" t="s">
        <v>1106</v>
      </c>
      <c r="R696" s="77">
        <v>0</v>
      </c>
      <c r="S696" s="77">
        <v>0</v>
      </c>
      <c r="T696" s="77">
        <v>0</v>
      </c>
      <c r="U696" s="77">
        <v>0</v>
      </c>
      <c r="V696" s="77"/>
      <c r="W696" s="77"/>
      <c r="X696" s="80" t="str">
        <f>HYPERLINK("http://bit.ly/1yVI9Mx")</f>
        <v>http://bit.ly/1yVI9Mx</v>
      </c>
      <c r="Y696" s="77" t="s">
        <v>1984</v>
      </c>
      <c r="Z696" s="77"/>
      <c r="AA696" s="77"/>
      <c r="AB696" s="77"/>
      <c r="AC696" s="81" t="s">
        <v>2710</v>
      </c>
      <c r="AD696" s="77" t="s">
        <v>2751</v>
      </c>
      <c r="AE696" s="80" t="str">
        <f>HYPERLINK("https://twitter.com/expertjobsorg/status/540543839988363265")</f>
        <v>https://twitter.com/expertjobsorg/status/540543839988363265</v>
      </c>
      <c r="AF696" s="79">
        <v>41977.68828703704</v>
      </c>
      <c r="AG696" s="85">
        <v>41977</v>
      </c>
      <c r="AH696" s="81" t="s">
        <v>3296</v>
      </c>
      <c r="AI696" s="77" t="b">
        <v>0</v>
      </c>
      <c r="AJ696" s="77"/>
      <c r="AK696" s="77"/>
      <c r="AL696" s="77"/>
      <c r="AM696" s="77"/>
      <c r="AN696" s="77"/>
      <c r="AO696" s="77"/>
      <c r="AP696" s="77"/>
      <c r="AQ696" s="77"/>
      <c r="AR696" s="77"/>
      <c r="AS696" s="77"/>
      <c r="AT696" s="77"/>
      <c r="AU696" s="77"/>
      <c r="AV696" s="80" t="str">
        <f>HYPERLINK("https://pbs.twimg.com/profile_images/475691913702408192/Lt4oX9Nv_normal.jpeg")</f>
        <v>https://pbs.twimg.com/profile_images/475691913702408192/Lt4oX9Nv_normal.jpeg</v>
      </c>
      <c r="AW696" s="81" t="s">
        <v>5042</v>
      </c>
      <c r="AX696" s="81" t="s">
        <v>5042</v>
      </c>
      <c r="AY696" s="77"/>
      <c r="AZ696" s="81" t="s">
        <v>5773</v>
      </c>
      <c r="BA696" s="81" t="s">
        <v>5773</v>
      </c>
      <c r="BB696" s="81" t="s">
        <v>5773</v>
      </c>
      <c r="BC696" s="81" t="s">
        <v>5042</v>
      </c>
      <c r="BD696" s="77">
        <v>2555190554</v>
      </c>
      <c r="BE696" s="77"/>
      <c r="BF696" s="77"/>
      <c r="BG696" s="77"/>
      <c r="BH696" s="77"/>
      <c r="BI696" s="77"/>
    </row>
    <row r="697" spans="1:61" ht="15">
      <c r="A697" s="62" t="s">
        <v>410</v>
      </c>
      <c r="B697" s="62" t="s">
        <v>410</v>
      </c>
      <c r="C697" s="63"/>
      <c r="D697" s="64"/>
      <c r="E697" s="65"/>
      <c r="F697" s="66"/>
      <c r="G697" s="63"/>
      <c r="H697" s="67"/>
      <c r="I697" s="68"/>
      <c r="J697" s="68"/>
      <c r="K697" s="32" t="s">
        <v>65</v>
      </c>
      <c r="L697" s="75">
        <v>697</v>
      </c>
      <c r="M697" s="75"/>
      <c r="N697" s="70"/>
      <c r="O697" s="77" t="s">
        <v>179</v>
      </c>
      <c r="P697" s="79">
        <v>41977.46891203704</v>
      </c>
      <c r="Q697" s="77" t="s">
        <v>1103</v>
      </c>
      <c r="R697" s="77">
        <v>0</v>
      </c>
      <c r="S697" s="77">
        <v>0</v>
      </c>
      <c r="T697" s="77">
        <v>0</v>
      </c>
      <c r="U697" s="77">
        <v>0</v>
      </c>
      <c r="V697" s="77"/>
      <c r="W697" s="77"/>
      <c r="X697" s="80" t="str">
        <f>HYPERLINK("http://bit.ly/1ypmGeY")</f>
        <v>http://bit.ly/1ypmGeY</v>
      </c>
      <c r="Y697" s="77" t="s">
        <v>1984</v>
      </c>
      <c r="Z697" s="77"/>
      <c r="AA697" s="77"/>
      <c r="AB697" s="77"/>
      <c r="AC697" s="81" t="s">
        <v>2710</v>
      </c>
      <c r="AD697" s="77" t="s">
        <v>2751</v>
      </c>
      <c r="AE697" s="80" t="str">
        <f>HYPERLINK("https://twitter.com/expertjobsorg/status/540464338570854400")</f>
        <v>https://twitter.com/expertjobsorg/status/540464338570854400</v>
      </c>
      <c r="AF697" s="79">
        <v>41977.46891203704</v>
      </c>
      <c r="AG697" s="85">
        <v>41977</v>
      </c>
      <c r="AH697" s="81" t="s">
        <v>3297</v>
      </c>
      <c r="AI697" s="77" t="b">
        <v>0</v>
      </c>
      <c r="AJ697" s="77"/>
      <c r="AK697" s="77"/>
      <c r="AL697" s="77"/>
      <c r="AM697" s="77"/>
      <c r="AN697" s="77"/>
      <c r="AO697" s="77"/>
      <c r="AP697" s="77"/>
      <c r="AQ697" s="77"/>
      <c r="AR697" s="77"/>
      <c r="AS697" s="77"/>
      <c r="AT697" s="77"/>
      <c r="AU697" s="77"/>
      <c r="AV697" s="80" t="str">
        <f>HYPERLINK("https://pbs.twimg.com/profile_images/475691913702408192/Lt4oX9Nv_normal.jpeg")</f>
        <v>https://pbs.twimg.com/profile_images/475691913702408192/Lt4oX9Nv_normal.jpeg</v>
      </c>
      <c r="AW697" s="81" t="s">
        <v>5043</v>
      </c>
      <c r="AX697" s="81" t="s">
        <v>5043</v>
      </c>
      <c r="AY697" s="77"/>
      <c r="AZ697" s="81" t="s">
        <v>5773</v>
      </c>
      <c r="BA697" s="81" t="s">
        <v>5773</v>
      </c>
      <c r="BB697" s="81" t="s">
        <v>5773</v>
      </c>
      <c r="BC697" s="81" t="s">
        <v>5043</v>
      </c>
      <c r="BD697" s="77">
        <v>2555190554</v>
      </c>
      <c r="BE697" s="77"/>
      <c r="BF697" s="77"/>
      <c r="BG697" s="77"/>
      <c r="BH697" s="77"/>
      <c r="BI697" s="77"/>
    </row>
    <row r="698" spans="1:61" ht="15">
      <c r="A698" s="62" t="s">
        <v>410</v>
      </c>
      <c r="B698" s="62" t="s">
        <v>410</v>
      </c>
      <c r="C698" s="63"/>
      <c r="D698" s="64"/>
      <c r="E698" s="65"/>
      <c r="F698" s="66"/>
      <c r="G698" s="63"/>
      <c r="H698" s="67"/>
      <c r="I698" s="68"/>
      <c r="J698" s="68"/>
      <c r="K698" s="32" t="s">
        <v>65</v>
      </c>
      <c r="L698" s="75">
        <v>698</v>
      </c>
      <c r="M698" s="75"/>
      <c r="N698" s="70"/>
      <c r="O698" s="77" t="s">
        <v>179</v>
      </c>
      <c r="P698" s="79">
        <v>41976.66091435185</v>
      </c>
      <c r="Q698" s="77" t="s">
        <v>1107</v>
      </c>
      <c r="R698" s="77">
        <v>0</v>
      </c>
      <c r="S698" s="77">
        <v>0</v>
      </c>
      <c r="T698" s="77">
        <v>0</v>
      </c>
      <c r="U698" s="77">
        <v>0</v>
      </c>
      <c r="V698" s="77"/>
      <c r="W698" s="77"/>
      <c r="X698" s="80" t="str">
        <f>HYPERLINK("http://bit.ly/1zjnIra")</f>
        <v>http://bit.ly/1zjnIra</v>
      </c>
      <c r="Y698" s="77" t="s">
        <v>1984</v>
      </c>
      <c r="Z698" s="77"/>
      <c r="AA698" s="77"/>
      <c r="AB698" s="77"/>
      <c r="AC698" s="81" t="s">
        <v>2710</v>
      </c>
      <c r="AD698" s="77" t="s">
        <v>2751</v>
      </c>
      <c r="AE698" s="80" t="str">
        <f>HYPERLINK("https://twitter.com/expertjobsorg/status/540171529603276800")</f>
        <v>https://twitter.com/expertjobsorg/status/540171529603276800</v>
      </c>
      <c r="AF698" s="79">
        <v>41976.66091435185</v>
      </c>
      <c r="AG698" s="85">
        <v>41976</v>
      </c>
      <c r="AH698" s="81" t="s">
        <v>3298</v>
      </c>
      <c r="AI698" s="77" t="b">
        <v>0</v>
      </c>
      <c r="AJ698" s="77"/>
      <c r="AK698" s="77"/>
      <c r="AL698" s="77"/>
      <c r="AM698" s="77"/>
      <c r="AN698" s="77"/>
      <c r="AO698" s="77"/>
      <c r="AP698" s="77"/>
      <c r="AQ698" s="77"/>
      <c r="AR698" s="77"/>
      <c r="AS698" s="77"/>
      <c r="AT698" s="77"/>
      <c r="AU698" s="77"/>
      <c r="AV698" s="80" t="str">
        <f>HYPERLINK("https://pbs.twimg.com/profile_images/475691913702408192/Lt4oX9Nv_normal.jpeg")</f>
        <v>https://pbs.twimg.com/profile_images/475691913702408192/Lt4oX9Nv_normal.jpeg</v>
      </c>
      <c r="AW698" s="81" t="s">
        <v>5044</v>
      </c>
      <c r="AX698" s="81" t="s">
        <v>5044</v>
      </c>
      <c r="AY698" s="77"/>
      <c r="AZ698" s="81" t="s">
        <v>5773</v>
      </c>
      <c r="BA698" s="81" t="s">
        <v>5773</v>
      </c>
      <c r="BB698" s="81" t="s">
        <v>5773</v>
      </c>
      <c r="BC698" s="81" t="s">
        <v>5044</v>
      </c>
      <c r="BD698" s="77">
        <v>2555190554</v>
      </c>
      <c r="BE698" s="77"/>
      <c r="BF698" s="77"/>
      <c r="BG698" s="77"/>
      <c r="BH698" s="77"/>
      <c r="BI698" s="77"/>
    </row>
    <row r="699" spans="1:61" ht="15">
      <c r="A699" s="62" t="s">
        <v>410</v>
      </c>
      <c r="B699" s="62" t="s">
        <v>410</v>
      </c>
      <c r="C699" s="63"/>
      <c r="D699" s="64"/>
      <c r="E699" s="65"/>
      <c r="F699" s="66"/>
      <c r="G699" s="63"/>
      <c r="H699" s="67"/>
      <c r="I699" s="68"/>
      <c r="J699" s="68"/>
      <c r="K699" s="32" t="s">
        <v>65</v>
      </c>
      <c r="L699" s="75">
        <v>699</v>
      </c>
      <c r="M699" s="75"/>
      <c r="N699" s="70"/>
      <c r="O699" s="77" t="s">
        <v>179</v>
      </c>
      <c r="P699" s="79">
        <v>41976.50225694444</v>
      </c>
      <c r="Q699" s="77" t="s">
        <v>1108</v>
      </c>
      <c r="R699" s="77">
        <v>0</v>
      </c>
      <c r="S699" s="77">
        <v>0</v>
      </c>
      <c r="T699" s="77">
        <v>0</v>
      </c>
      <c r="U699" s="77">
        <v>0</v>
      </c>
      <c r="V699" s="77"/>
      <c r="W699" s="77"/>
      <c r="X699" s="80" t="str">
        <f>HYPERLINK("http://bit.ly/1zis5mi")</f>
        <v>http://bit.ly/1zis5mi</v>
      </c>
      <c r="Y699" s="77" t="s">
        <v>1984</v>
      </c>
      <c r="Z699" s="77"/>
      <c r="AA699" s="77"/>
      <c r="AB699" s="77"/>
      <c r="AC699" s="81" t="s">
        <v>2710</v>
      </c>
      <c r="AD699" s="77" t="s">
        <v>2751</v>
      </c>
      <c r="AE699" s="80" t="str">
        <f>HYPERLINK("https://twitter.com/expertjobsorg/status/540114036462202880")</f>
        <v>https://twitter.com/expertjobsorg/status/540114036462202880</v>
      </c>
      <c r="AF699" s="79">
        <v>41976.50225694444</v>
      </c>
      <c r="AG699" s="85">
        <v>41976</v>
      </c>
      <c r="AH699" s="81" t="s">
        <v>3299</v>
      </c>
      <c r="AI699" s="77" t="b">
        <v>0</v>
      </c>
      <c r="AJ699" s="77"/>
      <c r="AK699" s="77"/>
      <c r="AL699" s="77"/>
      <c r="AM699" s="77"/>
      <c r="AN699" s="77"/>
      <c r="AO699" s="77"/>
      <c r="AP699" s="77"/>
      <c r="AQ699" s="77"/>
      <c r="AR699" s="77"/>
      <c r="AS699" s="77"/>
      <c r="AT699" s="77"/>
      <c r="AU699" s="77"/>
      <c r="AV699" s="80" t="str">
        <f>HYPERLINK("https://pbs.twimg.com/profile_images/475691913702408192/Lt4oX9Nv_normal.jpeg")</f>
        <v>https://pbs.twimg.com/profile_images/475691913702408192/Lt4oX9Nv_normal.jpeg</v>
      </c>
      <c r="AW699" s="81" t="s">
        <v>5045</v>
      </c>
      <c r="AX699" s="81" t="s">
        <v>5045</v>
      </c>
      <c r="AY699" s="77"/>
      <c r="AZ699" s="81" t="s">
        <v>5773</v>
      </c>
      <c r="BA699" s="81" t="s">
        <v>5773</v>
      </c>
      <c r="BB699" s="81" t="s">
        <v>5773</v>
      </c>
      <c r="BC699" s="81" t="s">
        <v>5045</v>
      </c>
      <c r="BD699" s="77">
        <v>2555190554</v>
      </c>
      <c r="BE699" s="77"/>
      <c r="BF699" s="77"/>
      <c r="BG699" s="77"/>
      <c r="BH699" s="77"/>
      <c r="BI699" s="77"/>
    </row>
    <row r="700" spans="1:61" ht="15">
      <c r="A700" s="62" t="s">
        <v>410</v>
      </c>
      <c r="B700" s="62" t="s">
        <v>410</v>
      </c>
      <c r="C700" s="63"/>
      <c r="D700" s="64"/>
      <c r="E700" s="65"/>
      <c r="F700" s="66"/>
      <c r="G700" s="63"/>
      <c r="H700" s="67"/>
      <c r="I700" s="68"/>
      <c r="J700" s="68"/>
      <c r="K700" s="32" t="s">
        <v>65</v>
      </c>
      <c r="L700" s="75">
        <v>700</v>
      </c>
      <c r="M700" s="75"/>
      <c r="N700" s="70"/>
      <c r="O700" s="77" t="s">
        <v>179</v>
      </c>
      <c r="P700" s="79">
        <v>42136.99925925926</v>
      </c>
      <c r="Q700" s="77" t="s">
        <v>1109</v>
      </c>
      <c r="R700" s="77">
        <v>0</v>
      </c>
      <c r="S700" s="77">
        <v>0</v>
      </c>
      <c r="T700" s="77">
        <v>0</v>
      </c>
      <c r="U700" s="77">
        <v>0</v>
      </c>
      <c r="V700" s="77"/>
      <c r="W700" s="77"/>
      <c r="X700" s="80" t="str">
        <f>HYPERLINK("http://bit.ly/1HcxbVT")</f>
        <v>http://bit.ly/1HcxbVT</v>
      </c>
      <c r="Y700" s="77" t="s">
        <v>1984</v>
      </c>
      <c r="Z700" s="77"/>
      <c r="AA700" s="77"/>
      <c r="AB700" s="77"/>
      <c r="AC700" s="81" t="s">
        <v>2710</v>
      </c>
      <c r="AD700" s="77" t="s">
        <v>2751</v>
      </c>
      <c r="AE700" s="80" t="str">
        <f>HYPERLINK("https://twitter.com/expertjobsorg/status/598276199643803648")</f>
        <v>https://twitter.com/expertjobsorg/status/598276199643803648</v>
      </c>
      <c r="AF700" s="79">
        <v>42136.99925925926</v>
      </c>
      <c r="AG700" s="85">
        <v>42136</v>
      </c>
      <c r="AH700" s="81" t="s">
        <v>3300</v>
      </c>
      <c r="AI700" s="77" t="b">
        <v>0</v>
      </c>
      <c r="AJ700" s="77"/>
      <c r="AK700" s="77"/>
      <c r="AL700" s="77"/>
      <c r="AM700" s="77"/>
      <c r="AN700" s="77"/>
      <c r="AO700" s="77"/>
      <c r="AP700" s="77"/>
      <c r="AQ700" s="77"/>
      <c r="AR700" s="77"/>
      <c r="AS700" s="77"/>
      <c r="AT700" s="77"/>
      <c r="AU700" s="77"/>
      <c r="AV700" s="80" t="str">
        <f>HYPERLINK("https://pbs.twimg.com/profile_images/475691913702408192/Lt4oX9Nv_normal.jpeg")</f>
        <v>https://pbs.twimg.com/profile_images/475691913702408192/Lt4oX9Nv_normal.jpeg</v>
      </c>
      <c r="AW700" s="81" t="s">
        <v>5046</v>
      </c>
      <c r="AX700" s="81" t="s">
        <v>5046</v>
      </c>
      <c r="AY700" s="77"/>
      <c r="AZ700" s="81" t="s">
        <v>5773</v>
      </c>
      <c r="BA700" s="81" t="s">
        <v>5773</v>
      </c>
      <c r="BB700" s="81" t="s">
        <v>5773</v>
      </c>
      <c r="BC700" s="81" t="s">
        <v>5046</v>
      </c>
      <c r="BD700" s="77">
        <v>2555190554</v>
      </c>
      <c r="BE700" s="77"/>
      <c r="BF700" s="77"/>
      <c r="BG700" s="77"/>
      <c r="BH700" s="77"/>
      <c r="BI700" s="77"/>
    </row>
    <row r="701" spans="1:61" ht="15">
      <c r="A701" s="62" t="s">
        <v>410</v>
      </c>
      <c r="B701" s="62" t="s">
        <v>410</v>
      </c>
      <c r="C701" s="63"/>
      <c r="D701" s="64"/>
      <c r="E701" s="65"/>
      <c r="F701" s="66"/>
      <c r="G701" s="63"/>
      <c r="H701" s="67"/>
      <c r="I701" s="68"/>
      <c r="J701" s="68"/>
      <c r="K701" s="32" t="s">
        <v>65</v>
      </c>
      <c r="L701" s="75">
        <v>701</v>
      </c>
      <c r="M701" s="75"/>
      <c r="N701" s="70"/>
      <c r="O701" s="77" t="s">
        <v>179</v>
      </c>
      <c r="P701" s="79">
        <v>42111.120729166665</v>
      </c>
      <c r="Q701" s="77" t="s">
        <v>1110</v>
      </c>
      <c r="R701" s="77">
        <v>0</v>
      </c>
      <c r="S701" s="77">
        <v>0</v>
      </c>
      <c r="T701" s="77">
        <v>0</v>
      </c>
      <c r="U701" s="77">
        <v>0</v>
      </c>
      <c r="V701" s="77"/>
      <c r="W701" s="77"/>
      <c r="X701" s="80" t="str">
        <f>HYPERLINK("http://bit.ly/1b05wwM")</f>
        <v>http://bit.ly/1b05wwM</v>
      </c>
      <c r="Y701" s="77" t="s">
        <v>1984</v>
      </c>
      <c r="Z701" s="77"/>
      <c r="AA701" s="77"/>
      <c r="AB701" s="77"/>
      <c r="AC701" s="81" t="s">
        <v>2710</v>
      </c>
      <c r="AD701" s="77" t="s">
        <v>2751</v>
      </c>
      <c r="AE701" s="80" t="str">
        <f>HYPERLINK("https://twitter.com/expertjobsorg/status/588898135616970752")</f>
        <v>https://twitter.com/expertjobsorg/status/588898135616970752</v>
      </c>
      <c r="AF701" s="79">
        <v>42111.120729166665</v>
      </c>
      <c r="AG701" s="85">
        <v>42111</v>
      </c>
      <c r="AH701" s="81" t="s">
        <v>3301</v>
      </c>
      <c r="AI701" s="77" t="b">
        <v>0</v>
      </c>
      <c r="AJ701" s="77"/>
      <c r="AK701" s="77"/>
      <c r="AL701" s="77"/>
      <c r="AM701" s="77"/>
      <c r="AN701" s="77"/>
      <c r="AO701" s="77"/>
      <c r="AP701" s="77"/>
      <c r="AQ701" s="77"/>
      <c r="AR701" s="77"/>
      <c r="AS701" s="77"/>
      <c r="AT701" s="77"/>
      <c r="AU701" s="77"/>
      <c r="AV701" s="80" t="str">
        <f>HYPERLINK("https://pbs.twimg.com/profile_images/475691913702408192/Lt4oX9Nv_normal.jpeg")</f>
        <v>https://pbs.twimg.com/profile_images/475691913702408192/Lt4oX9Nv_normal.jpeg</v>
      </c>
      <c r="AW701" s="81" t="s">
        <v>5047</v>
      </c>
      <c r="AX701" s="81" t="s">
        <v>5047</v>
      </c>
      <c r="AY701" s="77"/>
      <c r="AZ701" s="81" t="s">
        <v>5773</v>
      </c>
      <c r="BA701" s="81" t="s">
        <v>5773</v>
      </c>
      <c r="BB701" s="81" t="s">
        <v>5773</v>
      </c>
      <c r="BC701" s="81" t="s">
        <v>5047</v>
      </c>
      <c r="BD701" s="77">
        <v>2555190554</v>
      </c>
      <c r="BE701" s="77"/>
      <c r="BF701" s="77"/>
      <c r="BG701" s="77"/>
      <c r="BH701" s="77"/>
      <c r="BI701" s="77"/>
    </row>
    <row r="702" spans="1:61" ht="15">
      <c r="A702" s="62" t="s">
        <v>410</v>
      </c>
      <c r="B702" s="62" t="s">
        <v>410</v>
      </c>
      <c r="C702" s="63"/>
      <c r="D702" s="64"/>
      <c r="E702" s="65"/>
      <c r="F702" s="66"/>
      <c r="G702" s="63"/>
      <c r="H702" s="67"/>
      <c r="I702" s="68"/>
      <c r="J702" s="68"/>
      <c r="K702" s="32" t="s">
        <v>65</v>
      </c>
      <c r="L702" s="75">
        <v>702</v>
      </c>
      <c r="M702" s="75"/>
      <c r="N702" s="70"/>
      <c r="O702" s="77" t="s">
        <v>179</v>
      </c>
      <c r="P702" s="79">
        <v>42110.611030092594</v>
      </c>
      <c r="Q702" s="77" t="s">
        <v>1111</v>
      </c>
      <c r="R702" s="77">
        <v>0</v>
      </c>
      <c r="S702" s="77">
        <v>0</v>
      </c>
      <c r="T702" s="77">
        <v>0</v>
      </c>
      <c r="U702" s="77">
        <v>0</v>
      </c>
      <c r="V702" s="77"/>
      <c r="W702" s="77"/>
      <c r="X702" s="80" t="str">
        <f>HYPERLINK("http://bit.ly/1OiORRg")</f>
        <v>http://bit.ly/1OiORRg</v>
      </c>
      <c r="Y702" s="77" t="s">
        <v>1984</v>
      </c>
      <c r="Z702" s="77"/>
      <c r="AA702" s="77"/>
      <c r="AB702" s="77"/>
      <c r="AC702" s="81" t="s">
        <v>2710</v>
      </c>
      <c r="AD702" s="77" t="s">
        <v>2751</v>
      </c>
      <c r="AE702" s="80" t="str">
        <f>HYPERLINK("https://twitter.com/expertjobsorg/status/588713428463837184")</f>
        <v>https://twitter.com/expertjobsorg/status/588713428463837184</v>
      </c>
      <c r="AF702" s="79">
        <v>42110.611030092594</v>
      </c>
      <c r="AG702" s="85">
        <v>42110</v>
      </c>
      <c r="AH702" s="81" t="s">
        <v>3302</v>
      </c>
      <c r="AI702" s="77" t="b">
        <v>0</v>
      </c>
      <c r="AJ702" s="77"/>
      <c r="AK702" s="77"/>
      <c r="AL702" s="77"/>
      <c r="AM702" s="77"/>
      <c r="AN702" s="77"/>
      <c r="AO702" s="77"/>
      <c r="AP702" s="77"/>
      <c r="AQ702" s="77"/>
      <c r="AR702" s="77"/>
      <c r="AS702" s="77"/>
      <c r="AT702" s="77"/>
      <c r="AU702" s="77"/>
      <c r="AV702" s="80" t="str">
        <f>HYPERLINK("https://pbs.twimg.com/profile_images/475691913702408192/Lt4oX9Nv_normal.jpeg")</f>
        <v>https://pbs.twimg.com/profile_images/475691913702408192/Lt4oX9Nv_normal.jpeg</v>
      </c>
      <c r="AW702" s="81" t="s">
        <v>5048</v>
      </c>
      <c r="AX702" s="81" t="s">
        <v>5048</v>
      </c>
      <c r="AY702" s="77"/>
      <c r="AZ702" s="81" t="s">
        <v>5773</v>
      </c>
      <c r="BA702" s="81" t="s">
        <v>5773</v>
      </c>
      <c r="BB702" s="81" t="s">
        <v>5773</v>
      </c>
      <c r="BC702" s="81" t="s">
        <v>5048</v>
      </c>
      <c r="BD702" s="77">
        <v>2555190554</v>
      </c>
      <c r="BE702" s="77"/>
      <c r="BF702" s="77"/>
      <c r="BG702" s="77"/>
      <c r="BH702" s="77"/>
      <c r="BI702" s="77"/>
    </row>
    <row r="703" spans="1:61" ht="15">
      <c r="A703" s="62" t="s">
        <v>410</v>
      </c>
      <c r="B703" s="62" t="s">
        <v>410</v>
      </c>
      <c r="C703" s="63"/>
      <c r="D703" s="64"/>
      <c r="E703" s="65"/>
      <c r="F703" s="66"/>
      <c r="G703" s="63"/>
      <c r="H703" s="67"/>
      <c r="I703" s="68"/>
      <c r="J703" s="68"/>
      <c r="K703" s="32" t="s">
        <v>65</v>
      </c>
      <c r="L703" s="75">
        <v>703</v>
      </c>
      <c r="M703" s="75"/>
      <c r="N703" s="70"/>
      <c r="O703" s="77" t="s">
        <v>179</v>
      </c>
      <c r="P703" s="79">
        <v>42108.772777777776</v>
      </c>
      <c r="Q703" s="77" t="s">
        <v>1112</v>
      </c>
      <c r="R703" s="77">
        <v>0</v>
      </c>
      <c r="S703" s="77">
        <v>0</v>
      </c>
      <c r="T703" s="77">
        <v>0</v>
      </c>
      <c r="U703" s="77">
        <v>0</v>
      </c>
      <c r="V703" s="77"/>
      <c r="W703" s="77"/>
      <c r="X703" s="80" t="str">
        <f>HYPERLINK("http://bit.ly/1yotgVy")</f>
        <v>http://bit.ly/1yotgVy</v>
      </c>
      <c r="Y703" s="77" t="s">
        <v>1984</v>
      </c>
      <c r="Z703" s="77"/>
      <c r="AA703" s="77"/>
      <c r="AB703" s="77"/>
      <c r="AC703" s="81" t="s">
        <v>2710</v>
      </c>
      <c r="AD703" s="77" t="s">
        <v>2751</v>
      </c>
      <c r="AE703" s="80" t="str">
        <f>HYPERLINK("https://twitter.com/expertjobsorg/status/588047268315533312")</f>
        <v>https://twitter.com/expertjobsorg/status/588047268315533312</v>
      </c>
      <c r="AF703" s="79">
        <v>42108.772777777776</v>
      </c>
      <c r="AG703" s="85">
        <v>42108</v>
      </c>
      <c r="AH703" s="81" t="s">
        <v>3303</v>
      </c>
      <c r="AI703" s="77" t="b">
        <v>0</v>
      </c>
      <c r="AJ703" s="77"/>
      <c r="AK703" s="77"/>
      <c r="AL703" s="77"/>
      <c r="AM703" s="77"/>
      <c r="AN703" s="77"/>
      <c r="AO703" s="77"/>
      <c r="AP703" s="77"/>
      <c r="AQ703" s="77"/>
      <c r="AR703" s="77"/>
      <c r="AS703" s="77"/>
      <c r="AT703" s="77"/>
      <c r="AU703" s="77"/>
      <c r="AV703" s="80" t="str">
        <f>HYPERLINK("https://pbs.twimg.com/profile_images/475691913702408192/Lt4oX9Nv_normal.jpeg")</f>
        <v>https://pbs.twimg.com/profile_images/475691913702408192/Lt4oX9Nv_normal.jpeg</v>
      </c>
      <c r="AW703" s="81" t="s">
        <v>5049</v>
      </c>
      <c r="AX703" s="81" t="s">
        <v>5049</v>
      </c>
      <c r="AY703" s="77"/>
      <c r="AZ703" s="81" t="s">
        <v>5773</v>
      </c>
      <c r="BA703" s="81" t="s">
        <v>5773</v>
      </c>
      <c r="BB703" s="81" t="s">
        <v>5773</v>
      </c>
      <c r="BC703" s="81" t="s">
        <v>5049</v>
      </c>
      <c r="BD703" s="77">
        <v>2555190554</v>
      </c>
      <c r="BE703" s="77"/>
      <c r="BF703" s="77"/>
      <c r="BG703" s="77"/>
      <c r="BH703" s="77"/>
      <c r="BI703" s="77"/>
    </row>
    <row r="704" spans="1:61" ht="15">
      <c r="A704" s="62" t="s">
        <v>410</v>
      </c>
      <c r="B704" s="62" t="s">
        <v>410</v>
      </c>
      <c r="C704" s="63"/>
      <c r="D704" s="64"/>
      <c r="E704" s="65"/>
      <c r="F704" s="66"/>
      <c r="G704" s="63"/>
      <c r="H704" s="67"/>
      <c r="I704" s="68"/>
      <c r="J704" s="68"/>
      <c r="K704" s="32" t="s">
        <v>65</v>
      </c>
      <c r="L704" s="75">
        <v>704</v>
      </c>
      <c r="M704" s="75"/>
      <c r="N704" s="70"/>
      <c r="O704" s="77" t="s">
        <v>179</v>
      </c>
      <c r="P704" s="79">
        <v>42108.71859953704</v>
      </c>
      <c r="Q704" s="77" t="s">
        <v>1110</v>
      </c>
      <c r="R704" s="77">
        <v>0</v>
      </c>
      <c r="S704" s="77">
        <v>0</v>
      </c>
      <c r="T704" s="77">
        <v>0</v>
      </c>
      <c r="U704" s="77">
        <v>0</v>
      </c>
      <c r="V704" s="77"/>
      <c r="W704" s="77"/>
      <c r="X704" s="80" t="str">
        <f>HYPERLINK("http://bit.ly/1b05wwM")</f>
        <v>http://bit.ly/1b05wwM</v>
      </c>
      <c r="Y704" s="77" t="s">
        <v>1984</v>
      </c>
      <c r="Z704" s="77"/>
      <c r="AA704" s="77"/>
      <c r="AB704" s="77"/>
      <c r="AC704" s="81" t="s">
        <v>2710</v>
      </c>
      <c r="AD704" s="77" t="s">
        <v>2751</v>
      </c>
      <c r="AE704" s="80" t="str">
        <f>HYPERLINK("https://twitter.com/expertjobsorg/status/588027635424481281")</f>
        <v>https://twitter.com/expertjobsorg/status/588027635424481281</v>
      </c>
      <c r="AF704" s="79">
        <v>42108.71859953704</v>
      </c>
      <c r="AG704" s="85">
        <v>42108</v>
      </c>
      <c r="AH704" s="81" t="s">
        <v>3304</v>
      </c>
      <c r="AI704" s="77" t="b">
        <v>0</v>
      </c>
      <c r="AJ704" s="77"/>
      <c r="AK704" s="77"/>
      <c r="AL704" s="77"/>
      <c r="AM704" s="77"/>
      <c r="AN704" s="77"/>
      <c r="AO704" s="77"/>
      <c r="AP704" s="77"/>
      <c r="AQ704" s="77"/>
      <c r="AR704" s="77"/>
      <c r="AS704" s="77"/>
      <c r="AT704" s="77"/>
      <c r="AU704" s="77"/>
      <c r="AV704" s="80" t="str">
        <f>HYPERLINK("https://pbs.twimg.com/profile_images/475691913702408192/Lt4oX9Nv_normal.jpeg")</f>
        <v>https://pbs.twimg.com/profile_images/475691913702408192/Lt4oX9Nv_normal.jpeg</v>
      </c>
      <c r="AW704" s="81" t="s">
        <v>5050</v>
      </c>
      <c r="AX704" s="81" t="s">
        <v>5050</v>
      </c>
      <c r="AY704" s="77"/>
      <c r="AZ704" s="81" t="s">
        <v>5773</v>
      </c>
      <c r="BA704" s="81" t="s">
        <v>5773</v>
      </c>
      <c r="BB704" s="81" t="s">
        <v>5773</v>
      </c>
      <c r="BC704" s="81" t="s">
        <v>5050</v>
      </c>
      <c r="BD704" s="77">
        <v>2555190554</v>
      </c>
      <c r="BE704" s="77"/>
      <c r="BF704" s="77"/>
      <c r="BG704" s="77"/>
      <c r="BH704" s="77"/>
      <c r="BI704" s="77"/>
    </row>
    <row r="705" spans="1:61" ht="15">
      <c r="A705" s="62" t="s">
        <v>410</v>
      </c>
      <c r="B705" s="62" t="s">
        <v>410</v>
      </c>
      <c r="C705" s="63"/>
      <c r="D705" s="64"/>
      <c r="E705" s="65"/>
      <c r="F705" s="66"/>
      <c r="G705" s="63"/>
      <c r="H705" s="67"/>
      <c r="I705" s="68"/>
      <c r="J705" s="68"/>
      <c r="K705" s="32" t="s">
        <v>65</v>
      </c>
      <c r="L705" s="75">
        <v>705</v>
      </c>
      <c r="M705" s="75"/>
      <c r="N705" s="70"/>
      <c r="O705" s="77" t="s">
        <v>179</v>
      </c>
      <c r="P705" s="79">
        <v>42108.62061342593</v>
      </c>
      <c r="Q705" s="77" t="s">
        <v>1113</v>
      </c>
      <c r="R705" s="77">
        <v>0</v>
      </c>
      <c r="S705" s="77">
        <v>0</v>
      </c>
      <c r="T705" s="77">
        <v>0</v>
      </c>
      <c r="U705" s="77">
        <v>0</v>
      </c>
      <c r="V705" s="77"/>
      <c r="W705" s="77"/>
      <c r="X705" s="80" t="str">
        <f>HYPERLINK("http://bit.ly/1artvDU")</f>
        <v>http://bit.ly/1artvDU</v>
      </c>
      <c r="Y705" s="77" t="s">
        <v>1984</v>
      </c>
      <c r="Z705" s="77"/>
      <c r="AA705" s="77"/>
      <c r="AB705" s="77"/>
      <c r="AC705" s="81" t="s">
        <v>2710</v>
      </c>
      <c r="AD705" s="77" t="s">
        <v>2751</v>
      </c>
      <c r="AE705" s="80" t="str">
        <f>HYPERLINK("https://twitter.com/expertjobsorg/status/587992124752265216")</f>
        <v>https://twitter.com/expertjobsorg/status/587992124752265216</v>
      </c>
      <c r="AF705" s="79">
        <v>42108.62061342593</v>
      </c>
      <c r="AG705" s="85">
        <v>42108</v>
      </c>
      <c r="AH705" s="81" t="s">
        <v>3305</v>
      </c>
      <c r="AI705" s="77" t="b">
        <v>0</v>
      </c>
      <c r="AJ705" s="77"/>
      <c r="AK705" s="77"/>
      <c r="AL705" s="77"/>
      <c r="AM705" s="77"/>
      <c r="AN705" s="77"/>
      <c r="AO705" s="77"/>
      <c r="AP705" s="77"/>
      <c r="AQ705" s="77"/>
      <c r="AR705" s="77"/>
      <c r="AS705" s="77"/>
      <c r="AT705" s="77"/>
      <c r="AU705" s="77"/>
      <c r="AV705" s="80" t="str">
        <f>HYPERLINK("https://pbs.twimg.com/profile_images/475691913702408192/Lt4oX9Nv_normal.jpeg")</f>
        <v>https://pbs.twimg.com/profile_images/475691913702408192/Lt4oX9Nv_normal.jpeg</v>
      </c>
      <c r="AW705" s="81" t="s">
        <v>5051</v>
      </c>
      <c r="AX705" s="81" t="s">
        <v>5051</v>
      </c>
      <c r="AY705" s="77"/>
      <c r="AZ705" s="81" t="s">
        <v>5773</v>
      </c>
      <c r="BA705" s="81" t="s">
        <v>5773</v>
      </c>
      <c r="BB705" s="81" t="s">
        <v>5773</v>
      </c>
      <c r="BC705" s="81" t="s">
        <v>5051</v>
      </c>
      <c r="BD705" s="77">
        <v>2555190554</v>
      </c>
      <c r="BE705" s="77"/>
      <c r="BF705" s="77"/>
      <c r="BG705" s="77"/>
      <c r="BH705" s="77"/>
      <c r="BI705" s="77"/>
    </row>
    <row r="706" spans="1:61" ht="15">
      <c r="A706" s="62" t="s">
        <v>410</v>
      </c>
      <c r="B706" s="62" t="s">
        <v>410</v>
      </c>
      <c r="C706" s="63"/>
      <c r="D706" s="64"/>
      <c r="E706" s="65"/>
      <c r="F706" s="66"/>
      <c r="G706" s="63"/>
      <c r="H706" s="67"/>
      <c r="I706" s="68"/>
      <c r="J706" s="68"/>
      <c r="K706" s="32" t="s">
        <v>65</v>
      </c>
      <c r="L706" s="75">
        <v>706</v>
      </c>
      <c r="M706" s="75"/>
      <c r="N706" s="70"/>
      <c r="O706" s="77" t="s">
        <v>179</v>
      </c>
      <c r="P706" s="79">
        <v>41897.924409722225</v>
      </c>
      <c r="Q706" s="77" t="s">
        <v>1114</v>
      </c>
      <c r="R706" s="77">
        <v>0</v>
      </c>
      <c r="S706" s="77">
        <v>0</v>
      </c>
      <c r="T706" s="77">
        <v>0</v>
      </c>
      <c r="U706" s="77">
        <v>0</v>
      </c>
      <c r="V706" s="77"/>
      <c r="W706" s="77"/>
      <c r="X706" s="80" t="str">
        <f>HYPERLINK("http://bit.ly/1oRAh6P")</f>
        <v>http://bit.ly/1oRAh6P</v>
      </c>
      <c r="Y706" s="77" t="s">
        <v>1984</v>
      </c>
      <c r="Z706" s="77"/>
      <c r="AA706" s="77"/>
      <c r="AB706" s="77"/>
      <c r="AC706" s="81" t="s">
        <v>2710</v>
      </c>
      <c r="AD706" s="77" t="s">
        <v>2751</v>
      </c>
      <c r="AE706" s="80" t="str">
        <f>HYPERLINK("https://twitter.com/expertjobsorg/status/511638378329423872")</f>
        <v>https://twitter.com/expertjobsorg/status/511638378329423872</v>
      </c>
      <c r="AF706" s="79">
        <v>41897.924409722225</v>
      </c>
      <c r="AG706" s="85">
        <v>41897</v>
      </c>
      <c r="AH706" s="81" t="s">
        <v>3306</v>
      </c>
      <c r="AI706" s="77" t="b">
        <v>0</v>
      </c>
      <c r="AJ706" s="77"/>
      <c r="AK706" s="77"/>
      <c r="AL706" s="77"/>
      <c r="AM706" s="77"/>
      <c r="AN706" s="77"/>
      <c r="AO706" s="77"/>
      <c r="AP706" s="77"/>
      <c r="AQ706" s="77"/>
      <c r="AR706" s="77"/>
      <c r="AS706" s="77"/>
      <c r="AT706" s="77"/>
      <c r="AU706" s="77"/>
      <c r="AV706" s="80" t="str">
        <f>HYPERLINK("https://pbs.twimg.com/profile_images/475691913702408192/Lt4oX9Nv_normal.jpeg")</f>
        <v>https://pbs.twimg.com/profile_images/475691913702408192/Lt4oX9Nv_normal.jpeg</v>
      </c>
      <c r="AW706" s="81" t="s">
        <v>5052</v>
      </c>
      <c r="AX706" s="81" t="s">
        <v>5052</v>
      </c>
      <c r="AY706" s="77"/>
      <c r="AZ706" s="81" t="s">
        <v>5773</v>
      </c>
      <c r="BA706" s="81" t="s">
        <v>5773</v>
      </c>
      <c r="BB706" s="81" t="s">
        <v>5773</v>
      </c>
      <c r="BC706" s="81" t="s">
        <v>5052</v>
      </c>
      <c r="BD706" s="77">
        <v>2555190554</v>
      </c>
      <c r="BE706" s="77"/>
      <c r="BF706" s="77"/>
      <c r="BG706" s="77"/>
      <c r="BH706" s="77"/>
      <c r="BI706" s="77"/>
    </row>
    <row r="707" spans="1:61" ht="15">
      <c r="A707" s="62" t="s">
        <v>410</v>
      </c>
      <c r="B707" s="62" t="s">
        <v>410</v>
      </c>
      <c r="C707" s="63"/>
      <c r="D707" s="64"/>
      <c r="E707" s="65"/>
      <c r="F707" s="66"/>
      <c r="G707" s="63"/>
      <c r="H707" s="67"/>
      <c r="I707" s="68"/>
      <c r="J707" s="68"/>
      <c r="K707" s="32" t="s">
        <v>65</v>
      </c>
      <c r="L707" s="75">
        <v>707</v>
      </c>
      <c r="M707" s="75"/>
      <c r="N707" s="70"/>
      <c r="O707" s="77" t="s">
        <v>179</v>
      </c>
      <c r="P707" s="79">
        <v>41897.45055555556</v>
      </c>
      <c r="Q707" s="77" t="s">
        <v>1115</v>
      </c>
      <c r="R707" s="77">
        <v>0</v>
      </c>
      <c r="S707" s="77">
        <v>0</v>
      </c>
      <c r="T707" s="77">
        <v>0</v>
      </c>
      <c r="U707" s="77">
        <v>0</v>
      </c>
      <c r="V707" s="77"/>
      <c r="W707" s="77"/>
      <c r="X707" s="80" t="str">
        <f>HYPERLINK("http://bit.ly/1s8LVew")</f>
        <v>http://bit.ly/1s8LVew</v>
      </c>
      <c r="Y707" s="77" t="s">
        <v>1984</v>
      </c>
      <c r="Z707" s="77"/>
      <c r="AA707" s="77"/>
      <c r="AB707" s="77"/>
      <c r="AC707" s="81" t="s">
        <v>2710</v>
      </c>
      <c r="AD707" s="77" t="s">
        <v>2751</v>
      </c>
      <c r="AE707" s="80" t="str">
        <f>HYPERLINK("https://twitter.com/expertjobsorg/status/511466658633097216")</f>
        <v>https://twitter.com/expertjobsorg/status/511466658633097216</v>
      </c>
      <c r="AF707" s="79">
        <v>41897.45055555556</v>
      </c>
      <c r="AG707" s="85">
        <v>41897</v>
      </c>
      <c r="AH707" s="81" t="s">
        <v>3307</v>
      </c>
      <c r="AI707" s="77" t="b">
        <v>0</v>
      </c>
      <c r="AJ707" s="77"/>
      <c r="AK707" s="77"/>
      <c r="AL707" s="77"/>
      <c r="AM707" s="77"/>
      <c r="AN707" s="77"/>
      <c r="AO707" s="77"/>
      <c r="AP707" s="77"/>
      <c r="AQ707" s="77"/>
      <c r="AR707" s="77"/>
      <c r="AS707" s="77"/>
      <c r="AT707" s="77"/>
      <c r="AU707" s="77"/>
      <c r="AV707" s="80" t="str">
        <f>HYPERLINK("https://pbs.twimg.com/profile_images/475691913702408192/Lt4oX9Nv_normal.jpeg")</f>
        <v>https://pbs.twimg.com/profile_images/475691913702408192/Lt4oX9Nv_normal.jpeg</v>
      </c>
      <c r="AW707" s="81" t="s">
        <v>5053</v>
      </c>
      <c r="AX707" s="81" t="s">
        <v>5053</v>
      </c>
      <c r="AY707" s="77"/>
      <c r="AZ707" s="81" t="s">
        <v>5773</v>
      </c>
      <c r="BA707" s="81" t="s">
        <v>5773</v>
      </c>
      <c r="BB707" s="81" t="s">
        <v>5773</v>
      </c>
      <c r="BC707" s="81" t="s">
        <v>5053</v>
      </c>
      <c r="BD707" s="77">
        <v>2555190554</v>
      </c>
      <c r="BE707" s="77"/>
      <c r="BF707" s="77"/>
      <c r="BG707" s="77"/>
      <c r="BH707" s="77"/>
      <c r="BI707" s="77"/>
    </row>
    <row r="708" spans="1:61" ht="15">
      <c r="A708" s="62" t="s">
        <v>411</v>
      </c>
      <c r="B708" s="62" t="s">
        <v>568</v>
      </c>
      <c r="C708" s="63"/>
      <c r="D708" s="64"/>
      <c r="E708" s="65"/>
      <c r="F708" s="66"/>
      <c r="G708" s="63"/>
      <c r="H708" s="67"/>
      <c r="I708" s="68"/>
      <c r="J708" s="68"/>
      <c r="K708" s="32" t="s">
        <v>65</v>
      </c>
      <c r="L708" s="75">
        <v>708</v>
      </c>
      <c r="M708" s="75"/>
      <c r="N708" s="70"/>
      <c r="O708" s="77" t="s">
        <v>572</v>
      </c>
      <c r="P708" s="79">
        <v>45260.157175925924</v>
      </c>
      <c r="Q708" s="77" t="s">
        <v>1116</v>
      </c>
      <c r="R708" s="77">
        <v>0</v>
      </c>
      <c r="S708" s="77">
        <v>0</v>
      </c>
      <c r="T708" s="77">
        <v>0</v>
      </c>
      <c r="U708" s="77">
        <v>0</v>
      </c>
      <c r="V708" s="77">
        <v>10</v>
      </c>
      <c r="W708" s="77"/>
      <c r="X708" s="77"/>
      <c r="Y708" s="77"/>
      <c r="Z708" s="77" t="s">
        <v>568</v>
      </c>
      <c r="AA708" s="77"/>
      <c r="AB708" s="77"/>
      <c r="AC708" s="81" t="s">
        <v>2701</v>
      </c>
      <c r="AD708" s="77" t="s">
        <v>2751</v>
      </c>
      <c r="AE708" s="80" t="str">
        <f>HYPERLINK("https://twitter.com/darbeputtur/status/1730070731931672786")</f>
        <v>https://twitter.com/darbeputtur/status/1730070731931672786</v>
      </c>
      <c r="AF708" s="79">
        <v>45260.157175925924</v>
      </c>
      <c r="AG708" s="85">
        <v>45260</v>
      </c>
      <c r="AH708" s="81" t="s">
        <v>3308</v>
      </c>
      <c r="AI708" s="77"/>
      <c r="AJ708" s="77"/>
      <c r="AK708" s="77"/>
      <c r="AL708" s="77"/>
      <c r="AM708" s="77"/>
      <c r="AN708" s="77"/>
      <c r="AO708" s="77"/>
      <c r="AP708" s="77"/>
      <c r="AQ708" s="77"/>
      <c r="AR708" s="77"/>
      <c r="AS708" s="77"/>
      <c r="AT708" s="77"/>
      <c r="AU708" s="77"/>
      <c r="AV708" s="80" t="str">
        <f>HYPERLINK("https://pbs.twimg.com/profile_images/1690602207912321024/0h5SO3kd_normal.jpg")</f>
        <v>https://pbs.twimg.com/profile_images/1690602207912321024/0h5SO3kd_normal.jpg</v>
      </c>
      <c r="AW708" s="81" t="s">
        <v>5054</v>
      </c>
      <c r="AX708" s="81" t="s">
        <v>5717</v>
      </c>
      <c r="AY708" s="81" t="s">
        <v>5771</v>
      </c>
      <c r="AZ708" s="81" t="s">
        <v>5717</v>
      </c>
      <c r="BA708" s="81" t="s">
        <v>5773</v>
      </c>
      <c r="BB708" s="81" t="s">
        <v>5773</v>
      </c>
      <c r="BC708" s="81" t="s">
        <v>5717</v>
      </c>
      <c r="BD708" s="77">
        <v>2716868599</v>
      </c>
      <c r="BE708" s="77"/>
      <c r="BF708" s="77"/>
      <c r="BG708" s="77"/>
      <c r="BH708" s="77"/>
      <c r="BI708" s="77"/>
    </row>
    <row r="709" spans="1:61" ht="15">
      <c r="A709" s="62" t="s">
        <v>412</v>
      </c>
      <c r="B709" s="62" t="s">
        <v>412</v>
      </c>
      <c r="C709" s="63"/>
      <c r="D709" s="64"/>
      <c r="E709" s="65"/>
      <c r="F709" s="66"/>
      <c r="G709" s="63"/>
      <c r="H709" s="67"/>
      <c r="I709" s="68"/>
      <c r="J709" s="68"/>
      <c r="K709" s="32" t="s">
        <v>65</v>
      </c>
      <c r="L709" s="75">
        <v>709</v>
      </c>
      <c r="M709" s="75"/>
      <c r="N709" s="70"/>
      <c r="O709" s="77" t="s">
        <v>179</v>
      </c>
      <c r="P709" s="79">
        <v>43138.660833333335</v>
      </c>
      <c r="Q709" s="77" t="s">
        <v>1117</v>
      </c>
      <c r="R709" s="77">
        <v>0</v>
      </c>
      <c r="S709" s="77">
        <v>1</v>
      </c>
      <c r="T709" s="77">
        <v>0</v>
      </c>
      <c r="U709" s="77">
        <v>0</v>
      </c>
      <c r="V709" s="77"/>
      <c r="W709" s="77"/>
      <c r="X709" s="77"/>
      <c r="Y709" s="77"/>
      <c r="Z709" s="77"/>
      <c r="AA709" s="77"/>
      <c r="AB709" s="77"/>
      <c r="AC709" s="81" t="s">
        <v>2704</v>
      </c>
      <c r="AD709" s="77" t="s">
        <v>2751</v>
      </c>
      <c r="AE709" s="80" t="str">
        <f>HYPERLINK("https://twitter.com/therealfrankson/status/961266202470486017")</f>
        <v>https://twitter.com/therealfrankson/status/961266202470486017</v>
      </c>
      <c r="AF709" s="79">
        <v>43138.660833333335</v>
      </c>
      <c r="AG709" s="85">
        <v>43138</v>
      </c>
      <c r="AH709" s="81" t="s">
        <v>3309</v>
      </c>
      <c r="AI709" s="77"/>
      <c r="AJ709" s="77"/>
      <c r="AK709" s="77"/>
      <c r="AL709" s="77"/>
      <c r="AM709" s="77"/>
      <c r="AN709" s="77"/>
      <c r="AO709" s="77"/>
      <c r="AP709" s="77"/>
      <c r="AQ709" s="77"/>
      <c r="AR709" s="77"/>
      <c r="AS709" s="77"/>
      <c r="AT709" s="77"/>
      <c r="AU709" s="77"/>
      <c r="AV709" s="80" t="str">
        <f>HYPERLINK("https://pbs.twimg.com/profile_images/1694040924974694403/ctD31x5C_normal.jpg")</f>
        <v>https://pbs.twimg.com/profile_images/1694040924974694403/ctD31x5C_normal.jpg</v>
      </c>
      <c r="AW709" s="81" t="s">
        <v>5055</v>
      </c>
      <c r="AX709" s="81" t="s">
        <v>5055</v>
      </c>
      <c r="AY709" s="77"/>
      <c r="AZ709" s="81" t="s">
        <v>5773</v>
      </c>
      <c r="BA709" s="81" t="s">
        <v>5773</v>
      </c>
      <c r="BB709" s="81" t="s">
        <v>5773</v>
      </c>
      <c r="BC709" s="81" t="s">
        <v>5055</v>
      </c>
      <c r="BD709" s="77">
        <v>1431967950</v>
      </c>
      <c r="BE709" s="77"/>
      <c r="BF709" s="77"/>
      <c r="BG709" s="77"/>
      <c r="BH709" s="77"/>
      <c r="BI709" s="77"/>
    </row>
    <row r="710" spans="1:61" ht="15">
      <c r="A710" s="62" t="s">
        <v>413</v>
      </c>
      <c r="B710" s="62" t="s">
        <v>299</v>
      </c>
      <c r="C710" s="63"/>
      <c r="D710" s="64"/>
      <c r="E710" s="65"/>
      <c r="F710" s="66"/>
      <c r="G710" s="63"/>
      <c r="H710" s="67"/>
      <c r="I710" s="68"/>
      <c r="J710" s="68"/>
      <c r="K710" s="32" t="s">
        <v>65</v>
      </c>
      <c r="L710" s="75">
        <v>710</v>
      </c>
      <c r="M710" s="75"/>
      <c r="N710" s="70"/>
      <c r="O710" s="77" t="s">
        <v>577</v>
      </c>
      <c r="P710" s="79">
        <v>45281.09253472222</v>
      </c>
      <c r="Q710" s="77" t="s">
        <v>1118</v>
      </c>
      <c r="R710" s="77">
        <v>1</v>
      </c>
      <c r="S710" s="77">
        <v>0</v>
      </c>
      <c r="T710" s="77">
        <v>0</v>
      </c>
      <c r="U710" s="77">
        <v>0</v>
      </c>
      <c r="V710" s="77"/>
      <c r="W710" s="81" t="s">
        <v>1869</v>
      </c>
      <c r="X710" s="77"/>
      <c r="Y710" s="77"/>
      <c r="Z710" s="77" t="s">
        <v>299</v>
      </c>
      <c r="AA710" s="77"/>
      <c r="AB710" s="77"/>
      <c r="AC710" s="81" t="s">
        <v>2707</v>
      </c>
      <c r="AD710" s="77" t="s">
        <v>2751</v>
      </c>
      <c r="AE710" s="80" t="str">
        <f>HYPERLINK("https://twitter.com/varahipackage/status/1737657454421512688")</f>
        <v>https://twitter.com/varahipackage/status/1737657454421512688</v>
      </c>
      <c r="AF710" s="79">
        <v>45281.09253472222</v>
      </c>
      <c r="AG710" s="85">
        <v>45281</v>
      </c>
      <c r="AH710" s="81" t="s">
        <v>3310</v>
      </c>
      <c r="AI710" s="77"/>
      <c r="AJ710" s="77"/>
      <c r="AK710" s="77"/>
      <c r="AL710" s="77"/>
      <c r="AM710" s="77"/>
      <c r="AN710" s="77"/>
      <c r="AO710" s="77"/>
      <c r="AP710" s="77"/>
      <c r="AQ710" s="77"/>
      <c r="AR710" s="77"/>
      <c r="AS710" s="77"/>
      <c r="AT710" s="77"/>
      <c r="AU710" s="77"/>
      <c r="AV710" s="80" t="str">
        <f>HYPERLINK("https://pbs.twimg.com/profile_images/1665965062115446784/ayCLWQ48_normal.jpg")</f>
        <v>https://pbs.twimg.com/profile_images/1665965062115446784/ayCLWQ48_normal.jpg</v>
      </c>
      <c r="AW710" s="81" t="s">
        <v>5056</v>
      </c>
      <c r="AX710" s="81" t="s">
        <v>5056</v>
      </c>
      <c r="AY710" s="77"/>
      <c r="AZ710" s="81" t="s">
        <v>5773</v>
      </c>
      <c r="BA710" s="81" t="s">
        <v>5773</v>
      </c>
      <c r="BB710" s="81" t="s">
        <v>5181</v>
      </c>
      <c r="BC710" s="81" t="s">
        <v>5181</v>
      </c>
      <c r="BD710" s="81" t="s">
        <v>5829</v>
      </c>
      <c r="BE710" s="77"/>
      <c r="BF710" s="77"/>
      <c r="BG710" s="77"/>
      <c r="BH710" s="77"/>
      <c r="BI710" s="77"/>
    </row>
    <row r="711" spans="1:61" ht="15">
      <c r="A711" s="62" t="s">
        <v>414</v>
      </c>
      <c r="B711" s="62" t="s">
        <v>414</v>
      </c>
      <c r="C711" s="63"/>
      <c r="D711" s="64"/>
      <c r="E711" s="65"/>
      <c r="F711" s="66"/>
      <c r="G711" s="63"/>
      <c r="H711" s="67"/>
      <c r="I711" s="68"/>
      <c r="J711" s="68"/>
      <c r="K711" s="32" t="s">
        <v>65</v>
      </c>
      <c r="L711" s="75">
        <v>711</v>
      </c>
      <c r="M711" s="75"/>
      <c r="N711" s="70"/>
      <c r="O711" s="77" t="s">
        <v>179</v>
      </c>
      <c r="P711" s="79">
        <v>42955.31862268518</v>
      </c>
      <c r="Q711" s="77" t="s">
        <v>1119</v>
      </c>
      <c r="R711" s="77">
        <v>0</v>
      </c>
      <c r="S711" s="77">
        <v>0</v>
      </c>
      <c r="T711" s="77">
        <v>0</v>
      </c>
      <c r="U711" s="77">
        <v>0</v>
      </c>
      <c r="V711" s="77"/>
      <c r="W711" s="77"/>
      <c r="X711" s="80" t="str">
        <f>HYPERLINK("https://twitter.com/Inovies")</f>
        <v>https://twitter.com/Inovies</v>
      </c>
      <c r="Y711" s="77" t="s">
        <v>2000</v>
      </c>
      <c r="Z711" s="77"/>
      <c r="AA711" s="77"/>
      <c r="AB711" s="77"/>
      <c r="AC711" s="81" t="s">
        <v>2710</v>
      </c>
      <c r="AD711" s="77" t="s">
        <v>2751</v>
      </c>
      <c r="AE711" s="80" t="str">
        <f>HYPERLINK("https://twitter.com/c_randieri/status/894825208716165120")</f>
        <v>https://twitter.com/c_randieri/status/894825208716165120</v>
      </c>
      <c r="AF711" s="79">
        <v>42955.31862268518</v>
      </c>
      <c r="AG711" s="85">
        <v>42955</v>
      </c>
      <c r="AH711" s="81" t="s">
        <v>3311</v>
      </c>
      <c r="AI711" s="77" t="b">
        <v>0</v>
      </c>
      <c r="AJ711" s="77"/>
      <c r="AK711" s="77"/>
      <c r="AL711" s="77"/>
      <c r="AM711" s="77"/>
      <c r="AN711" s="77"/>
      <c r="AO711" s="77"/>
      <c r="AP711" s="77"/>
      <c r="AQ711" s="77"/>
      <c r="AR711" s="77"/>
      <c r="AS711" s="77"/>
      <c r="AT711" s="77"/>
      <c r="AU711" s="77"/>
      <c r="AV711" s="80" t="str">
        <f>HYPERLINK("https://pbs.twimg.com/profile_images/1332013023784022017/8XyXtTl2_normal.jpg")</f>
        <v>https://pbs.twimg.com/profile_images/1332013023784022017/8XyXtTl2_normal.jpg</v>
      </c>
      <c r="AW711" s="81" t="s">
        <v>5057</v>
      </c>
      <c r="AX711" s="81" t="s">
        <v>5057</v>
      </c>
      <c r="AY711" s="77"/>
      <c r="AZ711" s="81" t="s">
        <v>5773</v>
      </c>
      <c r="BA711" s="81" t="s">
        <v>5773</v>
      </c>
      <c r="BB711" s="81" t="s">
        <v>5773</v>
      </c>
      <c r="BC711" s="81" t="s">
        <v>5057</v>
      </c>
      <c r="BD711" s="77">
        <v>1940230142</v>
      </c>
      <c r="BE711" s="77"/>
      <c r="BF711" s="77"/>
      <c r="BG711" s="77"/>
      <c r="BH711" s="77"/>
      <c r="BI711" s="77"/>
    </row>
    <row r="712" spans="1:61" ht="15">
      <c r="A712" s="62" t="s">
        <v>415</v>
      </c>
      <c r="B712" s="62" t="s">
        <v>415</v>
      </c>
      <c r="C712" s="63"/>
      <c r="D712" s="64"/>
      <c r="E712" s="65"/>
      <c r="F712" s="66"/>
      <c r="G712" s="63"/>
      <c r="H712" s="67"/>
      <c r="I712" s="68"/>
      <c r="J712" s="68"/>
      <c r="K712" s="32" t="s">
        <v>65</v>
      </c>
      <c r="L712" s="75">
        <v>712</v>
      </c>
      <c r="M712" s="75"/>
      <c r="N712" s="70"/>
      <c r="O712" s="77" t="s">
        <v>179</v>
      </c>
      <c r="P712" s="79">
        <v>42677.47523148148</v>
      </c>
      <c r="Q712" s="77" t="s">
        <v>1120</v>
      </c>
      <c r="R712" s="77">
        <v>0</v>
      </c>
      <c r="S712" s="77">
        <v>0</v>
      </c>
      <c r="T712" s="77">
        <v>0</v>
      </c>
      <c r="U712" s="77">
        <v>0</v>
      </c>
      <c r="V712" s="77"/>
      <c r="W712" s="77"/>
      <c r="X712" s="80" t="str">
        <f>HYPERLINK("http://fb.me/5N77BAiUk")</f>
        <v>http://fb.me/5N77BAiUk</v>
      </c>
      <c r="Y712" s="77" t="s">
        <v>1988</v>
      </c>
      <c r="Z712" s="77"/>
      <c r="AA712" s="77"/>
      <c r="AB712" s="77"/>
      <c r="AC712" s="81" t="s">
        <v>2716</v>
      </c>
      <c r="AD712" s="77" t="s">
        <v>2751</v>
      </c>
      <c r="AE712" s="80" t="str">
        <f>HYPERLINK("https://twitter.com/exploremyjobs/status/794138135537938432")</f>
        <v>https://twitter.com/exploremyjobs/status/794138135537938432</v>
      </c>
      <c r="AF712" s="79">
        <v>42677.47523148148</v>
      </c>
      <c r="AG712" s="85">
        <v>42677</v>
      </c>
      <c r="AH712" s="81" t="s">
        <v>3312</v>
      </c>
      <c r="AI712" s="77" t="b">
        <v>0</v>
      </c>
      <c r="AJ712" s="77"/>
      <c r="AK712" s="77"/>
      <c r="AL712" s="77"/>
      <c r="AM712" s="77"/>
      <c r="AN712" s="77"/>
      <c r="AO712" s="77"/>
      <c r="AP712" s="77"/>
      <c r="AQ712" s="77"/>
      <c r="AR712" s="77"/>
      <c r="AS712" s="77"/>
      <c r="AT712" s="77"/>
      <c r="AU712" s="77"/>
      <c r="AV712" s="80" t="str">
        <f>HYPERLINK("https://pbs.twimg.com/profile_images/753803909303377920/FV_g2JBZ_normal.jpg")</f>
        <v>https://pbs.twimg.com/profile_images/753803909303377920/FV_g2JBZ_normal.jpg</v>
      </c>
      <c r="AW712" s="81" t="s">
        <v>5058</v>
      </c>
      <c r="AX712" s="81" t="s">
        <v>5058</v>
      </c>
      <c r="AY712" s="77"/>
      <c r="AZ712" s="81" t="s">
        <v>5773</v>
      </c>
      <c r="BA712" s="81" t="s">
        <v>5773</v>
      </c>
      <c r="BB712" s="81" t="s">
        <v>5773</v>
      </c>
      <c r="BC712" s="81" t="s">
        <v>5058</v>
      </c>
      <c r="BD712" s="81" t="s">
        <v>5830</v>
      </c>
      <c r="BE712" s="77"/>
      <c r="BF712" s="77"/>
      <c r="BG712" s="77"/>
      <c r="BH712" s="77"/>
      <c r="BI712" s="77"/>
    </row>
    <row r="713" spans="1:61" ht="15">
      <c r="A713" s="62" t="s">
        <v>416</v>
      </c>
      <c r="B713" s="62" t="s">
        <v>569</v>
      </c>
      <c r="C713" s="63"/>
      <c r="D713" s="64"/>
      <c r="E713" s="65"/>
      <c r="F713" s="66"/>
      <c r="G713" s="63"/>
      <c r="H713" s="67"/>
      <c r="I713" s="68"/>
      <c r="J713" s="68"/>
      <c r="K713" s="32" t="s">
        <v>65</v>
      </c>
      <c r="L713" s="75">
        <v>713</v>
      </c>
      <c r="M713" s="75"/>
      <c r="N713" s="70"/>
      <c r="O713" s="77" t="s">
        <v>571</v>
      </c>
      <c r="P713" s="79">
        <v>42956.652280092596</v>
      </c>
      <c r="Q713" s="77" t="s">
        <v>1121</v>
      </c>
      <c r="R713" s="77">
        <v>0</v>
      </c>
      <c r="S713" s="77">
        <v>0</v>
      </c>
      <c r="T713" s="77">
        <v>0</v>
      </c>
      <c r="U713" s="77">
        <v>0</v>
      </c>
      <c r="V713" s="77"/>
      <c r="W713" s="77"/>
      <c r="X713" s="77"/>
      <c r="Y713" s="77"/>
      <c r="Z713" s="77" t="s">
        <v>2102</v>
      </c>
      <c r="AA713" s="77"/>
      <c r="AB713" s="77"/>
      <c r="AC713" s="81" t="s">
        <v>2714</v>
      </c>
      <c r="AD713" s="77" t="s">
        <v>2751</v>
      </c>
      <c r="AE713" s="80" t="str">
        <f>HYPERLINK("https://twitter.com/wiergeezy/status/895308510719823874")</f>
        <v>https://twitter.com/wiergeezy/status/895308510719823874</v>
      </c>
      <c r="AF713" s="79">
        <v>42956.652280092596</v>
      </c>
      <c r="AG713" s="85">
        <v>42956</v>
      </c>
      <c r="AH713" s="81" t="s">
        <v>3313</v>
      </c>
      <c r="AI713" s="77"/>
      <c r="AJ713" s="77"/>
      <c r="AK713" s="77"/>
      <c r="AL713" s="77"/>
      <c r="AM713" s="77"/>
      <c r="AN713" s="77"/>
      <c r="AO713" s="77"/>
      <c r="AP713" s="77"/>
      <c r="AQ713" s="77"/>
      <c r="AR713" s="77"/>
      <c r="AS713" s="77"/>
      <c r="AT713" s="77"/>
      <c r="AU713" s="77"/>
      <c r="AV713" s="80" t="str">
        <f>HYPERLINK("https://pbs.twimg.com/profile_images/1716218904102473728/hm74tMme_normal.jpg")</f>
        <v>https://pbs.twimg.com/profile_images/1716218904102473728/hm74tMme_normal.jpg</v>
      </c>
      <c r="AW713" s="81" t="s">
        <v>5059</v>
      </c>
      <c r="AX713" s="81" t="s">
        <v>5059</v>
      </c>
      <c r="AY713" s="81" t="s">
        <v>5721</v>
      </c>
      <c r="AZ713" s="81" t="s">
        <v>5773</v>
      </c>
      <c r="BA713" s="81" t="s">
        <v>5773</v>
      </c>
      <c r="BB713" s="81" t="s">
        <v>5773</v>
      </c>
      <c r="BC713" s="81" t="s">
        <v>5059</v>
      </c>
      <c r="BD713" s="77">
        <v>3379407430</v>
      </c>
      <c r="BE713" s="77"/>
      <c r="BF713" s="77"/>
      <c r="BG713" s="77"/>
      <c r="BH713" s="77"/>
      <c r="BI713" s="77"/>
    </row>
    <row r="714" spans="1:61" ht="15">
      <c r="A714" s="62" t="s">
        <v>299</v>
      </c>
      <c r="B714" s="62" t="s">
        <v>299</v>
      </c>
      <c r="C714" s="63"/>
      <c r="D714" s="64"/>
      <c r="E714" s="65"/>
      <c r="F714" s="66"/>
      <c r="G714" s="63"/>
      <c r="H714" s="67"/>
      <c r="I714" s="68"/>
      <c r="J714" s="68"/>
      <c r="K714" s="32" t="s">
        <v>65</v>
      </c>
      <c r="L714" s="75">
        <v>714</v>
      </c>
      <c r="M714" s="75"/>
      <c r="N714" s="70"/>
      <c r="O714" s="77" t="s">
        <v>179</v>
      </c>
      <c r="P714" s="79">
        <v>42080.30571759259</v>
      </c>
      <c r="Q714" s="77" t="s">
        <v>1122</v>
      </c>
      <c r="R714" s="77">
        <v>0</v>
      </c>
      <c r="S714" s="77">
        <v>0</v>
      </c>
      <c r="T714" s="77">
        <v>0</v>
      </c>
      <c r="U714" s="77">
        <v>0</v>
      </c>
      <c r="V714" s="77"/>
      <c r="W714" s="77"/>
      <c r="X714" s="77"/>
      <c r="Y714" s="77"/>
      <c r="Z714" s="77"/>
      <c r="AA714" s="77"/>
      <c r="AB714" s="77"/>
      <c r="AC714" s="81" t="s">
        <v>2727</v>
      </c>
      <c r="AD714" s="77" t="s">
        <v>2751</v>
      </c>
      <c r="AE714" s="80" t="str">
        <f>HYPERLINK("https://twitter.com/inovies/status/577731149914451968")</f>
        <v>https://twitter.com/inovies/status/577731149914451968</v>
      </c>
      <c r="AF714" s="79">
        <v>42080.30571759259</v>
      </c>
      <c r="AG714" s="85">
        <v>42080</v>
      </c>
      <c r="AH714" s="81" t="s">
        <v>3314</v>
      </c>
      <c r="AI714" s="77"/>
      <c r="AJ714" s="77" t="s">
        <v>3882</v>
      </c>
      <c r="AK714" s="77" t="s">
        <v>3889</v>
      </c>
      <c r="AL714" s="77" t="s">
        <v>3892</v>
      </c>
      <c r="AM714" s="77" t="s">
        <v>3896</v>
      </c>
      <c r="AN714" s="77" t="s">
        <v>3903</v>
      </c>
      <c r="AO714" s="77" t="s">
        <v>3911</v>
      </c>
      <c r="AP714" s="77" t="s">
        <v>3917</v>
      </c>
      <c r="AQ714" s="77"/>
      <c r="AR714" s="77"/>
      <c r="AS714" s="77"/>
      <c r="AT714" s="77"/>
      <c r="AU714" s="77"/>
      <c r="AV714" s="80" t="str">
        <f>HYPERLINK("https://pbs.twimg.com/profile_images/833576943677214720/5ZyUgpEJ_normal.jpg")</f>
        <v>https://pbs.twimg.com/profile_images/833576943677214720/5ZyUgpEJ_normal.jpg</v>
      </c>
      <c r="AW714" s="81" t="s">
        <v>5060</v>
      </c>
      <c r="AX714" s="81" t="s">
        <v>5060</v>
      </c>
      <c r="AY714" s="77"/>
      <c r="AZ714" s="81" t="s">
        <v>5773</v>
      </c>
      <c r="BA714" s="81" t="s">
        <v>5773</v>
      </c>
      <c r="BB714" s="81" t="s">
        <v>5773</v>
      </c>
      <c r="BC714" s="81" t="s">
        <v>5060</v>
      </c>
      <c r="BD714" s="77">
        <v>297885438</v>
      </c>
      <c r="BE714" s="77"/>
      <c r="BF714" s="77"/>
      <c r="BG714" s="77"/>
      <c r="BH714" s="77"/>
      <c r="BI714" s="77"/>
    </row>
    <row r="715" spans="1:61" ht="15">
      <c r="A715" s="62" t="s">
        <v>299</v>
      </c>
      <c r="B715" s="62" t="s">
        <v>299</v>
      </c>
      <c r="C715" s="63"/>
      <c r="D715" s="64"/>
      <c r="E715" s="65"/>
      <c r="F715" s="66"/>
      <c r="G715" s="63"/>
      <c r="H715" s="67"/>
      <c r="I715" s="68"/>
      <c r="J715" s="68"/>
      <c r="K715" s="32" t="s">
        <v>65</v>
      </c>
      <c r="L715" s="75">
        <v>715</v>
      </c>
      <c r="M715" s="75"/>
      <c r="N715" s="70"/>
      <c r="O715" s="77" t="s">
        <v>179</v>
      </c>
      <c r="P715" s="79">
        <v>41736.690150462964</v>
      </c>
      <c r="Q715" s="77" t="s">
        <v>1123</v>
      </c>
      <c r="R715" s="77">
        <v>0</v>
      </c>
      <c r="S715" s="77">
        <v>1</v>
      </c>
      <c r="T715" s="77">
        <v>0</v>
      </c>
      <c r="U715" s="77">
        <v>0</v>
      </c>
      <c r="V715" s="77"/>
      <c r="W715" s="77"/>
      <c r="X715" s="80" t="str">
        <f>HYPERLINK("http://ow.ly/2Frd0e")</f>
        <v>http://ow.ly/2Frd0e</v>
      </c>
      <c r="Y715" s="77" t="s">
        <v>2041</v>
      </c>
      <c r="Z715" s="77"/>
      <c r="AA715" s="77"/>
      <c r="AB715" s="77"/>
      <c r="AC715" s="81" t="s">
        <v>2744</v>
      </c>
      <c r="AD715" s="77" t="s">
        <v>2751</v>
      </c>
      <c r="AE715" s="80" t="str">
        <f>HYPERLINK("https://twitter.com/inovies/status/453209037765898241")</f>
        <v>https://twitter.com/inovies/status/453209037765898241</v>
      </c>
      <c r="AF715" s="79">
        <v>41736.690150462964</v>
      </c>
      <c r="AG715" s="85">
        <v>41736</v>
      </c>
      <c r="AH715" s="81" t="s">
        <v>3315</v>
      </c>
      <c r="AI715" s="77" t="b">
        <v>0</v>
      </c>
      <c r="AJ715" s="77"/>
      <c r="AK715" s="77"/>
      <c r="AL715" s="77"/>
      <c r="AM715" s="77"/>
      <c r="AN715" s="77"/>
      <c r="AO715" s="77"/>
      <c r="AP715" s="77"/>
      <c r="AQ715" s="77"/>
      <c r="AR715" s="77"/>
      <c r="AS715" s="77"/>
      <c r="AT715" s="77"/>
      <c r="AU715" s="77"/>
      <c r="AV715" s="80" t="str">
        <f>HYPERLINK("https://pbs.twimg.com/profile_images/833576943677214720/5ZyUgpEJ_normal.jpg")</f>
        <v>https://pbs.twimg.com/profile_images/833576943677214720/5ZyUgpEJ_normal.jpg</v>
      </c>
      <c r="AW715" s="81" t="s">
        <v>5061</v>
      </c>
      <c r="AX715" s="81" t="s">
        <v>5061</v>
      </c>
      <c r="AY715" s="77"/>
      <c r="AZ715" s="81" t="s">
        <v>5773</v>
      </c>
      <c r="BA715" s="81" t="s">
        <v>5773</v>
      </c>
      <c r="BB715" s="81" t="s">
        <v>5773</v>
      </c>
      <c r="BC715" s="81" t="s">
        <v>5061</v>
      </c>
      <c r="BD715" s="77">
        <v>297885438</v>
      </c>
      <c r="BE715" s="77"/>
      <c r="BF715" s="77"/>
      <c r="BG715" s="77"/>
      <c r="BH715" s="77"/>
      <c r="BI715" s="77"/>
    </row>
    <row r="716" spans="1:61" ht="15">
      <c r="A716" s="62" t="s">
        <v>299</v>
      </c>
      <c r="B716" s="62" t="s">
        <v>299</v>
      </c>
      <c r="C716" s="63"/>
      <c r="D716" s="64"/>
      <c r="E716" s="65"/>
      <c r="F716" s="66"/>
      <c r="G716" s="63"/>
      <c r="H716" s="67"/>
      <c r="I716" s="68"/>
      <c r="J716" s="68"/>
      <c r="K716" s="32" t="s">
        <v>65</v>
      </c>
      <c r="L716" s="75">
        <v>716</v>
      </c>
      <c r="M716" s="75"/>
      <c r="N716" s="70"/>
      <c r="O716" s="77" t="s">
        <v>179</v>
      </c>
      <c r="P716" s="79">
        <v>41736.64709490741</v>
      </c>
      <c r="Q716" s="77" t="s">
        <v>1124</v>
      </c>
      <c r="R716" s="77">
        <v>0</v>
      </c>
      <c r="S716" s="77">
        <v>1</v>
      </c>
      <c r="T716" s="77">
        <v>0</v>
      </c>
      <c r="U716" s="77">
        <v>0</v>
      </c>
      <c r="V716" s="77"/>
      <c r="W716" s="77"/>
      <c r="X716" s="80" t="str">
        <f>HYPERLINK("http://ow.ly/2Fr5AN")</f>
        <v>http://ow.ly/2Fr5AN</v>
      </c>
      <c r="Y716" s="77" t="s">
        <v>2041</v>
      </c>
      <c r="Z716" s="77"/>
      <c r="AA716" s="77"/>
      <c r="AB716" s="77"/>
      <c r="AC716" s="81" t="s">
        <v>2744</v>
      </c>
      <c r="AD716" s="77" t="s">
        <v>2751</v>
      </c>
      <c r="AE716" s="80" t="str">
        <f>HYPERLINK("https://twitter.com/inovies/status/453193433231130624")</f>
        <v>https://twitter.com/inovies/status/453193433231130624</v>
      </c>
      <c r="AF716" s="79">
        <v>41736.64709490741</v>
      </c>
      <c r="AG716" s="85">
        <v>41736</v>
      </c>
      <c r="AH716" s="81" t="s">
        <v>3316</v>
      </c>
      <c r="AI716" s="77" t="b">
        <v>0</v>
      </c>
      <c r="AJ716" s="77"/>
      <c r="AK716" s="77"/>
      <c r="AL716" s="77"/>
      <c r="AM716" s="77"/>
      <c r="AN716" s="77"/>
      <c r="AO716" s="77"/>
      <c r="AP716" s="77"/>
      <c r="AQ716" s="77"/>
      <c r="AR716" s="77"/>
      <c r="AS716" s="77"/>
      <c r="AT716" s="77"/>
      <c r="AU716" s="77"/>
      <c r="AV716" s="80" t="str">
        <f>HYPERLINK("https://pbs.twimg.com/profile_images/833576943677214720/5ZyUgpEJ_normal.jpg")</f>
        <v>https://pbs.twimg.com/profile_images/833576943677214720/5ZyUgpEJ_normal.jpg</v>
      </c>
      <c r="AW716" s="81" t="s">
        <v>5062</v>
      </c>
      <c r="AX716" s="81" t="s">
        <v>5062</v>
      </c>
      <c r="AY716" s="77"/>
      <c r="AZ716" s="81" t="s">
        <v>5773</v>
      </c>
      <c r="BA716" s="81" t="s">
        <v>5773</v>
      </c>
      <c r="BB716" s="81" t="s">
        <v>5773</v>
      </c>
      <c r="BC716" s="81" t="s">
        <v>5062</v>
      </c>
      <c r="BD716" s="77">
        <v>297885438</v>
      </c>
      <c r="BE716" s="77"/>
      <c r="BF716" s="77"/>
      <c r="BG716" s="77"/>
      <c r="BH716" s="77"/>
      <c r="BI716" s="77"/>
    </row>
    <row r="717" spans="1:61" ht="15">
      <c r="A717" s="62" t="s">
        <v>299</v>
      </c>
      <c r="B717" s="62" t="s">
        <v>299</v>
      </c>
      <c r="C717" s="63"/>
      <c r="D717" s="64"/>
      <c r="E717" s="65"/>
      <c r="F717" s="66"/>
      <c r="G717" s="63"/>
      <c r="H717" s="67"/>
      <c r="I717" s="68"/>
      <c r="J717" s="68"/>
      <c r="K717" s="32" t="s">
        <v>65</v>
      </c>
      <c r="L717" s="75">
        <v>717</v>
      </c>
      <c r="M717" s="75"/>
      <c r="N717" s="70"/>
      <c r="O717" s="77" t="s">
        <v>571</v>
      </c>
      <c r="P717" s="79">
        <v>41739.34987268518</v>
      </c>
      <c r="Q717" s="77" t="s">
        <v>1125</v>
      </c>
      <c r="R717" s="77">
        <v>0</v>
      </c>
      <c r="S717" s="77">
        <v>1</v>
      </c>
      <c r="T717" s="77">
        <v>0</v>
      </c>
      <c r="U717" s="77">
        <v>0</v>
      </c>
      <c r="V717" s="77"/>
      <c r="W717" s="77"/>
      <c r="X717" s="80" t="str">
        <f>HYPERLINK("http://www.inovies.com/it-opportunities-at-india-boom-in-textile-industry-45-inovies.html")</f>
        <v>http://www.inovies.com/it-opportunities-at-india-boom-in-textile-industry-45-inovies.html</v>
      </c>
      <c r="Y717" s="77" t="s">
        <v>1982</v>
      </c>
      <c r="Z717" s="77" t="s">
        <v>299</v>
      </c>
      <c r="AA717" s="77"/>
      <c r="AB717" s="77"/>
      <c r="AC717" s="81" t="s">
        <v>2712</v>
      </c>
      <c r="AD717" s="77" t="s">
        <v>2751</v>
      </c>
      <c r="AE717" s="80" t="str">
        <f>HYPERLINK("https://twitter.com/inovies/status/454172887444766721")</f>
        <v>https://twitter.com/inovies/status/454172887444766721</v>
      </c>
      <c r="AF717" s="79">
        <v>41739.34987268518</v>
      </c>
      <c r="AG717" s="85">
        <v>41739</v>
      </c>
      <c r="AH717" s="81" t="s">
        <v>3317</v>
      </c>
      <c r="AI717" s="77" t="b">
        <v>0</v>
      </c>
      <c r="AJ717" s="77"/>
      <c r="AK717" s="77"/>
      <c r="AL717" s="77"/>
      <c r="AM717" s="77"/>
      <c r="AN717" s="77"/>
      <c r="AO717" s="77"/>
      <c r="AP717" s="77"/>
      <c r="AQ717" s="77"/>
      <c r="AR717" s="77"/>
      <c r="AS717" s="77"/>
      <c r="AT717" s="77"/>
      <c r="AU717" s="77"/>
      <c r="AV717" s="80" t="str">
        <f>HYPERLINK("https://pbs.twimg.com/profile_images/833576943677214720/5ZyUgpEJ_normal.jpg")</f>
        <v>https://pbs.twimg.com/profile_images/833576943677214720/5ZyUgpEJ_normal.jpg</v>
      </c>
      <c r="AW717" s="81" t="s">
        <v>5063</v>
      </c>
      <c r="AX717" s="81" t="s">
        <v>5063</v>
      </c>
      <c r="AY717" s="77"/>
      <c r="AZ717" s="81" t="s">
        <v>5773</v>
      </c>
      <c r="BA717" s="81" t="s">
        <v>5773</v>
      </c>
      <c r="BB717" s="81" t="s">
        <v>5773</v>
      </c>
      <c r="BC717" s="81" t="s">
        <v>5063</v>
      </c>
      <c r="BD717" s="77">
        <v>297885438</v>
      </c>
      <c r="BE717" s="77"/>
      <c r="BF717" s="77"/>
      <c r="BG717" s="77"/>
      <c r="BH717" s="77"/>
      <c r="BI717" s="77"/>
    </row>
    <row r="718" spans="1:61" ht="15">
      <c r="A718" s="62" t="s">
        <v>299</v>
      </c>
      <c r="B718" s="62" t="s">
        <v>299</v>
      </c>
      <c r="C718" s="63"/>
      <c r="D718" s="64"/>
      <c r="E718" s="65"/>
      <c r="F718" s="66"/>
      <c r="G718" s="63"/>
      <c r="H718" s="67"/>
      <c r="I718" s="68"/>
      <c r="J718" s="68"/>
      <c r="K718" s="32" t="s">
        <v>65</v>
      </c>
      <c r="L718" s="75">
        <v>718</v>
      </c>
      <c r="M718" s="75"/>
      <c r="N718" s="70"/>
      <c r="O718" s="77" t="s">
        <v>179</v>
      </c>
      <c r="P718" s="79">
        <v>41737.309432870374</v>
      </c>
      <c r="Q718" s="77" t="s">
        <v>1126</v>
      </c>
      <c r="R718" s="77">
        <v>0</v>
      </c>
      <c r="S718" s="77">
        <v>1</v>
      </c>
      <c r="T718" s="77">
        <v>0</v>
      </c>
      <c r="U718" s="77">
        <v>0</v>
      </c>
      <c r="V718" s="77"/>
      <c r="W718" s="77"/>
      <c r="X718" s="80" t="str">
        <f>HYPERLINK("http://ow.ly/2FsqZb")</f>
        <v>http://ow.ly/2FsqZb</v>
      </c>
      <c r="Y718" s="77" t="s">
        <v>2041</v>
      </c>
      <c r="Z718" s="77"/>
      <c r="AA718" s="77"/>
      <c r="AB718" s="77"/>
      <c r="AC718" s="81" t="s">
        <v>2744</v>
      </c>
      <c r="AD718" s="77" t="s">
        <v>2751</v>
      </c>
      <c r="AE718" s="80" t="str">
        <f>HYPERLINK("https://twitter.com/inovies/status/453433457260371968")</f>
        <v>https://twitter.com/inovies/status/453433457260371968</v>
      </c>
      <c r="AF718" s="79">
        <v>41737.309432870374</v>
      </c>
      <c r="AG718" s="85">
        <v>41737</v>
      </c>
      <c r="AH718" s="81" t="s">
        <v>3318</v>
      </c>
      <c r="AI718" s="77" t="b">
        <v>0</v>
      </c>
      <c r="AJ718" s="77"/>
      <c r="AK718" s="77"/>
      <c r="AL718" s="77"/>
      <c r="AM718" s="77"/>
      <c r="AN718" s="77"/>
      <c r="AO718" s="77"/>
      <c r="AP718" s="77"/>
      <c r="AQ718" s="77"/>
      <c r="AR718" s="77"/>
      <c r="AS718" s="77"/>
      <c r="AT718" s="77"/>
      <c r="AU718" s="77"/>
      <c r="AV718" s="80" t="str">
        <f>HYPERLINK("https://pbs.twimg.com/profile_images/833576943677214720/5ZyUgpEJ_normal.jpg")</f>
        <v>https://pbs.twimg.com/profile_images/833576943677214720/5ZyUgpEJ_normal.jpg</v>
      </c>
      <c r="AW718" s="81" t="s">
        <v>5064</v>
      </c>
      <c r="AX718" s="81" t="s">
        <v>5064</v>
      </c>
      <c r="AY718" s="77"/>
      <c r="AZ718" s="81" t="s">
        <v>5773</v>
      </c>
      <c r="BA718" s="81" t="s">
        <v>5773</v>
      </c>
      <c r="BB718" s="81" t="s">
        <v>5773</v>
      </c>
      <c r="BC718" s="81" t="s">
        <v>5064</v>
      </c>
      <c r="BD718" s="77">
        <v>297885438</v>
      </c>
      <c r="BE718" s="77"/>
      <c r="BF718" s="77"/>
      <c r="BG718" s="77"/>
      <c r="BH718" s="77"/>
      <c r="BI718" s="77"/>
    </row>
    <row r="719" spans="1:61" ht="15">
      <c r="A719" s="62" t="s">
        <v>299</v>
      </c>
      <c r="B719" s="62" t="s">
        <v>299</v>
      </c>
      <c r="C719" s="63"/>
      <c r="D719" s="64"/>
      <c r="E719" s="65"/>
      <c r="F719" s="66"/>
      <c r="G719" s="63"/>
      <c r="H719" s="67"/>
      <c r="I719" s="68"/>
      <c r="J719" s="68"/>
      <c r="K719" s="32" t="s">
        <v>65</v>
      </c>
      <c r="L719" s="75">
        <v>719</v>
      </c>
      <c r="M719" s="75"/>
      <c r="N719" s="70"/>
      <c r="O719" s="77" t="s">
        <v>571</v>
      </c>
      <c r="P719" s="79">
        <v>41726.23420138889</v>
      </c>
      <c r="Q719" s="77" t="s">
        <v>1127</v>
      </c>
      <c r="R719" s="77">
        <v>0</v>
      </c>
      <c r="S719" s="77">
        <v>0</v>
      </c>
      <c r="T719" s="77">
        <v>0</v>
      </c>
      <c r="U719" s="77">
        <v>0</v>
      </c>
      <c r="V719" s="77"/>
      <c r="W719" s="77"/>
      <c r="X719" s="80" t="str">
        <f>HYPERLINK("http://www.inovies.com/inovies_news.php?id=16")</f>
        <v>http://www.inovies.com/inovies_news.php?id=16</v>
      </c>
      <c r="Y719" s="77" t="s">
        <v>1982</v>
      </c>
      <c r="Z719" s="77" t="s">
        <v>299</v>
      </c>
      <c r="AA719" s="77"/>
      <c r="AB719" s="77"/>
      <c r="AC719" s="81" t="s">
        <v>2712</v>
      </c>
      <c r="AD719" s="77" t="s">
        <v>2751</v>
      </c>
      <c r="AE719" s="80" t="str">
        <f>HYPERLINK("https://twitter.com/inovies/status/449419926831255552")</f>
        <v>https://twitter.com/inovies/status/449419926831255552</v>
      </c>
      <c r="AF719" s="79">
        <v>41726.23420138889</v>
      </c>
      <c r="AG719" s="85">
        <v>41726</v>
      </c>
      <c r="AH719" s="81" t="s">
        <v>3319</v>
      </c>
      <c r="AI719" s="77" t="b">
        <v>0</v>
      </c>
      <c r="AJ719" s="77"/>
      <c r="AK719" s="77"/>
      <c r="AL719" s="77"/>
      <c r="AM719" s="77"/>
      <c r="AN719" s="77"/>
      <c r="AO719" s="77"/>
      <c r="AP719" s="77"/>
      <c r="AQ719" s="77"/>
      <c r="AR719" s="77"/>
      <c r="AS719" s="77"/>
      <c r="AT719" s="77"/>
      <c r="AU719" s="77"/>
      <c r="AV719" s="80" t="str">
        <f>HYPERLINK("https://pbs.twimg.com/profile_images/833576943677214720/5ZyUgpEJ_normal.jpg")</f>
        <v>https://pbs.twimg.com/profile_images/833576943677214720/5ZyUgpEJ_normal.jpg</v>
      </c>
      <c r="AW719" s="81" t="s">
        <v>5065</v>
      </c>
      <c r="AX719" s="81" t="s">
        <v>5065</v>
      </c>
      <c r="AY719" s="77"/>
      <c r="AZ719" s="81" t="s">
        <v>5773</v>
      </c>
      <c r="BA719" s="81" t="s">
        <v>5773</v>
      </c>
      <c r="BB719" s="81" t="s">
        <v>5773</v>
      </c>
      <c r="BC719" s="81" t="s">
        <v>5065</v>
      </c>
      <c r="BD719" s="77">
        <v>297885438</v>
      </c>
      <c r="BE719" s="77"/>
      <c r="BF719" s="77"/>
      <c r="BG719" s="77"/>
      <c r="BH719" s="77"/>
      <c r="BI719" s="77"/>
    </row>
    <row r="720" spans="1:61" ht="15">
      <c r="A720" s="62" t="s">
        <v>299</v>
      </c>
      <c r="B720" s="62" t="s">
        <v>299</v>
      </c>
      <c r="C720" s="63"/>
      <c r="D720" s="64"/>
      <c r="E720" s="65"/>
      <c r="F720" s="66"/>
      <c r="G720" s="63"/>
      <c r="H720" s="67"/>
      <c r="I720" s="68"/>
      <c r="J720" s="68"/>
      <c r="K720" s="32" t="s">
        <v>65</v>
      </c>
      <c r="L720" s="75">
        <v>720</v>
      </c>
      <c r="M720" s="75"/>
      <c r="N720" s="70"/>
      <c r="O720" s="77" t="s">
        <v>571</v>
      </c>
      <c r="P720" s="79">
        <v>41725.587696759256</v>
      </c>
      <c r="Q720" s="77" t="s">
        <v>1128</v>
      </c>
      <c r="R720" s="77">
        <v>0</v>
      </c>
      <c r="S720" s="77">
        <v>0</v>
      </c>
      <c r="T720" s="77">
        <v>0</v>
      </c>
      <c r="U720" s="77">
        <v>0</v>
      </c>
      <c r="V720" s="77"/>
      <c r="W720" s="77"/>
      <c r="X720" s="80" t="str">
        <f>HYPERLINK("http://inovies.com/inovies_news.php?id=10")</f>
        <v>http://inovies.com/inovies_news.php?id=10</v>
      </c>
      <c r="Y720" s="77" t="s">
        <v>1982</v>
      </c>
      <c r="Z720" s="77" t="s">
        <v>299</v>
      </c>
      <c r="AA720" s="77"/>
      <c r="AB720" s="77"/>
      <c r="AC720" s="81" t="s">
        <v>2712</v>
      </c>
      <c r="AD720" s="77" t="s">
        <v>2751</v>
      </c>
      <c r="AE720" s="80" t="str">
        <f>HYPERLINK("https://twitter.com/inovies/status/449185644363776000")</f>
        <v>https://twitter.com/inovies/status/449185644363776000</v>
      </c>
      <c r="AF720" s="79">
        <v>41725.587696759256</v>
      </c>
      <c r="AG720" s="85">
        <v>41725</v>
      </c>
      <c r="AH720" s="81" t="s">
        <v>3320</v>
      </c>
      <c r="AI720" s="77" t="b">
        <v>0</v>
      </c>
      <c r="AJ720" s="77"/>
      <c r="AK720" s="77"/>
      <c r="AL720" s="77"/>
      <c r="AM720" s="77"/>
      <c r="AN720" s="77"/>
      <c r="AO720" s="77"/>
      <c r="AP720" s="77"/>
      <c r="AQ720" s="77"/>
      <c r="AR720" s="77"/>
      <c r="AS720" s="77"/>
      <c r="AT720" s="77"/>
      <c r="AU720" s="77"/>
      <c r="AV720" s="80" t="str">
        <f>HYPERLINK("https://pbs.twimg.com/profile_images/833576943677214720/5ZyUgpEJ_normal.jpg")</f>
        <v>https://pbs.twimg.com/profile_images/833576943677214720/5ZyUgpEJ_normal.jpg</v>
      </c>
      <c r="AW720" s="81" t="s">
        <v>5066</v>
      </c>
      <c r="AX720" s="81" t="s">
        <v>5066</v>
      </c>
      <c r="AY720" s="77"/>
      <c r="AZ720" s="81" t="s">
        <v>5773</v>
      </c>
      <c r="BA720" s="81" t="s">
        <v>5773</v>
      </c>
      <c r="BB720" s="81" t="s">
        <v>5773</v>
      </c>
      <c r="BC720" s="81" t="s">
        <v>5066</v>
      </c>
      <c r="BD720" s="77">
        <v>297885438</v>
      </c>
      <c r="BE720" s="77"/>
      <c r="BF720" s="77"/>
      <c r="BG720" s="77"/>
      <c r="BH720" s="77"/>
      <c r="BI720" s="77"/>
    </row>
    <row r="721" spans="1:61" ht="15">
      <c r="A721" s="62" t="s">
        <v>299</v>
      </c>
      <c r="B721" s="62" t="s">
        <v>299</v>
      </c>
      <c r="C721" s="63"/>
      <c r="D721" s="64"/>
      <c r="E721" s="65"/>
      <c r="F721" s="66"/>
      <c r="G721" s="63"/>
      <c r="H721" s="67"/>
      <c r="I721" s="68"/>
      <c r="J721" s="68"/>
      <c r="K721" s="32" t="s">
        <v>65</v>
      </c>
      <c r="L721" s="75">
        <v>721</v>
      </c>
      <c r="M721" s="75"/>
      <c r="N721" s="70"/>
      <c r="O721" s="77" t="s">
        <v>179</v>
      </c>
      <c r="P721" s="79">
        <v>43447.135833333334</v>
      </c>
      <c r="Q721" s="77" t="s">
        <v>1129</v>
      </c>
      <c r="R721" s="77">
        <v>0</v>
      </c>
      <c r="S721" s="77">
        <v>0</v>
      </c>
      <c r="T721" s="77">
        <v>0</v>
      </c>
      <c r="U721" s="77">
        <v>0</v>
      </c>
      <c r="V721" s="77"/>
      <c r="W721" s="81" t="s">
        <v>1870</v>
      </c>
      <c r="X721" s="77"/>
      <c r="Y721" s="77"/>
      <c r="Z721" s="77"/>
      <c r="AA721" s="77" t="s">
        <v>2312</v>
      </c>
      <c r="AB721" s="77" t="s">
        <v>2696</v>
      </c>
      <c r="AC721" s="81" t="s">
        <v>2705</v>
      </c>
      <c r="AD721" s="77" t="s">
        <v>2752</v>
      </c>
      <c r="AE721" s="80" t="str">
        <f>HYPERLINK("https://twitter.com/inovies/status/1073053799902732288")</f>
        <v>https://twitter.com/inovies/status/1073053799902732288</v>
      </c>
      <c r="AF721" s="79">
        <v>43447.135833333334</v>
      </c>
      <c r="AG721" s="85">
        <v>43447</v>
      </c>
      <c r="AH721" s="81" t="s">
        <v>3321</v>
      </c>
      <c r="AI721" s="77" t="b">
        <v>0</v>
      </c>
      <c r="AJ721" s="77"/>
      <c r="AK721" s="77"/>
      <c r="AL721" s="77"/>
      <c r="AM721" s="77"/>
      <c r="AN721" s="77"/>
      <c r="AO721" s="77"/>
      <c r="AP721" s="77"/>
      <c r="AQ721" s="77" t="s">
        <v>4126</v>
      </c>
      <c r="AR721" s="77"/>
      <c r="AS721" s="77"/>
      <c r="AT721" s="77"/>
      <c r="AU721" s="77"/>
      <c r="AV721" s="80" t="str">
        <f>HYPERLINK("https://pbs.twimg.com/media/DuRAqsiUwAAMUnB.jpg")</f>
        <v>https://pbs.twimg.com/media/DuRAqsiUwAAMUnB.jpg</v>
      </c>
      <c r="AW721" s="81" t="s">
        <v>5067</v>
      </c>
      <c r="AX721" s="81" t="s">
        <v>5067</v>
      </c>
      <c r="AY721" s="77"/>
      <c r="AZ721" s="81" t="s">
        <v>5773</v>
      </c>
      <c r="BA721" s="81" t="s">
        <v>5773</v>
      </c>
      <c r="BB721" s="81" t="s">
        <v>5773</v>
      </c>
      <c r="BC721" s="81" t="s">
        <v>5067</v>
      </c>
      <c r="BD721" s="77">
        <v>297885438</v>
      </c>
      <c r="BE721" s="77"/>
      <c r="BF721" s="77"/>
      <c r="BG721" s="77"/>
      <c r="BH721" s="77"/>
      <c r="BI721" s="77"/>
    </row>
    <row r="722" spans="1:61" ht="15">
      <c r="A722" s="62" t="s">
        <v>299</v>
      </c>
      <c r="B722" s="62" t="s">
        <v>299</v>
      </c>
      <c r="C722" s="63"/>
      <c r="D722" s="64"/>
      <c r="E722" s="65"/>
      <c r="F722" s="66"/>
      <c r="G722" s="63"/>
      <c r="H722" s="67"/>
      <c r="I722" s="68"/>
      <c r="J722" s="68"/>
      <c r="K722" s="32" t="s">
        <v>65</v>
      </c>
      <c r="L722" s="75">
        <v>722</v>
      </c>
      <c r="M722" s="75"/>
      <c r="N722" s="70"/>
      <c r="O722" s="77" t="s">
        <v>179</v>
      </c>
      <c r="P722" s="79">
        <v>43440.61251157407</v>
      </c>
      <c r="Q722" s="80" t="str">
        <f>HYPERLINK("https://t.co/CQ8QKd3m8r")</f>
        <v>https://t.co/CQ8QKd3m8r</v>
      </c>
      <c r="R722" s="77">
        <v>0</v>
      </c>
      <c r="S722" s="77">
        <v>0</v>
      </c>
      <c r="T722" s="77">
        <v>0</v>
      </c>
      <c r="U722" s="77">
        <v>0</v>
      </c>
      <c r="V722" s="77"/>
      <c r="W722" s="77"/>
      <c r="X722" s="77"/>
      <c r="Y722" s="77"/>
      <c r="Z722" s="77"/>
      <c r="AA722" s="77" t="s">
        <v>2313</v>
      </c>
      <c r="AB722" s="77" t="s">
        <v>2696</v>
      </c>
      <c r="AC722" s="81" t="s">
        <v>2705</v>
      </c>
      <c r="AD722" s="77" t="s">
        <v>2756</v>
      </c>
      <c r="AE722" s="80" t="str">
        <f>HYPERLINK("https://twitter.com/inovies/status/1070689823998959619")</f>
        <v>https://twitter.com/inovies/status/1070689823998959619</v>
      </c>
      <c r="AF722" s="79">
        <v>43440.61251157407</v>
      </c>
      <c r="AG722" s="85">
        <v>43440</v>
      </c>
      <c r="AH722" s="81" t="s">
        <v>3322</v>
      </c>
      <c r="AI722" s="77" t="b">
        <v>0</v>
      </c>
      <c r="AJ722" s="77"/>
      <c r="AK722" s="77"/>
      <c r="AL722" s="77"/>
      <c r="AM722" s="77"/>
      <c r="AN722" s="77"/>
      <c r="AO722" s="77"/>
      <c r="AP722" s="77"/>
      <c r="AQ722" s="77" t="s">
        <v>4127</v>
      </c>
      <c r="AR722" s="77"/>
      <c r="AS722" s="77"/>
      <c r="AT722" s="77"/>
      <c r="AU722" s="77"/>
      <c r="AV722" s="80" t="str">
        <f>HYPERLINK("https://pbs.twimg.com/media/DtvaqyNU0AAL7CP.jpg")</f>
        <v>https://pbs.twimg.com/media/DtvaqyNU0AAL7CP.jpg</v>
      </c>
      <c r="AW722" s="81" t="s">
        <v>5068</v>
      </c>
      <c r="AX722" s="81" t="s">
        <v>5068</v>
      </c>
      <c r="AY722" s="77"/>
      <c r="AZ722" s="81" t="s">
        <v>5773</v>
      </c>
      <c r="BA722" s="81" t="s">
        <v>5773</v>
      </c>
      <c r="BB722" s="81" t="s">
        <v>5773</v>
      </c>
      <c r="BC722" s="81" t="s">
        <v>5068</v>
      </c>
      <c r="BD722" s="77">
        <v>297885438</v>
      </c>
      <c r="BE722" s="77"/>
      <c r="BF722" s="77"/>
      <c r="BG722" s="77"/>
      <c r="BH722" s="77"/>
      <c r="BI722" s="77"/>
    </row>
    <row r="723" spans="1:61" ht="15">
      <c r="A723" s="62" t="s">
        <v>299</v>
      </c>
      <c r="B723" s="62" t="s">
        <v>299</v>
      </c>
      <c r="C723" s="63"/>
      <c r="D723" s="64"/>
      <c r="E723" s="65"/>
      <c r="F723" s="66"/>
      <c r="G723" s="63"/>
      <c r="H723" s="67"/>
      <c r="I723" s="68"/>
      <c r="J723" s="68"/>
      <c r="K723" s="32" t="s">
        <v>65</v>
      </c>
      <c r="L723" s="75">
        <v>723</v>
      </c>
      <c r="M723" s="75"/>
      <c r="N723" s="70"/>
      <c r="O723" s="77" t="s">
        <v>179</v>
      </c>
      <c r="P723" s="79">
        <v>41743.26918981481</v>
      </c>
      <c r="Q723" s="77" t="s">
        <v>1130</v>
      </c>
      <c r="R723" s="77">
        <v>0</v>
      </c>
      <c r="S723" s="77">
        <v>2</v>
      </c>
      <c r="T723" s="77">
        <v>0</v>
      </c>
      <c r="U723" s="77">
        <v>0</v>
      </c>
      <c r="V723" s="77"/>
      <c r="W723" s="77"/>
      <c r="X723" s="80" t="str">
        <f>HYPERLINK("http://ow.ly/2FE08X")</f>
        <v>http://ow.ly/2FE08X</v>
      </c>
      <c r="Y723" s="77" t="s">
        <v>2041</v>
      </c>
      <c r="Z723" s="77"/>
      <c r="AA723" s="77"/>
      <c r="AB723" s="77"/>
      <c r="AC723" s="81" t="s">
        <v>2744</v>
      </c>
      <c r="AD723" s="77" t="s">
        <v>2751</v>
      </c>
      <c r="AE723" s="80" t="str">
        <f>HYPERLINK("https://twitter.com/inovies/status/455593201517481984")</f>
        <v>https://twitter.com/inovies/status/455593201517481984</v>
      </c>
      <c r="AF723" s="79">
        <v>41743.26918981481</v>
      </c>
      <c r="AG723" s="85">
        <v>41743</v>
      </c>
      <c r="AH723" s="81" t="s">
        <v>3323</v>
      </c>
      <c r="AI723" s="77" t="b">
        <v>0</v>
      </c>
      <c r="AJ723" s="77"/>
      <c r="AK723" s="77"/>
      <c r="AL723" s="77"/>
      <c r="AM723" s="77"/>
      <c r="AN723" s="77"/>
      <c r="AO723" s="77"/>
      <c r="AP723" s="77"/>
      <c r="AQ723" s="77"/>
      <c r="AR723" s="77"/>
      <c r="AS723" s="77"/>
      <c r="AT723" s="77"/>
      <c r="AU723" s="77"/>
      <c r="AV723" s="80" t="str">
        <f>HYPERLINK("https://pbs.twimg.com/profile_images/833576943677214720/5ZyUgpEJ_normal.jpg")</f>
        <v>https://pbs.twimg.com/profile_images/833576943677214720/5ZyUgpEJ_normal.jpg</v>
      </c>
      <c r="AW723" s="81" t="s">
        <v>5069</v>
      </c>
      <c r="AX723" s="81" t="s">
        <v>5069</v>
      </c>
      <c r="AY723" s="77"/>
      <c r="AZ723" s="81" t="s">
        <v>5773</v>
      </c>
      <c r="BA723" s="81" t="s">
        <v>5773</v>
      </c>
      <c r="BB723" s="81" t="s">
        <v>5773</v>
      </c>
      <c r="BC723" s="81" t="s">
        <v>5069</v>
      </c>
      <c r="BD723" s="77">
        <v>297885438</v>
      </c>
      <c r="BE723" s="77"/>
      <c r="BF723" s="77"/>
      <c r="BG723" s="77"/>
      <c r="BH723" s="77"/>
      <c r="BI723" s="77"/>
    </row>
    <row r="724" spans="1:61" ht="15">
      <c r="A724" s="62" t="s">
        <v>299</v>
      </c>
      <c r="B724" s="62" t="s">
        <v>299</v>
      </c>
      <c r="C724" s="63"/>
      <c r="D724" s="64"/>
      <c r="E724" s="65"/>
      <c r="F724" s="66"/>
      <c r="G724" s="63"/>
      <c r="H724" s="67"/>
      <c r="I724" s="68"/>
      <c r="J724" s="68"/>
      <c r="K724" s="32" t="s">
        <v>65</v>
      </c>
      <c r="L724" s="75">
        <v>724</v>
      </c>
      <c r="M724" s="75"/>
      <c r="N724" s="70"/>
      <c r="O724" s="77" t="s">
        <v>179</v>
      </c>
      <c r="P724" s="79">
        <v>41737.352858796294</v>
      </c>
      <c r="Q724" s="77" t="s">
        <v>1131</v>
      </c>
      <c r="R724" s="77">
        <v>0</v>
      </c>
      <c r="S724" s="77">
        <v>1</v>
      </c>
      <c r="T724" s="77">
        <v>0</v>
      </c>
      <c r="U724" s="77">
        <v>0</v>
      </c>
      <c r="V724" s="77"/>
      <c r="W724" s="77"/>
      <c r="X724" s="80" t="str">
        <f>HYPERLINK("http://ow.ly/2FsvQh")</f>
        <v>http://ow.ly/2FsvQh</v>
      </c>
      <c r="Y724" s="77" t="s">
        <v>2041</v>
      </c>
      <c r="Z724" s="77"/>
      <c r="AA724" s="77"/>
      <c r="AB724" s="77"/>
      <c r="AC724" s="81" t="s">
        <v>2744</v>
      </c>
      <c r="AD724" s="77" t="s">
        <v>2751</v>
      </c>
      <c r="AE724" s="80" t="str">
        <f>HYPERLINK("https://twitter.com/inovies/status/453449196163825664")</f>
        <v>https://twitter.com/inovies/status/453449196163825664</v>
      </c>
      <c r="AF724" s="79">
        <v>41737.352858796294</v>
      </c>
      <c r="AG724" s="85">
        <v>41737</v>
      </c>
      <c r="AH724" s="81" t="s">
        <v>3324</v>
      </c>
      <c r="AI724" s="77" t="b">
        <v>0</v>
      </c>
      <c r="AJ724" s="77"/>
      <c r="AK724" s="77"/>
      <c r="AL724" s="77"/>
      <c r="AM724" s="77"/>
      <c r="AN724" s="77"/>
      <c r="AO724" s="77"/>
      <c r="AP724" s="77"/>
      <c r="AQ724" s="77"/>
      <c r="AR724" s="77"/>
      <c r="AS724" s="77"/>
      <c r="AT724" s="77"/>
      <c r="AU724" s="77"/>
      <c r="AV724" s="80" t="str">
        <f>HYPERLINK("https://pbs.twimg.com/profile_images/833576943677214720/5ZyUgpEJ_normal.jpg")</f>
        <v>https://pbs.twimg.com/profile_images/833576943677214720/5ZyUgpEJ_normal.jpg</v>
      </c>
      <c r="AW724" s="81" t="s">
        <v>5070</v>
      </c>
      <c r="AX724" s="81" t="s">
        <v>5070</v>
      </c>
      <c r="AY724" s="77"/>
      <c r="AZ724" s="81" t="s">
        <v>5773</v>
      </c>
      <c r="BA724" s="81" t="s">
        <v>5773</v>
      </c>
      <c r="BB724" s="81" t="s">
        <v>5773</v>
      </c>
      <c r="BC724" s="81" t="s">
        <v>5070</v>
      </c>
      <c r="BD724" s="77">
        <v>297885438</v>
      </c>
      <c r="BE724" s="77"/>
      <c r="BF724" s="77"/>
      <c r="BG724" s="77"/>
      <c r="BH724" s="77"/>
      <c r="BI724" s="77"/>
    </row>
    <row r="725" spans="1:61" ht="15">
      <c r="A725" s="62" t="s">
        <v>299</v>
      </c>
      <c r="B725" s="62" t="s">
        <v>299</v>
      </c>
      <c r="C725" s="63"/>
      <c r="D725" s="64"/>
      <c r="E725" s="65"/>
      <c r="F725" s="66"/>
      <c r="G725" s="63"/>
      <c r="H725" s="67"/>
      <c r="I725" s="68"/>
      <c r="J725" s="68"/>
      <c r="K725" s="32" t="s">
        <v>65</v>
      </c>
      <c r="L725" s="75">
        <v>725</v>
      </c>
      <c r="M725" s="75"/>
      <c r="N725" s="70"/>
      <c r="O725" s="77" t="s">
        <v>571</v>
      </c>
      <c r="P725" s="79">
        <v>41732.340844907405</v>
      </c>
      <c r="Q725" s="77" t="s">
        <v>1132</v>
      </c>
      <c r="R725" s="77">
        <v>0</v>
      </c>
      <c r="S725" s="77">
        <v>0</v>
      </c>
      <c r="T725" s="77">
        <v>0</v>
      </c>
      <c r="U725" s="77">
        <v>0</v>
      </c>
      <c r="V725" s="77"/>
      <c r="W725" s="77"/>
      <c r="X725" s="80" t="str">
        <f>HYPERLINK("http://www.inovies.com/inovies_news.php?id=22")</f>
        <v>http://www.inovies.com/inovies_news.php?id=22</v>
      </c>
      <c r="Y725" s="77" t="s">
        <v>1982</v>
      </c>
      <c r="Z725" s="77" t="s">
        <v>299</v>
      </c>
      <c r="AA725" s="77"/>
      <c r="AB725" s="77"/>
      <c r="AC725" s="81" t="s">
        <v>2712</v>
      </c>
      <c r="AD725" s="77" t="s">
        <v>2751</v>
      </c>
      <c r="AE725" s="80" t="str">
        <f>HYPERLINK("https://twitter.com/inovies/status/451632902032199680")</f>
        <v>https://twitter.com/inovies/status/451632902032199680</v>
      </c>
      <c r="AF725" s="79">
        <v>41732.340844907405</v>
      </c>
      <c r="AG725" s="85">
        <v>41732</v>
      </c>
      <c r="AH725" s="81" t="s">
        <v>3325</v>
      </c>
      <c r="AI725" s="77" t="b">
        <v>0</v>
      </c>
      <c r="AJ725" s="77"/>
      <c r="AK725" s="77"/>
      <c r="AL725" s="77"/>
      <c r="AM725" s="77"/>
      <c r="AN725" s="77"/>
      <c r="AO725" s="77"/>
      <c r="AP725" s="77"/>
      <c r="AQ725" s="77"/>
      <c r="AR725" s="77"/>
      <c r="AS725" s="77"/>
      <c r="AT725" s="77"/>
      <c r="AU725" s="77"/>
      <c r="AV725" s="80" t="str">
        <f>HYPERLINK("https://pbs.twimg.com/profile_images/833576943677214720/5ZyUgpEJ_normal.jpg")</f>
        <v>https://pbs.twimg.com/profile_images/833576943677214720/5ZyUgpEJ_normal.jpg</v>
      </c>
      <c r="AW725" s="81" t="s">
        <v>5071</v>
      </c>
      <c r="AX725" s="81" t="s">
        <v>5071</v>
      </c>
      <c r="AY725" s="77"/>
      <c r="AZ725" s="81" t="s">
        <v>5773</v>
      </c>
      <c r="BA725" s="81" t="s">
        <v>5773</v>
      </c>
      <c r="BB725" s="81" t="s">
        <v>5773</v>
      </c>
      <c r="BC725" s="81" t="s">
        <v>5071</v>
      </c>
      <c r="BD725" s="77">
        <v>297885438</v>
      </c>
      <c r="BE725" s="77"/>
      <c r="BF725" s="77"/>
      <c r="BG725" s="77"/>
      <c r="BH725" s="77"/>
      <c r="BI725" s="77"/>
    </row>
    <row r="726" spans="1:61" ht="15">
      <c r="A726" s="62" t="s">
        <v>299</v>
      </c>
      <c r="B726" s="62" t="s">
        <v>299</v>
      </c>
      <c r="C726" s="63"/>
      <c r="D726" s="64"/>
      <c r="E726" s="65"/>
      <c r="F726" s="66"/>
      <c r="G726" s="63"/>
      <c r="H726" s="67"/>
      <c r="I726" s="68"/>
      <c r="J726" s="68"/>
      <c r="K726" s="32" t="s">
        <v>65</v>
      </c>
      <c r="L726" s="75">
        <v>726</v>
      </c>
      <c r="M726" s="75"/>
      <c r="N726" s="70"/>
      <c r="O726" s="77" t="s">
        <v>571</v>
      </c>
      <c r="P726" s="79">
        <v>41732.334375</v>
      </c>
      <c r="Q726" s="77" t="s">
        <v>1133</v>
      </c>
      <c r="R726" s="77">
        <v>0</v>
      </c>
      <c r="S726" s="77">
        <v>0</v>
      </c>
      <c r="T726" s="77">
        <v>0</v>
      </c>
      <c r="U726" s="77">
        <v>0</v>
      </c>
      <c r="V726" s="77"/>
      <c r="W726" s="77"/>
      <c r="X726" s="80" t="str">
        <f>HYPERLINK("http://www.inovies.com/inovies_news.php?id=21")</f>
        <v>http://www.inovies.com/inovies_news.php?id=21</v>
      </c>
      <c r="Y726" s="77" t="s">
        <v>1982</v>
      </c>
      <c r="Z726" s="77" t="s">
        <v>299</v>
      </c>
      <c r="AA726" s="77"/>
      <c r="AB726" s="77"/>
      <c r="AC726" s="81" t="s">
        <v>2712</v>
      </c>
      <c r="AD726" s="77" t="s">
        <v>2751</v>
      </c>
      <c r="AE726" s="80" t="str">
        <f>HYPERLINK("https://twitter.com/inovies/status/451630556938129409")</f>
        <v>https://twitter.com/inovies/status/451630556938129409</v>
      </c>
      <c r="AF726" s="79">
        <v>41732.334375</v>
      </c>
      <c r="AG726" s="85">
        <v>41732</v>
      </c>
      <c r="AH726" s="81" t="s">
        <v>3326</v>
      </c>
      <c r="AI726" s="77" t="b">
        <v>0</v>
      </c>
      <c r="AJ726" s="77"/>
      <c r="AK726" s="77"/>
      <c r="AL726" s="77"/>
      <c r="AM726" s="77"/>
      <c r="AN726" s="77"/>
      <c r="AO726" s="77"/>
      <c r="AP726" s="77"/>
      <c r="AQ726" s="77"/>
      <c r="AR726" s="77"/>
      <c r="AS726" s="77"/>
      <c r="AT726" s="77"/>
      <c r="AU726" s="77"/>
      <c r="AV726" s="80" t="str">
        <f>HYPERLINK("https://pbs.twimg.com/profile_images/833576943677214720/5ZyUgpEJ_normal.jpg")</f>
        <v>https://pbs.twimg.com/profile_images/833576943677214720/5ZyUgpEJ_normal.jpg</v>
      </c>
      <c r="AW726" s="81" t="s">
        <v>5072</v>
      </c>
      <c r="AX726" s="81" t="s">
        <v>5072</v>
      </c>
      <c r="AY726" s="77"/>
      <c r="AZ726" s="81" t="s">
        <v>5773</v>
      </c>
      <c r="BA726" s="81" t="s">
        <v>5773</v>
      </c>
      <c r="BB726" s="81" t="s">
        <v>5773</v>
      </c>
      <c r="BC726" s="81" t="s">
        <v>5072</v>
      </c>
      <c r="BD726" s="77">
        <v>297885438</v>
      </c>
      <c r="BE726" s="77"/>
      <c r="BF726" s="77"/>
      <c r="BG726" s="77"/>
      <c r="BH726" s="77"/>
      <c r="BI726" s="77"/>
    </row>
    <row r="727" spans="1:61" ht="15">
      <c r="A727" s="62" t="s">
        <v>299</v>
      </c>
      <c r="B727" s="62" t="s">
        <v>299</v>
      </c>
      <c r="C727" s="63"/>
      <c r="D727" s="64"/>
      <c r="E727" s="65"/>
      <c r="F727" s="66"/>
      <c r="G727" s="63"/>
      <c r="H727" s="67"/>
      <c r="I727" s="68"/>
      <c r="J727" s="68"/>
      <c r="K727" s="32" t="s">
        <v>65</v>
      </c>
      <c r="L727" s="75">
        <v>727</v>
      </c>
      <c r="M727" s="75"/>
      <c r="N727" s="70"/>
      <c r="O727" s="77" t="s">
        <v>571</v>
      </c>
      <c r="P727" s="79">
        <v>41725.58740740741</v>
      </c>
      <c r="Q727" s="77" t="s">
        <v>1134</v>
      </c>
      <c r="R727" s="77">
        <v>0</v>
      </c>
      <c r="S727" s="77">
        <v>0</v>
      </c>
      <c r="T727" s="77">
        <v>0</v>
      </c>
      <c r="U727" s="77">
        <v>0</v>
      </c>
      <c r="V727" s="77"/>
      <c r="W727" s="77"/>
      <c r="X727" s="80" t="str">
        <f>HYPERLINK("http://inovies.com/inovies_news.php?id=11")</f>
        <v>http://inovies.com/inovies_news.php?id=11</v>
      </c>
      <c r="Y727" s="77" t="s">
        <v>1982</v>
      </c>
      <c r="Z727" s="77" t="s">
        <v>299</v>
      </c>
      <c r="AA727" s="77"/>
      <c r="AB727" s="77"/>
      <c r="AC727" s="81" t="s">
        <v>2712</v>
      </c>
      <c r="AD727" s="77" t="s">
        <v>2751</v>
      </c>
      <c r="AE727" s="80" t="str">
        <f>HYPERLINK("https://twitter.com/inovies/status/449185540433129472")</f>
        <v>https://twitter.com/inovies/status/449185540433129472</v>
      </c>
      <c r="AF727" s="79">
        <v>41725.58740740741</v>
      </c>
      <c r="AG727" s="85">
        <v>41725</v>
      </c>
      <c r="AH727" s="81" t="s">
        <v>3327</v>
      </c>
      <c r="AI727" s="77" t="b">
        <v>0</v>
      </c>
      <c r="AJ727" s="77"/>
      <c r="AK727" s="77"/>
      <c r="AL727" s="77"/>
      <c r="AM727" s="77"/>
      <c r="AN727" s="77"/>
      <c r="AO727" s="77"/>
      <c r="AP727" s="77"/>
      <c r="AQ727" s="77"/>
      <c r="AR727" s="77"/>
      <c r="AS727" s="77"/>
      <c r="AT727" s="77"/>
      <c r="AU727" s="77"/>
      <c r="AV727" s="80" t="str">
        <f>HYPERLINK("https://pbs.twimg.com/profile_images/833576943677214720/5ZyUgpEJ_normal.jpg")</f>
        <v>https://pbs.twimg.com/profile_images/833576943677214720/5ZyUgpEJ_normal.jpg</v>
      </c>
      <c r="AW727" s="81" t="s">
        <v>5073</v>
      </c>
      <c r="AX727" s="81" t="s">
        <v>5073</v>
      </c>
      <c r="AY727" s="77"/>
      <c r="AZ727" s="81" t="s">
        <v>5773</v>
      </c>
      <c r="BA727" s="81" t="s">
        <v>5773</v>
      </c>
      <c r="BB727" s="81" t="s">
        <v>5773</v>
      </c>
      <c r="BC727" s="81" t="s">
        <v>5073</v>
      </c>
      <c r="BD727" s="77">
        <v>297885438</v>
      </c>
      <c r="BE727" s="77"/>
      <c r="BF727" s="77"/>
      <c r="BG727" s="77"/>
      <c r="BH727" s="77"/>
      <c r="BI727" s="77"/>
    </row>
    <row r="728" spans="1:61" ht="15">
      <c r="A728" s="62" t="s">
        <v>299</v>
      </c>
      <c r="B728" s="62" t="s">
        <v>299</v>
      </c>
      <c r="C728" s="63"/>
      <c r="D728" s="64"/>
      <c r="E728" s="65"/>
      <c r="F728" s="66"/>
      <c r="G728" s="63"/>
      <c r="H728" s="67"/>
      <c r="I728" s="68"/>
      <c r="J728" s="68"/>
      <c r="K728" s="32" t="s">
        <v>65</v>
      </c>
      <c r="L728" s="75">
        <v>728</v>
      </c>
      <c r="M728" s="75"/>
      <c r="N728" s="70"/>
      <c r="O728" s="77" t="s">
        <v>571</v>
      </c>
      <c r="P728" s="79">
        <v>41725.5871875</v>
      </c>
      <c r="Q728" s="77" t="s">
        <v>1135</v>
      </c>
      <c r="R728" s="77">
        <v>0</v>
      </c>
      <c r="S728" s="77">
        <v>0</v>
      </c>
      <c r="T728" s="77">
        <v>0</v>
      </c>
      <c r="U728" s="77">
        <v>0</v>
      </c>
      <c r="V728" s="77"/>
      <c r="W728" s="77"/>
      <c r="X728" s="80" t="str">
        <f>HYPERLINK("http://inovies.com/inovies_news.php?id=12")</f>
        <v>http://inovies.com/inovies_news.php?id=12</v>
      </c>
      <c r="Y728" s="77" t="s">
        <v>1982</v>
      </c>
      <c r="Z728" s="77" t="s">
        <v>299</v>
      </c>
      <c r="AA728" s="77"/>
      <c r="AB728" s="77"/>
      <c r="AC728" s="81" t="s">
        <v>2712</v>
      </c>
      <c r="AD728" s="77" t="s">
        <v>2751</v>
      </c>
      <c r="AE728" s="80" t="str">
        <f>HYPERLINK("https://twitter.com/inovies/status/449185457708871681")</f>
        <v>https://twitter.com/inovies/status/449185457708871681</v>
      </c>
      <c r="AF728" s="79">
        <v>41725.5871875</v>
      </c>
      <c r="AG728" s="85">
        <v>41725</v>
      </c>
      <c r="AH728" s="81" t="s">
        <v>3328</v>
      </c>
      <c r="AI728" s="77" t="b">
        <v>0</v>
      </c>
      <c r="AJ728" s="77"/>
      <c r="AK728" s="77"/>
      <c r="AL728" s="77"/>
      <c r="AM728" s="77"/>
      <c r="AN728" s="77"/>
      <c r="AO728" s="77"/>
      <c r="AP728" s="77"/>
      <c r="AQ728" s="77"/>
      <c r="AR728" s="77"/>
      <c r="AS728" s="77"/>
      <c r="AT728" s="77"/>
      <c r="AU728" s="77"/>
      <c r="AV728" s="80" t="str">
        <f>HYPERLINK("https://pbs.twimg.com/profile_images/833576943677214720/5ZyUgpEJ_normal.jpg")</f>
        <v>https://pbs.twimg.com/profile_images/833576943677214720/5ZyUgpEJ_normal.jpg</v>
      </c>
      <c r="AW728" s="81" t="s">
        <v>5074</v>
      </c>
      <c r="AX728" s="81" t="s">
        <v>5074</v>
      </c>
      <c r="AY728" s="77"/>
      <c r="AZ728" s="81" t="s">
        <v>5773</v>
      </c>
      <c r="BA728" s="81" t="s">
        <v>5773</v>
      </c>
      <c r="BB728" s="81" t="s">
        <v>5773</v>
      </c>
      <c r="BC728" s="81" t="s">
        <v>5074</v>
      </c>
      <c r="BD728" s="77">
        <v>297885438</v>
      </c>
      <c r="BE728" s="77"/>
      <c r="BF728" s="77"/>
      <c r="BG728" s="77"/>
      <c r="BH728" s="77"/>
      <c r="BI728" s="77"/>
    </row>
    <row r="729" spans="1:61" ht="15">
      <c r="A729" s="62" t="s">
        <v>299</v>
      </c>
      <c r="B729" s="62" t="s">
        <v>299</v>
      </c>
      <c r="C729" s="63"/>
      <c r="D729" s="64"/>
      <c r="E729" s="65"/>
      <c r="F729" s="66"/>
      <c r="G729" s="63"/>
      <c r="H729" s="67"/>
      <c r="I729" s="68"/>
      <c r="J729" s="68"/>
      <c r="K729" s="32" t="s">
        <v>65</v>
      </c>
      <c r="L729" s="75">
        <v>729</v>
      </c>
      <c r="M729" s="75"/>
      <c r="N729" s="70"/>
      <c r="O729" s="77" t="s">
        <v>571</v>
      </c>
      <c r="P729" s="79">
        <v>41725.58697916667</v>
      </c>
      <c r="Q729" s="77" t="s">
        <v>1136</v>
      </c>
      <c r="R729" s="77">
        <v>0</v>
      </c>
      <c r="S729" s="77">
        <v>0</v>
      </c>
      <c r="T729" s="77">
        <v>0</v>
      </c>
      <c r="U729" s="77">
        <v>0</v>
      </c>
      <c r="V729" s="77"/>
      <c r="W729" s="77"/>
      <c r="X729" s="80" t="str">
        <f>HYPERLINK("http://inovies.com/inovies_news.php?id=13")</f>
        <v>http://inovies.com/inovies_news.php?id=13</v>
      </c>
      <c r="Y729" s="77" t="s">
        <v>1982</v>
      </c>
      <c r="Z729" s="77" t="s">
        <v>299</v>
      </c>
      <c r="AA729" s="77"/>
      <c r="AB729" s="77"/>
      <c r="AC729" s="81" t="s">
        <v>2712</v>
      </c>
      <c r="AD729" s="77" t="s">
        <v>2751</v>
      </c>
      <c r="AE729" s="80" t="str">
        <f>HYPERLINK("https://twitter.com/inovies/status/449185382186242048")</f>
        <v>https://twitter.com/inovies/status/449185382186242048</v>
      </c>
      <c r="AF729" s="79">
        <v>41725.58697916667</v>
      </c>
      <c r="AG729" s="85">
        <v>41725</v>
      </c>
      <c r="AH729" s="81" t="s">
        <v>3329</v>
      </c>
      <c r="AI729" s="77" t="b">
        <v>0</v>
      </c>
      <c r="AJ729" s="77"/>
      <c r="AK729" s="77"/>
      <c r="AL729" s="77"/>
      <c r="AM729" s="77"/>
      <c r="AN729" s="77"/>
      <c r="AO729" s="77"/>
      <c r="AP729" s="77"/>
      <c r="AQ729" s="77"/>
      <c r="AR729" s="77"/>
      <c r="AS729" s="77"/>
      <c r="AT729" s="77"/>
      <c r="AU729" s="77"/>
      <c r="AV729" s="80" t="str">
        <f>HYPERLINK("https://pbs.twimg.com/profile_images/833576943677214720/5ZyUgpEJ_normal.jpg")</f>
        <v>https://pbs.twimg.com/profile_images/833576943677214720/5ZyUgpEJ_normal.jpg</v>
      </c>
      <c r="AW729" s="81" t="s">
        <v>5075</v>
      </c>
      <c r="AX729" s="81" t="s">
        <v>5075</v>
      </c>
      <c r="AY729" s="77"/>
      <c r="AZ729" s="81" t="s">
        <v>5773</v>
      </c>
      <c r="BA729" s="81" t="s">
        <v>5773</v>
      </c>
      <c r="BB729" s="81" t="s">
        <v>5773</v>
      </c>
      <c r="BC729" s="81" t="s">
        <v>5075</v>
      </c>
      <c r="BD729" s="77">
        <v>297885438</v>
      </c>
      <c r="BE729" s="77"/>
      <c r="BF729" s="77"/>
      <c r="BG729" s="77"/>
      <c r="BH729" s="77"/>
      <c r="BI729" s="77"/>
    </row>
    <row r="730" spans="1:61" ht="15">
      <c r="A730" s="62" t="s">
        <v>299</v>
      </c>
      <c r="B730" s="62" t="s">
        <v>299</v>
      </c>
      <c r="C730" s="63"/>
      <c r="D730" s="64"/>
      <c r="E730" s="65"/>
      <c r="F730" s="66"/>
      <c r="G730" s="63"/>
      <c r="H730" s="67"/>
      <c r="I730" s="68"/>
      <c r="J730" s="68"/>
      <c r="K730" s="32" t="s">
        <v>65</v>
      </c>
      <c r="L730" s="75">
        <v>730</v>
      </c>
      <c r="M730" s="75"/>
      <c r="N730" s="70"/>
      <c r="O730" s="77" t="s">
        <v>571</v>
      </c>
      <c r="P730" s="79">
        <v>41725.585868055554</v>
      </c>
      <c r="Q730" s="77" t="s">
        <v>1137</v>
      </c>
      <c r="R730" s="77">
        <v>0</v>
      </c>
      <c r="S730" s="77">
        <v>0</v>
      </c>
      <c r="T730" s="77">
        <v>0</v>
      </c>
      <c r="U730" s="77">
        <v>0</v>
      </c>
      <c r="V730" s="77"/>
      <c r="W730" s="77"/>
      <c r="X730" s="80" t="str">
        <f>HYPERLINK("http://inovies.com/inovies_news.php?id=15")</f>
        <v>http://inovies.com/inovies_news.php?id=15</v>
      </c>
      <c r="Y730" s="77" t="s">
        <v>1982</v>
      </c>
      <c r="Z730" s="77" t="s">
        <v>299</v>
      </c>
      <c r="AA730" s="77"/>
      <c r="AB730" s="77"/>
      <c r="AC730" s="81" t="s">
        <v>2712</v>
      </c>
      <c r="AD730" s="77" t="s">
        <v>2751</v>
      </c>
      <c r="AE730" s="80" t="str">
        <f>HYPERLINK("https://twitter.com/inovies/status/449184980229320706")</f>
        <v>https://twitter.com/inovies/status/449184980229320706</v>
      </c>
      <c r="AF730" s="79">
        <v>41725.585868055554</v>
      </c>
      <c r="AG730" s="85">
        <v>41725</v>
      </c>
      <c r="AH730" s="81" t="s">
        <v>3330</v>
      </c>
      <c r="AI730" s="77" t="b">
        <v>0</v>
      </c>
      <c r="AJ730" s="77"/>
      <c r="AK730" s="77"/>
      <c r="AL730" s="77"/>
      <c r="AM730" s="77"/>
      <c r="AN730" s="77"/>
      <c r="AO730" s="77"/>
      <c r="AP730" s="77"/>
      <c r="AQ730" s="77"/>
      <c r="AR730" s="77"/>
      <c r="AS730" s="77"/>
      <c r="AT730" s="77"/>
      <c r="AU730" s="77"/>
      <c r="AV730" s="80" t="str">
        <f>HYPERLINK("https://pbs.twimg.com/profile_images/833576943677214720/5ZyUgpEJ_normal.jpg")</f>
        <v>https://pbs.twimg.com/profile_images/833576943677214720/5ZyUgpEJ_normal.jpg</v>
      </c>
      <c r="AW730" s="81" t="s">
        <v>5076</v>
      </c>
      <c r="AX730" s="81" t="s">
        <v>5076</v>
      </c>
      <c r="AY730" s="77"/>
      <c r="AZ730" s="81" t="s">
        <v>5773</v>
      </c>
      <c r="BA730" s="81" t="s">
        <v>5773</v>
      </c>
      <c r="BB730" s="81" t="s">
        <v>5773</v>
      </c>
      <c r="BC730" s="81" t="s">
        <v>5076</v>
      </c>
      <c r="BD730" s="77">
        <v>297885438</v>
      </c>
      <c r="BE730" s="77"/>
      <c r="BF730" s="77"/>
      <c r="BG730" s="77"/>
      <c r="BH730" s="77"/>
      <c r="BI730" s="77"/>
    </row>
    <row r="731" spans="1:61" ht="15">
      <c r="A731" s="62" t="s">
        <v>299</v>
      </c>
      <c r="B731" s="62" t="s">
        <v>299</v>
      </c>
      <c r="C731" s="63"/>
      <c r="D731" s="64"/>
      <c r="E731" s="65"/>
      <c r="F731" s="66"/>
      <c r="G731" s="63"/>
      <c r="H731" s="67"/>
      <c r="I731" s="68"/>
      <c r="J731" s="68"/>
      <c r="K731" s="32" t="s">
        <v>65</v>
      </c>
      <c r="L731" s="75">
        <v>731</v>
      </c>
      <c r="M731" s="75"/>
      <c r="N731" s="70"/>
      <c r="O731" s="77" t="s">
        <v>179</v>
      </c>
      <c r="P731" s="79">
        <v>41376.728900462964</v>
      </c>
      <c r="Q731" s="77" t="s">
        <v>1138</v>
      </c>
      <c r="R731" s="77">
        <v>0</v>
      </c>
      <c r="S731" s="77">
        <v>0</v>
      </c>
      <c r="T731" s="77">
        <v>0</v>
      </c>
      <c r="U731" s="77">
        <v>0</v>
      </c>
      <c r="V731" s="77"/>
      <c r="W731" s="77"/>
      <c r="X731" s="77"/>
      <c r="Y731" s="77"/>
      <c r="Z731" s="77"/>
      <c r="AA731" s="77"/>
      <c r="AB731" s="77"/>
      <c r="AC731" s="81" t="s">
        <v>2704</v>
      </c>
      <c r="AD731" s="77" t="s">
        <v>2751</v>
      </c>
      <c r="AE731" s="80" t="str">
        <f>HYPERLINK("https://twitter.com/inovies/status/322763449753026560")</f>
        <v>https://twitter.com/inovies/status/322763449753026560</v>
      </c>
      <c r="AF731" s="79">
        <v>41376.728900462964</v>
      </c>
      <c r="AG731" s="85">
        <v>41376</v>
      </c>
      <c r="AH731" s="81" t="s">
        <v>3331</v>
      </c>
      <c r="AI731" s="77"/>
      <c r="AJ731" s="77"/>
      <c r="AK731" s="77"/>
      <c r="AL731" s="77"/>
      <c r="AM731" s="77"/>
      <c r="AN731" s="77"/>
      <c r="AO731" s="77"/>
      <c r="AP731" s="77"/>
      <c r="AQ731" s="77"/>
      <c r="AR731" s="77"/>
      <c r="AS731" s="77"/>
      <c r="AT731" s="77"/>
      <c r="AU731" s="77"/>
      <c r="AV731" s="80" t="str">
        <f>HYPERLINK("https://pbs.twimg.com/profile_images/833576943677214720/5ZyUgpEJ_normal.jpg")</f>
        <v>https://pbs.twimg.com/profile_images/833576943677214720/5ZyUgpEJ_normal.jpg</v>
      </c>
      <c r="AW731" s="81" t="s">
        <v>5077</v>
      </c>
      <c r="AX731" s="81" t="s">
        <v>5077</v>
      </c>
      <c r="AY731" s="77"/>
      <c r="AZ731" s="81" t="s">
        <v>5773</v>
      </c>
      <c r="BA731" s="81" t="s">
        <v>5773</v>
      </c>
      <c r="BB731" s="81" t="s">
        <v>5773</v>
      </c>
      <c r="BC731" s="81" t="s">
        <v>5077</v>
      </c>
      <c r="BD731" s="77">
        <v>297885438</v>
      </c>
      <c r="BE731" s="77"/>
      <c r="BF731" s="77"/>
      <c r="BG731" s="77"/>
      <c r="BH731" s="77"/>
      <c r="BI731" s="77"/>
    </row>
    <row r="732" spans="1:61" ht="15">
      <c r="A732" s="62" t="s">
        <v>299</v>
      </c>
      <c r="B732" s="62" t="s">
        <v>299</v>
      </c>
      <c r="C732" s="63"/>
      <c r="D732" s="64"/>
      <c r="E732" s="65"/>
      <c r="F732" s="66"/>
      <c r="G732" s="63"/>
      <c r="H732" s="67"/>
      <c r="I732" s="68"/>
      <c r="J732" s="68"/>
      <c r="K732" s="32" t="s">
        <v>65</v>
      </c>
      <c r="L732" s="75">
        <v>732</v>
      </c>
      <c r="M732" s="75"/>
      <c r="N732" s="70"/>
      <c r="O732" s="77" t="s">
        <v>179</v>
      </c>
      <c r="P732" s="79">
        <v>41088.332083333335</v>
      </c>
      <c r="Q732" s="80" t="str">
        <f>HYPERLINK("http://t.co/FJFg0AIn")</f>
        <v>http://t.co/FJFg0AIn</v>
      </c>
      <c r="R732" s="77">
        <v>0</v>
      </c>
      <c r="S732" s="77">
        <v>0</v>
      </c>
      <c r="T732" s="77">
        <v>0</v>
      </c>
      <c r="U732" s="77">
        <v>0</v>
      </c>
      <c r="V732" s="77"/>
      <c r="W732" s="77"/>
      <c r="X732" s="80" t="str">
        <f>HYPERLINK("http://www.facebook.com/InoviesGroup/app_190322544333196")</f>
        <v>http://www.facebook.com/InoviesGroup/app_190322544333196</v>
      </c>
      <c r="Y732" s="77" t="s">
        <v>2043</v>
      </c>
      <c r="Z732" s="77"/>
      <c r="AA732" s="77"/>
      <c r="AB732" s="77"/>
      <c r="AC732" s="81" t="s">
        <v>2705</v>
      </c>
      <c r="AD732" s="77" t="s">
        <v>2756</v>
      </c>
      <c r="AE732" s="80" t="str">
        <f>HYPERLINK("https://twitter.com/inovies/status/218251941745143809")</f>
        <v>https://twitter.com/inovies/status/218251941745143809</v>
      </c>
      <c r="AF732" s="79">
        <v>41088.332083333335</v>
      </c>
      <c r="AG732" s="85">
        <v>41088</v>
      </c>
      <c r="AH732" s="81" t="s">
        <v>3332</v>
      </c>
      <c r="AI732" s="77" t="b">
        <v>0</v>
      </c>
      <c r="AJ732" s="77"/>
      <c r="AK732" s="77"/>
      <c r="AL732" s="77"/>
      <c r="AM732" s="77"/>
      <c r="AN732" s="77"/>
      <c r="AO732" s="77"/>
      <c r="AP732" s="77"/>
      <c r="AQ732" s="77"/>
      <c r="AR732" s="77"/>
      <c r="AS732" s="77"/>
      <c r="AT732" s="77"/>
      <c r="AU732" s="77"/>
      <c r="AV732" s="80" t="str">
        <f>HYPERLINK("https://pbs.twimg.com/profile_images/833576943677214720/5ZyUgpEJ_normal.jpg")</f>
        <v>https://pbs.twimg.com/profile_images/833576943677214720/5ZyUgpEJ_normal.jpg</v>
      </c>
      <c r="AW732" s="81" t="s">
        <v>5078</v>
      </c>
      <c r="AX732" s="81" t="s">
        <v>5078</v>
      </c>
      <c r="AY732" s="77"/>
      <c r="AZ732" s="81" t="s">
        <v>5773</v>
      </c>
      <c r="BA732" s="81" t="s">
        <v>5773</v>
      </c>
      <c r="BB732" s="81" t="s">
        <v>5773</v>
      </c>
      <c r="BC732" s="81" t="s">
        <v>5078</v>
      </c>
      <c r="BD732" s="77">
        <v>297885438</v>
      </c>
      <c r="BE732" s="77"/>
      <c r="BF732" s="77"/>
      <c r="BG732" s="77"/>
      <c r="BH732" s="77"/>
      <c r="BI732" s="77"/>
    </row>
    <row r="733" spans="1:61" ht="15">
      <c r="A733" s="62" t="s">
        <v>299</v>
      </c>
      <c r="B733" s="62" t="s">
        <v>299</v>
      </c>
      <c r="C733" s="63"/>
      <c r="D733" s="64"/>
      <c r="E733" s="65"/>
      <c r="F733" s="66"/>
      <c r="G733" s="63"/>
      <c r="H733" s="67"/>
      <c r="I733" s="68"/>
      <c r="J733" s="68"/>
      <c r="K733" s="32" t="s">
        <v>65</v>
      </c>
      <c r="L733" s="75">
        <v>733</v>
      </c>
      <c r="M733" s="75"/>
      <c r="N733" s="70"/>
      <c r="O733" s="77" t="s">
        <v>179</v>
      </c>
      <c r="P733" s="79">
        <v>45267.75399305556</v>
      </c>
      <c r="Q733" s="77" t="s">
        <v>1139</v>
      </c>
      <c r="R733" s="77">
        <v>0</v>
      </c>
      <c r="S733" s="77">
        <v>0</v>
      </c>
      <c r="T733" s="77">
        <v>0</v>
      </c>
      <c r="U733" s="77">
        <v>0</v>
      </c>
      <c r="V733" s="77">
        <v>5</v>
      </c>
      <c r="W733" s="81" t="s">
        <v>1871</v>
      </c>
      <c r="X733" s="80" t="str">
        <f>HYPERLINK("https://inovies.com")</f>
        <v>https://inovies.com</v>
      </c>
      <c r="Y733" s="77" t="s">
        <v>1982</v>
      </c>
      <c r="Z733" s="77"/>
      <c r="AA733" s="77" t="s">
        <v>2314</v>
      </c>
      <c r="AB733" s="77" t="s">
        <v>2696</v>
      </c>
      <c r="AC733" s="81" t="s">
        <v>2707</v>
      </c>
      <c r="AD733" s="77" t="s">
        <v>2752</v>
      </c>
      <c r="AE733" s="80" t="str">
        <f>HYPERLINK("https://twitter.com/inovies/status/1732823726972961084")</f>
        <v>https://twitter.com/inovies/status/1732823726972961084</v>
      </c>
      <c r="AF733" s="79">
        <v>45267.75399305556</v>
      </c>
      <c r="AG733" s="85">
        <v>45267</v>
      </c>
      <c r="AH733" s="81" t="s">
        <v>3333</v>
      </c>
      <c r="AI733" s="77" t="b">
        <v>0</v>
      </c>
      <c r="AJ733" s="77"/>
      <c r="AK733" s="77"/>
      <c r="AL733" s="77"/>
      <c r="AM733" s="77"/>
      <c r="AN733" s="77"/>
      <c r="AO733" s="77"/>
      <c r="AP733" s="77"/>
      <c r="AQ733" s="77" t="s">
        <v>4128</v>
      </c>
      <c r="AR733" s="77"/>
      <c r="AS733" s="77"/>
      <c r="AT733" s="77"/>
      <c r="AU733" s="77"/>
      <c r="AV733" s="80" t="str">
        <f>HYPERLINK("https://pbs.twimg.com/media/GAw5_PrXIAAtFiK.jpg")</f>
        <v>https://pbs.twimg.com/media/GAw5_PrXIAAtFiK.jpg</v>
      </c>
      <c r="AW733" s="81" t="s">
        <v>5079</v>
      </c>
      <c r="AX733" s="81" t="s">
        <v>5079</v>
      </c>
      <c r="AY733" s="77"/>
      <c r="AZ733" s="81" t="s">
        <v>5773</v>
      </c>
      <c r="BA733" s="81" t="s">
        <v>5773</v>
      </c>
      <c r="BB733" s="81" t="s">
        <v>5773</v>
      </c>
      <c r="BC733" s="81" t="s">
        <v>5079</v>
      </c>
      <c r="BD733" s="77">
        <v>297885438</v>
      </c>
      <c r="BE733" s="77"/>
      <c r="BF733" s="77"/>
      <c r="BG733" s="77"/>
      <c r="BH733" s="77"/>
      <c r="BI733" s="77"/>
    </row>
    <row r="734" spans="1:61" ht="15">
      <c r="A734" s="62" t="s">
        <v>299</v>
      </c>
      <c r="B734" s="62" t="s">
        <v>299</v>
      </c>
      <c r="C734" s="63"/>
      <c r="D734" s="64"/>
      <c r="E734" s="65"/>
      <c r="F734" s="66"/>
      <c r="G734" s="63"/>
      <c r="H734" s="67"/>
      <c r="I734" s="68"/>
      <c r="J734" s="68"/>
      <c r="K734" s="32" t="s">
        <v>65</v>
      </c>
      <c r="L734" s="75">
        <v>734</v>
      </c>
      <c r="M734" s="75"/>
      <c r="N734" s="70"/>
      <c r="O734" s="77" t="s">
        <v>179</v>
      </c>
      <c r="P734" s="79">
        <v>42139.73983796296</v>
      </c>
      <c r="Q734" s="80" t="str">
        <f>HYPERLINK("http://t.co/O2FxJYTMLb")</f>
        <v>http://t.co/O2FxJYTMLb</v>
      </c>
      <c r="R734" s="77">
        <v>0</v>
      </c>
      <c r="S734" s="77">
        <v>1</v>
      </c>
      <c r="T734" s="77">
        <v>0</v>
      </c>
      <c r="U734" s="77">
        <v>0</v>
      </c>
      <c r="V734" s="77"/>
      <c r="W734" s="77"/>
      <c r="X734" s="77"/>
      <c r="Y734" s="77"/>
      <c r="Z734" s="77"/>
      <c r="AA734" s="77" t="s">
        <v>2315</v>
      </c>
      <c r="AB734" s="77" t="s">
        <v>2696</v>
      </c>
      <c r="AC734" s="81" t="s">
        <v>2727</v>
      </c>
      <c r="AD734" s="77" t="s">
        <v>2756</v>
      </c>
      <c r="AE734" s="80" t="str">
        <f>HYPERLINK("https://twitter.com/inovies/status/599269353507291136")</f>
        <v>https://twitter.com/inovies/status/599269353507291136</v>
      </c>
      <c r="AF734" s="79">
        <v>42139.73983796296</v>
      </c>
      <c r="AG734" s="85">
        <v>42139</v>
      </c>
      <c r="AH734" s="81" t="s">
        <v>3334</v>
      </c>
      <c r="AI734" s="77" t="b">
        <v>0</v>
      </c>
      <c r="AJ734" s="77" t="s">
        <v>3882</v>
      </c>
      <c r="AK734" s="77" t="s">
        <v>3889</v>
      </c>
      <c r="AL734" s="77" t="s">
        <v>3892</v>
      </c>
      <c r="AM734" s="77" t="s">
        <v>3896</v>
      </c>
      <c r="AN734" s="77" t="s">
        <v>3903</v>
      </c>
      <c r="AO734" s="77" t="s">
        <v>3911</v>
      </c>
      <c r="AP734" s="77" t="s">
        <v>3917</v>
      </c>
      <c r="AQ734" s="77" t="s">
        <v>4129</v>
      </c>
      <c r="AR734" s="77"/>
      <c r="AS734" s="77"/>
      <c r="AT734" s="77"/>
      <c r="AU734" s="77"/>
      <c r="AV734" s="80" t="str">
        <f>HYPERLINK("https://pbs.twimg.com/media/CFEISs5VIAAfkk5.jpg")</f>
        <v>https://pbs.twimg.com/media/CFEISs5VIAAfkk5.jpg</v>
      </c>
      <c r="AW734" s="81" t="s">
        <v>5080</v>
      </c>
      <c r="AX734" s="81" t="s">
        <v>5080</v>
      </c>
      <c r="AY734" s="77"/>
      <c r="AZ734" s="81" t="s">
        <v>5773</v>
      </c>
      <c r="BA734" s="81" t="s">
        <v>5773</v>
      </c>
      <c r="BB734" s="81" t="s">
        <v>5773</v>
      </c>
      <c r="BC734" s="81" t="s">
        <v>5080</v>
      </c>
      <c r="BD734" s="77">
        <v>297885438</v>
      </c>
      <c r="BE734" s="77"/>
      <c r="BF734" s="77"/>
      <c r="BG734" s="77"/>
      <c r="BH734" s="77"/>
      <c r="BI734" s="77"/>
    </row>
    <row r="735" spans="1:61" ht="15">
      <c r="A735" s="62" t="s">
        <v>299</v>
      </c>
      <c r="B735" s="62" t="s">
        <v>299</v>
      </c>
      <c r="C735" s="63"/>
      <c r="D735" s="64"/>
      <c r="E735" s="65"/>
      <c r="F735" s="66"/>
      <c r="G735" s="63"/>
      <c r="H735" s="67"/>
      <c r="I735" s="68"/>
      <c r="J735" s="68"/>
      <c r="K735" s="32" t="s">
        <v>65</v>
      </c>
      <c r="L735" s="75">
        <v>735</v>
      </c>
      <c r="M735" s="75"/>
      <c r="N735" s="70"/>
      <c r="O735" s="77" t="s">
        <v>179</v>
      </c>
      <c r="P735" s="79">
        <v>43307.39491898148</v>
      </c>
      <c r="Q735" s="77" t="s">
        <v>1140</v>
      </c>
      <c r="R735" s="77">
        <v>0</v>
      </c>
      <c r="S735" s="77">
        <v>0</v>
      </c>
      <c r="T735" s="77">
        <v>0</v>
      </c>
      <c r="U735" s="77">
        <v>0</v>
      </c>
      <c r="V735" s="77"/>
      <c r="W735" s="81" t="s">
        <v>1872</v>
      </c>
      <c r="X735" s="77"/>
      <c r="Y735" s="77"/>
      <c r="Z735" s="77"/>
      <c r="AA735" s="77" t="s">
        <v>2316</v>
      </c>
      <c r="AB735" s="77" t="s">
        <v>2696</v>
      </c>
      <c r="AC735" s="81" t="s">
        <v>2705</v>
      </c>
      <c r="AD735" s="77" t="s">
        <v>2752</v>
      </c>
      <c r="AE735" s="80" t="str">
        <f>HYPERLINK("https://twitter.com/inovies/status/1022413387286945792")</f>
        <v>https://twitter.com/inovies/status/1022413387286945792</v>
      </c>
      <c r="AF735" s="79">
        <v>43307.39491898148</v>
      </c>
      <c r="AG735" s="85">
        <v>43307</v>
      </c>
      <c r="AH735" s="81" t="s">
        <v>3335</v>
      </c>
      <c r="AI735" s="77" t="b">
        <v>0</v>
      </c>
      <c r="AJ735" s="77"/>
      <c r="AK735" s="77"/>
      <c r="AL735" s="77"/>
      <c r="AM735" s="77"/>
      <c r="AN735" s="77"/>
      <c r="AO735" s="77"/>
      <c r="AP735" s="77"/>
      <c r="AQ735" s="77" t="s">
        <v>4130</v>
      </c>
      <c r="AR735" s="77"/>
      <c r="AS735" s="77"/>
      <c r="AT735" s="77"/>
      <c r="AU735" s="77"/>
      <c r="AV735" s="80" t="str">
        <f>HYPERLINK("https://pbs.twimg.com/media/DjBXf7bUYAAZ_aG.jpg")</f>
        <v>https://pbs.twimg.com/media/DjBXf7bUYAAZ_aG.jpg</v>
      </c>
      <c r="AW735" s="81" t="s">
        <v>5081</v>
      </c>
      <c r="AX735" s="81" t="s">
        <v>5081</v>
      </c>
      <c r="AY735" s="77"/>
      <c r="AZ735" s="81" t="s">
        <v>5773</v>
      </c>
      <c r="BA735" s="81" t="s">
        <v>5773</v>
      </c>
      <c r="BB735" s="81" t="s">
        <v>5773</v>
      </c>
      <c r="BC735" s="81" t="s">
        <v>5081</v>
      </c>
      <c r="BD735" s="77">
        <v>297885438</v>
      </c>
      <c r="BE735" s="77"/>
      <c r="BF735" s="77"/>
      <c r="BG735" s="77"/>
      <c r="BH735" s="77"/>
      <c r="BI735" s="77"/>
    </row>
    <row r="736" spans="1:61" ht="15">
      <c r="A736" s="62" t="s">
        <v>299</v>
      </c>
      <c r="B736" s="62" t="s">
        <v>299</v>
      </c>
      <c r="C736" s="63"/>
      <c r="D736" s="64"/>
      <c r="E736" s="65"/>
      <c r="F736" s="66"/>
      <c r="G736" s="63"/>
      <c r="H736" s="67"/>
      <c r="I736" s="68"/>
      <c r="J736" s="68"/>
      <c r="K736" s="32" t="s">
        <v>65</v>
      </c>
      <c r="L736" s="75">
        <v>736</v>
      </c>
      <c r="M736" s="75"/>
      <c r="N736" s="70"/>
      <c r="O736" s="77" t="s">
        <v>179</v>
      </c>
      <c r="P736" s="79">
        <v>41740.35412037037</v>
      </c>
      <c r="Q736" s="77" t="s">
        <v>1141</v>
      </c>
      <c r="R736" s="77">
        <v>0</v>
      </c>
      <c r="S736" s="77">
        <v>1</v>
      </c>
      <c r="T736" s="77">
        <v>0</v>
      </c>
      <c r="U736" s="77">
        <v>0</v>
      </c>
      <c r="V736" s="77"/>
      <c r="W736" s="77"/>
      <c r="X736" s="80" t="str">
        <f>HYPERLINK("http://ow.ly/2FzjCS")</f>
        <v>http://ow.ly/2FzjCS</v>
      </c>
      <c r="Y736" s="77" t="s">
        <v>2041</v>
      </c>
      <c r="Z736" s="77"/>
      <c r="AA736" s="77"/>
      <c r="AB736" s="77"/>
      <c r="AC736" s="81" t="s">
        <v>2744</v>
      </c>
      <c r="AD736" s="77" t="s">
        <v>2751</v>
      </c>
      <c r="AE736" s="80" t="str">
        <f>HYPERLINK("https://twitter.com/inovies/status/454536816012828672")</f>
        <v>https://twitter.com/inovies/status/454536816012828672</v>
      </c>
      <c r="AF736" s="79">
        <v>41740.35412037037</v>
      </c>
      <c r="AG736" s="85">
        <v>41740</v>
      </c>
      <c r="AH736" s="81" t="s">
        <v>3336</v>
      </c>
      <c r="AI736" s="77" t="b">
        <v>0</v>
      </c>
      <c r="AJ736" s="77"/>
      <c r="AK736" s="77"/>
      <c r="AL736" s="77"/>
      <c r="AM736" s="77"/>
      <c r="AN736" s="77"/>
      <c r="AO736" s="77"/>
      <c r="AP736" s="77"/>
      <c r="AQ736" s="77"/>
      <c r="AR736" s="77"/>
      <c r="AS736" s="77"/>
      <c r="AT736" s="77"/>
      <c r="AU736" s="77"/>
      <c r="AV736" s="80" t="str">
        <f>HYPERLINK("https://pbs.twimg.com/profile_images/833576943677214720/5ZyUgpEJ_normal.jpg")</f>
        <v>https://pbs.twimg.com/profile_images/833576943677214720/5ZyUgpEJ_normal.jpg</v>
      </c>
      <c r="AW736" s="81" t="s">
        <v>5082</v>
      </c>
      <c r="AX736" s="81" t="s">
        <v>5082</v>
      </c>
      <c r="AY736" s="77"/>
      <c r="AZ736" s="81" t="s">
        <v>5773</v>
      </c>
      <c r="BA736" s="81" t="s">
        <v>5773</v>
      </c>
      <c r="BB736" s="81" t="s">
        <v>5773</v>
      </c>
      <c r="BC736" s="81" t="s">
        <v>5082</v>
      </c>
      <c r="BD736" s="77">
        <v>297885438</v>
      </c>
      <c r="BE736" s="77"/>
      <c r="BF736" s="77"/>
      <c r="BG736" s="77"/>
      <c r="BH736" s="77"/>
      <c r="BI736" s="77"/>
    </row>
    <row r="737" spans="1:61" ht="15">
      <c r="A737" s="62" t="s">
        <v>299</v>
      </c>
      <c r="B737" s="62" t="s">
        <v>299</v>
      </c>
      <c r="C737" s="63"/>
      <c r="D737" s="64"/>
      <c r="E737" s="65"/>
      <c r="F737" s="66"/>
      <c r="G737" s="63"/>
      <c r="H737" s="67"/>
      <c r="I737" s="68"/>
      <c r="J737" s="68"/>
      <c r="K737" s="32" t="s">
        <v>65</v>
      </c>
      <c r="L737" s="75">
        <v>737</v>
      </c>
      <c r="M737" s="75"/>
      <c r="N737" s="70"/>
      <c r="O737" s="77" t="s">
        <v>179</v>
      </c>
      <c r="P737" s="79">
        <v>41740.30976851852</v>
      </c>
      <c r="Q737" s="77" t="s">
        <v>1142</v>
      </c>
      <c r="R737" s="77">
        <v>0</v>
      </c>
      <c r="S737" s="77">
        <v>1</v>
      </c>
      <c r="T737" s="77">
        <v>0</v>
      </c>
      <c r="U737" s="77">
        <v>0</v>
      </c>
      <c r="V737" s="77"/>
      <c r="W737" s="77"/>
      <c r="X737" s="80" t="str">
        <f>HYPERLINK("http://ow.ly/2FzdJI")</f>
        <v>http://ow.ly/2FzdJI</v>
      </c>
      <c r="Y737" s="77" t="s">
        <v>2041</v>
      </c>
      <c r="Z737" s="77"/>
      <c r="AA737" s="77"/>
      <c r="AB737" s="77"/>
      <c r="AC737" s="81" t="s">
        <v>2744</v>
      </c>
      <c r="AD737" s="77" t="s">
        <v>2751</v>
      </c>
      <c r="AE737" s="80" t="str">
        <f>HYPERLINK("https://twitter.com/inovies/status/454520744383619072")</f>
        <v>https://twitter.com/inovies/status/454520744383619072</v>
      </c>
      <c r="AF737" s="79">
        <v>41740.30976851852</v>
      </c>
      <c r="AG737" s="85">
        <v>41740</v>
      </c>
      <c r="AH737" s="81" t="s">
        <v>3337</v>
      </c>
      <c r="AI737" s="77" t="b">
        <v>0</v>
      </c>
      <c r="AJ737" s="77"/>
      <c r="AK737" s="77"/>
      <c r="AL737" s="77"/>
      <c r="AM737" s="77"/>
      <c r="AN737" s="77"/>
      <c r="AO737" s="77"/>
      <c r="AP737" s="77"/>
      <c r="AQ737" s="77"/>
      <c r="AR737" s="77"/>
      <c r="AS737" s="77"/>
      <c r="AT737" s="77"/>
      <c r="AU737" s="77"/>
      <c r="AV737" s="80" t="str">
        <f>HYPERLINK("https://pbs.twimg.com/profile_images/833576943677214720/5ZyUgpEJ_normal.jpg")</f>
        <v>https://pbs.twimg.com/profile_images/833576943677214720/5ZyUgpEJ_normal.jpg</v>
      </c>
      <c r="AW737" s="81" t="s">
        <v>5083</v>
      </c>
      <c r="AX737" s="81" t="s">
        <v>5083</v>
      </c>
      <c r="AY737" s="77"/>
      <c r="AZ737" s="81" t="s">
        <v>5773</v>
      </c>
      <c r="BA737" s="81" t="s">
        <v>5773</v>
      </c>
      <c r="BB737" s="81" t="s">
        <v>5773</v>
      </c>
      <c r="BC737" s="81" t="s">
        <v>5083</v>
      </c>
      <c r="BD737" s="77">
        <v>297885438</v>
      </c>
      <c r="BE737" s="77"/>
      <c r="BF737" s="77"/>
      <c r="BG737" s="77"/>
      <c r="BH737" s="77"/>
      <c r="BI737" s="77"/>
    </row>
    <row r="738" spans="1:61" ht="15">
      <c r="A738" s="62" t="s">
        <v>299</v>
      </c>
      <c r="B738" s="62" t="s">
        <v>299</v>
      </c>
      <c r="C738" s="63"/>
      <c r="D738" s="64"/>
      <c r="E738" s="65"/>
      <c r="F738" s="66"/>
      <c r="G738" s="63"/>
      <c r="H738" s="67"/>
      <c r="I738" s="68"/>
      <c r="J738" s="68"/>
      <c r="K738" s="32" t="s">
        <v>65</v>
      </c>
      <c r="L738" s="75">
        <v>738</v>
      </c>
      <c r="M738" s="75"/>
      <c r="N738" s="70"/>
      <c r="O738" s="77" t="s">
        <v>571</v>
      </c>
      <c r="P738" s="79">
        <v>41739.34967592593</v>
      </c>
      <c r="Q738" s="77" t="s">
        <v>1143</v>
      </c>
      <c r="R738" s="77">
        <v>0</v>
      </c>
      <c r="S738" s="77">
        <v>1</v>
      </c>
      <c r="T738" s="77">
        <v>0</v>
      </c>
      <c r="U738" s="77">
        <v>0</v>
      </c>
      <c r="V738" s="77"/>
      <c r="W738" s="77"/>
      <c r="X738" s="80" t="str">
        <f>HYPERLINK("http://www.inovies.com/how-to-add-google-analytics-to-blogger-48-inovies.html")</f>
        <v>http://www.inovies.com/how-to-add-google-analytics-to-blogger-48-inovies.html</v>
      </c>
      <c r="Y738" s="77" t="s">
        <v>1982</v>
      </c>
      <c r="Z738" s="77" t="s">
        <v>299</v>
      </c>
      <c r="AA738" s="77"/>
      <c r="AB738" s="77"/>
      <c r="AC738" s="81" t="s">
        <v>2712</v>
      </c>
      <c r="AD738" s="77" t="s">
        <v>2751</v>
      </c>
      <c r="AE738" s="80" t="str">
        <f>HYPERLINK("https://twitter.com/inovies/status/454172818914037760")</f>
        <v>https://twitter.com/inovies/status/454172818914037760</v>
      </c>
      <c r="AF738" s="79">
        <v>41739.34967592593</v>
      </c>
      <c r="AG738" s="85">
        <v>41739</v>
      </c>
      <c r="AH738" s="81" t="s">
        <v>3338</v>
      </c>
      <c r="AI738" s="77" t="b">
        <v>0</v>
      </c>
      <c r="AJ738" s="77"/>
      <c r="AK738" s="77"/>
      <c r="AL738" s="77"/>
      <c r="AM738" s="77"/>
      <c r="AN738" s="77"/>
      <c r="AO738" s="77"/>
      <c r="AP738" s="77"/>
      <c r="AQ738" s="77"/>
      <c r="AR738" s="77"/>
      <c r="AS738" s="77"/>
      <c r="AT738" s="77"/>
      <c r="AU738" s="77"/>
      <c r="AV738" s="80" t="str">
        <f>HYPERLINK("https://pbs.twimg.com/profile_images/833576943677214720/5ZyUgpEJ_normal.jpg")</f>
        <v>https://pbs.twimg.com/profile_images/833576943677214720/5ZyUgpEJ_normal.jpg</v>
      </c>
      <c r="AW738" s="81" t="s">
        <v>5084</v>
      </c>
      <c r="AX738" s="81" t="s">
        <v>5084</v>
      </c>
      <c r="AY738" s="77"/>
      <c r="AZ738" s="81" t="s">
        <v>5773</v>
      </c>
      <c r="BA738" s="81" t="s">
        <v>5773</v>
      </c>
      <c r="BB738" s="81" t="s">
        <v>5773</v>
      </c>
      <c r="BC738" s="81" t="s">
        <v>5084</v>
      </c>
      <c r="BD738" s="77">
        <v>297885438</v>
      </c>
      <c r="BE738" s="77"/>
      <c r="BF738" s="77"/>
      <c r="BG738" s="77"/>
      <c r="BH738" s="77"/>
      <c r="BI738" s="77"/>
    </row>
    <row r="739" spans="1:61" ht="15">
      <c r="A739" s="62" t="s">
        <v>299</v>
      </c>
      <c r="B739" s="62" t="s">
        <v>299</v>
      </c>
      <c r="C739" s="63"/>
      <c r="D739" s="64"/>
      <c r="E739" s="65"/>
      <c r="F739" s="66"/>
      <c r="G739" s="63"/>
      <c r="H739" s="67"/>
      <c r="I739" s="68"/>
      <c r="J739" s="68"/>
      <c r="K739" s="32" t="s">
        <v>65</v>
      </c>
      <c r="L739" s="75">
        <v>739</v>
      </c>
      <c r="M739" s="75"/>
      <c r="N739" s="70"/>
      <c r="O739" s="77" t="s">
        <v>571</v>
      </c>
      <c r="P739" s="79">
        <v>41739.34943287037</v>
      </c>
      <c r="Q739" s="77" t="s">
        <v>1144</v>
      </c>
      <c r="R739" s="77">
        <v>0</v>
      </c>
      <c r="S739" s="77">
        <v>2</v>
      </c>
      <c r="T739" s="77">
        <v>0</v>
      </c>
      <c r="U739" s="77">
        <v>0</v>
      </c>
      <c r="V739" s="77"/>
      <c r="W739" s="77"/>
      <c r="X739" s="80" t="str">
        <f>HYPERLINK("http://www.inovies.com/role-of-content-marketing-in-online-advertising-46-inovies.html")</f>
        <v>http://www.inovies.com/role-of-content-marketing-in-online-advertising-46-inovies.html</v>
      </c>
      <c r="Y739" s="77" t="s">
        <v>1982</v>
      </c>
      <c r="Z739" s="77" t="s">
        <v>299</v>
      </c>
      <c r="AA739" s="77"/>
      <c r="AB739" s="77"/>
      <c r="AC739" s="81" t="s">
        <v>2712</v>
      </c>
      <c r="AD739" s="77" t="s">
        <v>2751</v>
      </c>
      <c r="AE739" s="80" t="str">
        <f>HYPERLINK("https://twitter.com/inovies/status/454172729898303488")</f>
        <v>https://twitter.com/inovies/status/454172729898303488</v>
      </c>
      <c r="AF739" s="79">
        <v>41739.34943287037</v>
      </c>
      <c r="AG739" s="85">
        <v>41739</v>
      </c>
      <c r="AH739" s="81" t="s">
        <v>3339</v>
      </c>
      <c r="AI739" s="77" t="b">
        <v>0</v>
      </c>
      <c r="AJ739" s="77"/>
      <c r="AK739" s="77"/>
      <c r="AL739" s="77"/>
      <c r="AM739" s="77"/>
      <c r="AN739" s="77"/>
      <c r="AO739" s="77"/>
      <c r="AP739" s="77"/>
      <c r="AQ739" s="77"/>
      <c r="AR739" s="77"/>
      <c r="AS739" s="77"/>
      <c r="AT739" s="77"/>
      <c r="AU739" s="77"/>
      <c r="AV739" s="80" t="str">
        <f>HYPERLINK("https://pbs.twimg.com/profile_images/833576943677214720/5ZyUgpEJ_normal.jpg")</f>
        <v>https://pbs.twimg.com/profile_images/833576943677214720/5ZyUgpEJ_normal.jpg</v>
      </c>
      <c r="AW739" s="81" t="s">
        <v>5085</v>
      </c>
      <c r="AX739" s="81" t="s">
        <v>5085</v>
      </c>
      <c r="AY739" s="77"/>
      <c r="AZ739" s="81" t="s">
        <v>5773</v>
      </c>
      <c r="BA739" s="81" t="s">
        <v>5773</v>
      </c>
      <c r="BB739" s="81" t="s">
        <v>5773</v>
      </c>
      <c r="BC739" s="81" t="s">
        <v>5085</v>
      </c>
      <c r="BD739" s="77">
        <v>297885438</v>
      </c>
      <c r="BE739" s="77"/>
      <c r="BF739" s="77"/>
      <c r="BG739" s="77"/>
      <c r="BH739" s="77"/>
      <c r="BI739" s="77"/>
    </row>
    <row r="740" spans="1:61" ht="15">
      <c r="A740" s="62" t="s">
        <v>299</v>
      </c>
      <c r="B740" s="62" t="s">
        <v>299</v>
      </c>
      <c r="C740" s="63"/>
      <c r="D740" s="64"/>
      <c r="E740" s="65"/>
      <c r="F740" s="66"/>
      <c r="G740" s="63"/>
      <c r="H740" s="67"/>
      <c r="I740" s="68"/>
      <c r="J740" s="68"/>
      <c r="K740" s="32" t="s">
        <v>65</v>
      </c>
      <c r="L740" s="75">
        <v>740</v>
      </c>
      <c r="M740" s="75"/>
      <c r="N740" s="70"/>
      <c r="O740" s="77" t="s">
        <v>179</v>
      </c>
      <c r="P740" s="79">
        <v>41739.31008101852</v>
      </c>
      <c r="Q740" s="77" t="s">
        <v>1145</v>
      </c>
      <c r="R740" s="77">
        <v>0</v>
      </c>
      <c r="S740" s="77">
        <v>1</v>
      </c>
      <c r="T740" s="77">
        <v>0</v>
      </c>
      <c r="U740" s="77">
        <v>0</v>
      </c>
      <c r="V740" s="77"/>
      <c r="W740" s="77"/>
      <c r="X740" s="80" t="str">
        <f>HYPERLINK("http://ow.ly/2FwYMm")</f>
        <v>http://ow.ly/2FwYMm</v>
      </c>
      <c r="Y740" s="77" t="s">
        <v>2041</v>
      </c>
      <c r="Z740" s="77"/>
      <c r="AA740" s="77"/>
      <c r="AB740" s="77"/>
      <c r="AC740" s="81" t="s">
        <v>2744</v>
      </c>
      <c r="AD740" s="77" t="s">
        <v>2751</v>
      </c>
      <c r="AE740" s="80" t="str">
        <f>HYPERLINK("https://twitter.com/inovies/status/454158468346576896")</f>
        <v>https://twitter.com/inovies/status/454158468346576896</v>
      </c>
      <c r="AF740" s="79">
        <v>41739.31008101852</v>
      </c>
      <c r="AG740" s="85">
        <v>41739</v>
      </c>
      <c r="AH740" s="81" t="s">
        <v>3340</v>
      </c>
      <c r="AI740" s="77" t="b">
        <v>0</v>
      </c>
      <c r="AJ740" s="77"/>
      <c r="AK740" s="77"/>
      <c r="AL740" s="77"/>
      <c r="AM740" s="77"/>
      <c r="AN740" s="77"/>
      <c r="AO740" s="77"/>
      <c r="AP740" s="77"/>
      <c r="AQ740" s="77"/>
      <c r="AR740" s="77"/>
      <c r="AS740" s="77"/>
      <c r="AT740" s="77"/>
      <c r="AU740" s="77"/>
      <c r="AV740" s="80" t="str">
        <f>HYPERLINK("https://pbs.twimg.com/profile_images/833576943677214720/5ZyUgpEJ_normal.jpg")</f>
        <v>https://pbs.twimg.com/profile_images/833576943677214720/5ZyUgpEJ_normal.jpg</v>
      </c>
      <c r="AW740" s="81" t="s">
        <v>5086</v>
      </c>
      <c r="AX740" s="81" t="s">
        <v>5086</v>
      </c>
      <c r="AY740" s="77"/>
      <c r="AZ740" s="81" t="s">
        <v>5773</v>
      </c>
      <c r="BA740" s="81" t="s">
        <v>5773</v>
      </c>
      <c r="BB740" s="81" t="s">
        <v>5773</v>
      </c>
      <c r="BC740" s="81" t="s">
        <v>5086</v>
      </c>
      <c r="BD740" s="77">
        <v>297885438</v>
      </c>
      <c r="BE740" s="77"/>
      <c r="BF740" s="77"/>
      <c r="BG740" s="77"/>
      <c r="BH740" s="77"/>
      <c r="BI740" s="77"/>
    </row>
    <row r="741" spans="1:61" ht="15">
      <c r="A741" s="62" t="s">
        <v>299</v>
      </c>
      <c r="B741" s="62" t="s">
        <v>299</v>
      </c>
      <c r="C741" s="63"/>
      <c r="D741" s="64"/>
      <c r="E741" s="65"/>
      <c r="F741" s="66"/>
      <c r="G741" s="63"/>
      <c r="H741" s="67"/>
      <c r="I741" s="68"/>
      <c r="J741" s="68"/>
      <c r="K741" s="32" t="s">
        <v>65</v>
      </c>
      <c r="L741" s="75">
        <v>741</v>
      </c>
      <c r="M741" s="75"/>
      <c r="N741" s="70"/>
      <c r="O741" s="77" t="s">
        <v>179</v>
      </c>
      <c r="P741" s="79">
        <v>41738.31012731481</v>
      </c>
      <c r="Q741" s="77" t="s">
        <v>1146</v>
      </c>
      <c r="R741" s="77">
        <v>1</v>
      </c>
      <c r="S741" s="77">
        <v>1</v>
      </c>
      <c r="T741" s="77">
        <v>0</v>
      </c>
      <c r="U741" s="77">
        <v>0</v>
      </c>
      <c r="V741" s="77"/>
      <c r="W741" s="77"/>
      <c r="X741" s="80" t="str">
        <f>HYPERLINK("http://ow.ly/2FuILk")</f>
        <v>http://ow.ly/2FuILk</v>
      </c>
      <c r="Y741" s="77" t="s">
        <v>2041</v>
      </c>
      <c r="Z741" s="77"/>
      <c r="AA741" s="77"/>
      <c r="AB741" s="77"/>
      <c r="AC741" s="81" t="s">
        <v>2744</v>
      </c>
      <c r="AD741" s="77" t="s">
        <v>2751</v>
      </c>
      <c r="AE741" s="80" t="str">
        <f>HYPERLINK("https://twitter.com/inovies/status/453796097086210048")</f>
        <v>https://twitter.com/inovies/status/453796097086210048</v>
      </c>
      <c r="AF741" s="79">
        <v>41738.31012731481</v>
      </c>
      <c r="AG741" s="85">
        <v>41738</v>
      </c>
      <c r="AH741" s="81" t="s">
        <v>3341</v>
      </c>
      <c r="AI741" s="77" t="b">
        <v>0</v>
      </c>
      <c r="AJ741" s="77"/>
      <c r="AK741" s="77"/>
      <c r="AL741" s="77"/>
      <c r="AM741" s="77"/>
      <c r="AN741" s="77"/>
      <c r="AO741" s="77"/>
      <c r="AP741" s="77"/>
      <c r="AQ741" s="77"/>
      <c r="AR741" s="77"/>
      <c r="AS741" s="77"/>
      <c r="AT741" s="77"/>
      <c r="AU741" s="77"/>
      <c r="AV741" s="80" t="str">
        <f>HYPERLINK("https://pbs.twimg.com/profile_images/833576943677214720/5ZyUgpEJ_normal.jpg")</f>
        <v>https://pbs.twimg.com/profile_images/833576943677214720/5ZyUgpEJ_normal.jpg</v>
      </c>
      <c r="AW741" s="81" t="s">
        <v>5087</v>
      </c>
      <c r="AX741" s="81" t="s">
        <v>5087</v>
      </c>
      <c r="AY741" s="77"/>
      <c r="AZ741" s="81" t="s">
        <v>5773</v>
      </c>
      <c r="BA741" s="81" t="s">
        <v>5773</v>
      </c>
      <c r="BB741" s="81" t="s">
        <v>5773</v>
      </c>
      <c r="BC741" s="81" t="s">
        <v>5087</v>
      </c>
      <c r="BD741" s="77">
        <v>297885438</v>
      </c>
      <c r="BE741" s="77"/>
      <c r="BF741" s="77"/>
      <c r="BG741" s="77"/>
      <c r="BH741" s="77"/>
      <c r="BI741" s="77"/>
    </row>
    <row r="742" spans="1:61" ht="15">
      <c r="A742" s="62" t="s">
        <v>299</v>
      </c>
      <c r="B742" s="62" t="s">
        <v>299</v>
      </c>
      <c r="C742" s="63"/>
      <c r="D742" s="64"/>
      <c r="E742" s="65"/>
      <c r="F742" s="66"/>
      <c r="G742" s="63"/>
      <c r="H742" s="67"/>
      <c r="I742" s="68"/>
      <c r="J742" s="68"/>
      <c r="K742" s="32" t="s">
        <v>65</v>
      </c>
      <c r="L742" s="75">
        <v>742</v>
      </c>
      <c r="M742" s="75"/>
      <c r="N742" s="70"/>
      <c r="O742" s="77" t="s">
        <v>179</v>
      </c>
      <c r="P742" s="79">
        <v>41733.309594907405</v>
      </c>
      <c r="Q742" s="77" t="s">
        <v>1147</v>
      </c>
      <c r="R742" s="77">
        <v>0</v>
      </c>
      <c r="S742" s="77">
        <v>1</v>
      </c>
      <c r="T742" s="77">
        <v>0</v>
      </c>
      <c r="U742" s="77">
        <v>0</v>
      </c>
      <c r="V742" s="77"/>
      <c r="W742" s="77"/>
      <c r="X742" s="80" t="str">
        <f>HYPERLINK("http://ow.ly/2Flb9s")</f>
        <v>http://ow.ly/2Flb9s</v>
      </c>
      <c r="Y742" s="77" t="s">
        <v>2041</v>
      </c>
      <c r="Z742" s="77"/>
      <c r="AA742" s="77"/>
      <c r="AB742" s="77"/>
      <c r="AC742" s="81" t="s">
        <v>2744</v>
      </c>
      <c r="AD742" s="77" t="s">
        <v>2751</v>
      </c>
      <c r="AE742" s="80" t="str">
        <f>HYPERLINK("https://twitter.com/inovies/status/451983963499020288")</f>
        <v>https://twitter.com/inovies/status/451983963499020288</v>
      </c>
      <c r="AF742" s="79">
        <v>41733.309594907405</v>
      </c>
      <c r="AG742" s="85">
        <v>41733</v>
      </c>
      <c r="AH742" s="81" t="s">
        <v>3342</v>
      </c>
      <c r="AI742" s="77" t="b">
        <v>0</v>
      </c>
      <c r="AJ742" s="77"/>
      <c r="AK742" s="77"/>
      <c r="AL742" s="77"/>
      <c r="AM742" s="77"/>
      <c r="AN742" s="77"/>
      <c r="AO742" s="77"/>
      <c r="AP742" s="77"/>
      <c r="AQ742" s="77"/>
      <c r="AR742" s="77"/>
      <c r="AS742" s="77"/>
      <c r="AT742" s="77"/>
      <c r="AU742" s="77"/>
      <c r="AV742" s="80" t="str">
        <f>HYPERLINK("https://pbs.twimg.com/profile_images/833576943677214720/5ZyUgpEJ_normal.jpg")</f>
        <v>https://pbs.twimg.com/profile_images/833576943677214720/5ZyUgpEJ_normal.jpg</v>
      </c>
      <c r="AW742" s="81" t="s">
        <v>5088</v>
      </c>
      <c r="AX742" s="81" t="s">
        <v>5088</v>
      </c>
      <c r="AY742" s="77"/>
      <c r="AZ742" s="81" t="s">
        <v>5773</v>
      </c>
      <c r="BA742" s="81" t="s">
        <v>5773</v>
      </c>
      <c r="BB742" s="81" t="s">
        <v>5773</v>
      </c>
      <c r="BC742" s="81" t="s">
        <v>5088</v>
      </c>
      <c r="BD742" s="77">
        <v>297885438</v>
      </c>
      <c r="BE742" s="77"/>
      <c r="BF742" s="77"/>
      <c r="BG742" s="77"/>
      <c r="BH742" s="77"/>
      <c r="BI742" s="77"/>
    </row>
    <row r="743" spans="1:61" ht="15">
      <c r="A743" s="62" t="s">
        <v>299</v>
      </c>
      <c r="B743" s="62" t="s">
        <v>299</v>
      </c>
      <c r="C743" s="63"/>
      <c r="D743" s="64"/>
      <c r="E743" s="65"/>
      <c r="F743" s="66"/>
      <c r="G743" s="63"/>
      <c r="H743" s="67"/>
      <c r="I743" s="68"/>
      <c r="J743" s="68"/>
      <c r="K743" s="32" t="s">
        <v>65</v>
      </c>
      <c r="L743" s="75">
        <v>743</v>
      </c>
      <c r="M743" s="75"/>
      <c r="N743" s="70"/>
      <c r="O743" s="77" t="s">
        <v>179</v>
      </c>
      <c r="P743" s="79">
        <v>41733.268842592595</v>
      </c>
      <c r="Q743" s="77" t="s">
        <v>1148</v>
      </c>
      <c r="R743" s="77">
        <v>0</v>
      </c>
      <c r="S743" s="77">
        <v>1</v>
      </c>
      <c r="T743" s="77">
        <v>0</v>
      </c>
      <c r="U743" s="77">
        <v>0</v>
      </c>
      <c r="V743" s="77"/>
      <c r="W743" s="77"/>
      <c r="X743" s="80" t="str">
        <f>HYPERLINK("http://ow.ly/2Fl7zq")</f>
        <v>http://ow.ly/2Fl7zq</v>
      </c>
      <c r="Y743" s="77" t="s">
        <v>2041</v>
      </c>
      <c r="Z743" s="77"/>
      <c r="AA743" s="77"/>
      <c r="AB743" s="77"/>
      <c r="AC743" s="81" t="s">
        <v>2744</v>
      </c>
      <c r="AD743" s="77" t="s">
        <v>2751</v>
      </c>
      <c r="AE743" s="80" t="str">
        <f>HYPERLINK("https://twitter.com/inovies/status/451969196285788160")</f>
        <v>https://twitter.com/inovies/status/451969196285788160</v>
      </c>
      <c r="AF743" s="79">
        <v>41733.268842592595</v>
      </c>
      <c r="AG743" s="85">
        <v>41733</v>
      </c>
      <c r="AH743" s="81" t="s">
        <v>3343</v>
      </c>
      <c r="AI743" s="77" t="b">
        <v>0</v>
      </c>
      <c r="AJ743" s="77"/>
      <c r="AK743" s="77"/>
      <c r="AL743" s="77"/>
      <c r="AM743" s="77"/>
      <c r="AN743" s="77"/>
      <c r="AO743" s="77"/>
      <c r="AP743" s="77"/>
      <c r="AQ743" s="77"/>
      <c r="AR743" s="77"/>
      <c r="AS743" s="77"/>
      <c r="AT743" s="77"/>
      <c r="AU743" s="77"/>
      <c r="AV743" s="80" t="str">
        <f>HYPERLINK("https://pbs.twimg.com/profile_images/833576943677214720/5ZyUgpEJ_normal.jpg")</f>
        <v>https://pbs.twimg.com/profile_images/833576943677214720/5ZyUgpEJ_normal.jpg</v>
      </c>
      <c r="AW743" s="81" t="s">
        <v>5089</v>
      </c>
      <c r="AX743" s="81" t="s">
        <v>5089</v>
      </c>
      <c r="AY743" s="77"/>
      <c r="AZ743" s="81" t="s">
        <v>5773</v>
      </c>
      <c r="BA743" s="81" t="s">
        <v>5773</v>
      </c>
      <c r="BB743" s="81" t="s">
        <v>5773</v>
      </c>
      <c r="BC743" s="81" t="s">
        <v>5089</v>
      </c>
      <c r="BD743" s="77">
        <v>297885438</v>
      </c>
      <c r="BE743" s="77"/>
      <c r="BF743" s="77"/>
      <c r="BG743" s="77"/>
      <c r="BH743" s="77"/>
      <c r="BI743" s="77"/>
    </row>
    <row r="744" spans="1:61" ht="15">
      <c r="A744" s="62" t="s">
        <v>299</v>
      </c>
      <c r="B744" s="62" t="s">
        <v>299</v>
      </c>
      <c r="C744" s="63"/>
      <c r="D744" s="64"/>
      <c r="E744" s="65"/>
      <c r="F744" s="66"/>
      <c r="G744" s="63"/>
      <c r="H744" s="67"/>
      <c r="I744" s="68"/>
      <c r="J744" s="68"/>
      <c r="K744" s="32" t="s">
        <v>65</v>
      </c>
      <c r="L744" s="75">
        <v>744</v>
      </c>
      <c r="M744" s="75"/>
      <c r="N744" s="70"/>
      <c r="O744" s="77" t="s">
        <v>179</v>
      </c>
      <c r="P744" s="79">
        <v>41732.56747685185</v>
      </c>
      <c r="Q744" s="80" t="str">
        <f>HYPERLINK("http://t.co/uiMTy6kWBW")</f>
        <v>http://t.co/uiMTy6kWBW</v>
      </c>
      <c r="R744" s="77">
        <v>0</v>
      </c>
      <c r="S744" s="77">
        <v>0</v>
      </c>
      <c r="T744" s="77">
        <v>0</v>
      </c>
      <c r="U744" s="77">
        <v>0</v>
      </c>
      <c r="V744" s="77"/>
      <c r="W744" s="77"/>
      <c r="X744" s="77"/>
      <c r="Y744" s="77"/>
      <c r="Z744" s="77"/>
      <c r="AA744" s="77" t="s">
        <v>2317</v>
      </c>
      <c r="AB744" s="77" t="s">
        <v>2696</v>
      </c>
      <c r="AC744" s="81" t="s">
        <v>2705</v>
      </c>
      <c r="AD744" s="77" t="s">
        <v>2756</v>
      </c>
      <c r="AE744" s="80" t="str">
        <f>HYPERLINK("https://twitter.com/inovies/status/451715029201477632")</f>
        <v>https://twitter.com/inovies/status/451715029201477632</v>
      </c>
      <c r="AF744" s="79">
        <v>41732.56747685185</v>
      </c>
      <c r="AG744" s="85">
        <v>41732</v>
      </c>
      <c r="AH744" s="81" t="s">
        <v>3344</v>
      </c>
      <c r="AI744" s="77" t="b">
        <v>0</v>
      </c>
      <c r="AJ744" s="77"/>
      <c r="AK744" s="77"/>
      <c r="AL744" s="77"/>
      <c r="AM744" s="77"/>
      <c r="AN744" s="77"/>
      <c r="AO744" s="77"/>
      <c r="AP744" s="77"/>
      <c r="AQ744" s="77" t="s">
        <v>4131</v>
      </c>
      <c r="AR744" s="77"/>
      <c r="AS744" s="77"/>
      <c r="AT744" s="77"/>
      <c r="AU744" s="77"/>
      <c r="AV744" s="80" t="str">
        <f>HYPERLINK("https://pbs.twimg.com/media/BkTQbP-CYAAc0Xs.jpg")</f>
        <v>https://pbs.twimg.com/media/BkTQbP-CYAAc0Xs.jpg</v>
      </c>
      <c r="AW744" s="81" t="s">
        <v>5090</v>
      </c>
      <c r="AX744" s="81" t="s">
        <v>5090</v>
      </c>
      <c r="AY744" s="77"/>
      <c r="AZ744" s="81" t="s">
        <v>5773</v>
      </c>
      <c r="BA744" s="81" t="s">
        <v>5773</v>
      </c>
      <c r="BB744" s="81" t="s">
        <v>5773</v>
      </c>
      <c r="BC744" s="81" t="s">
        <v>5090</v>
      </c>
      <c r="BD744" s="77">
        <v>297885438</v>
      </c>
      <c r="BE744" s="77"/>
      <c r="BF744" s="77"/>
      <c r="BG744" s="77"/>
      <c r="BH744" s="77"/>
      <c r="BI744" s="77"/>
    </row>
    <row r="745" spans="1:61" ht="15">
      <c r="A745" s="62" t="s">
        <v>299</v>
      </c>
      <c r="B745" s="62" t="s">
        <v>299</v>
      </c>
      <c r="C745" s="63"/>
      <c r="D745" s="64"/>
      <c r="E745" s="65"/>
      <c r="F745" s="66"/>
      <c r="G745" s="63"/>
      <c r="H745" s="67"/>
      <c r="I745" s="68"/>
      <c r="J745" s="68"/>
      <c r="K745" s="32" t="s">
        <v>65</v>
      </c>
      <c r="L745" s="75">
        <v>745</v>
      </c>
      <c r="M745" s="75"/>
      <c r="N745" s="70"/>
      <c r="O745" s="77" t="s">
        <v>571</v>
      </c>
      <c r="P745" s="79">
        <v>41731.51775462963</v>
      </c>
      <c r="Q745" s="77" t="s">
        <v>1149</v>
      </c>
      <c r="R745" s="77">
        <v>0</v>
      </c>
      <c r="S745" s="77">
        <v>0</v>
      </c>
      <c r="T745" s="77">
        <v>0</v>
      </c>
      <c r="U745" s="77">
        <v>0</v>
      </c>
      <c r="V745" s="77"/>
      <c r="W745" s="77"/>
      <c r="X745" s="80" t="str">
        <f>HYPERLINK("http://www.inovies.com/inovies_news.php?id=20")</f>
        <v>http://www.inovies.com/inovies_news.php?id=20</v>
      </c>
      <c r="Y745" s="77" t="s">
        <v>1982</v>
      </c>
      <c r="Z745" s="77" t="s">
        <v>299</v>
      </c>
      <c r="AA745" s="77"/>
      <c r="AB745" s="77"/>
      <c r="AC745" s="81" t="s">
        <v>2712</v>
      </c>
      <c r="AD745" s="77" t="s">
        <v>2751</v>
      </c>
      <c r="AE745" s="80" t="str">
        <f>HYPERLINK("https://twitter.com/inovies/status/451334625751625729")</f>
        <v>https://twitter.com/inovies/status/451334625751625729</v>
      </c>
      <c r="AF745" s="79">
        <v>41731.51775462963</v>
      </c>
      <c r="AG745" s="85">
        <v>41731</v>
      </c>
      <c r="AH745" s="81" t="s">
        <v>3345</v>
      </c>
      <c r="AI745" s="77" t="b">
        <v>0</v>
      </c>
      <c r="AJ745" s="77"/>
      <c r="AK745" s="77"/>
      <c r="AL745" s="77"/>
      <c r="AM745" s="77"/>
      <c r="AN745" s="77"/>
      <c r="AO745" s="77"/>
      <c r="AP745" s="77"/>
      <c r="AQ745" s="77"/>
      <c r="AR745" s="77"/>
      <c r="AS745" s="77"/>
      <c r="AT745" s="77"/>
      <c r="AU745" s="77"/>
      <c r="AV745" s="80" t="str">
        <f>HYPERLINK("https://pbs.twimg.com/profile_images/833576943677214720/5ZyUgpEJ_normal.jpg")</f>
        <v>https://pbs.twimg.com/profile_images/833576943677214720/5ZyUgpEJ_normal.jpg</v>
      </c>
      <c r="AW745" s="81" t="s">
        <v>5091</v>
      </c>
      <c r="AX745" s="81" t="s">
        <v>5091</v>
      </c>
      <c r="AY745" s="77"/>
      <c r="AZ745" s="81" t="s">
        <v>5773</v>
      </c>
      <c r="BA745" s="81" t="s">
        <v>5773</v>
      </c>
      <c r="BB745" s="81" t="s">
        <v>5773</v>
      </c>
      <c r="BC745" s="81" t="s">
        <v>5091</v>
      </c>
      <c r="BD745" s="77">
        <v>297885438</v>
      </c>
      <c r="BE745" s="77"/>
      <c r="BF745" s="77"/>
      <c r="BG745" s="77"/>
      <c r="BH745" s="77"/>
      <c r="BI745" s="77"/>
    </row>
    <row r="746" spans="1:61" ht="15">
      <c r="A746" s="62" t="s">
        <v>299</v>
      </c>
      <c r="B746" s="62" t="s">
        <v>299</v>
      </c>
      <c r="C746" s="63"/>
      <c r="D746" s="64"/>
      <c r="E746" s="65"/>
      <c r="F746" s="66"/>
      <c r="G746" s="63"/>
      <c r="H746" s="67"/>
      <c r="I746" s="68"/>
      <c r="J746" s="68"/>
      <c r="K746" s="32" t="s">
        <v>65</v>
      </c>
      <c r="L746" s="75">
        <v>746</v>
      </c>
      <c r="M746" s="75"/>
      <c r="N746" s="70"/>
      <c r="O746" s="77" t="s">
        <v>571</v>
      </c>
      <c r="P746" s="79">
        <v>41731.51059027778</v>
      </c>
      <c r="Q746" s="77" t="s">
        <v>1150</v>
      </c>
      <c r="R746" s="77">
        <v>0</v>
      </c>
      <c r="S746" s="77">
        <v>0</v>
      </c>
      <c r="T746" s="77">
        <v>0</v>
      </c>
      <c r="U746" s="77">
        <v>0</v>
      </c>
      <c r="V746" s="77"/>
      <c r="W746" s="77"/>
      <c r="X746" s="80" t="str">
        <f>HYPERLINK("http://www.inovies.com/inovies_news.php?id=19")</f>
        <v>http://www.inovies.com/inovies_news.php?id=19</v>
      </c>
      <c r="Y746" s="77" t="s">
        <v>1982</v>
      </c>
      <c r="Z746" s="77" t="s">
        <v>299</v>
      </c>
      <c r="AA746" s="77"/>
      <c r="AB746" s="77"/>
      <c r="AC746" s="81" t="s">
        <v>2712</v>
      </c>
      <c r="AD746" s="77" t="s">
        <v>2751</v>
      </c>
      <c r="AE746" s="80" t="str">
        <f>HYPERLINK("https://twitter.com/inovies/status/451332026767908864")</f>
        <v>https://twitter.com/inovies/status/451332026767908864</v>
      </c>
      <c r="AF746" s="79">
        <v>41731.51059027778</v>
      </c>
      <c r="AG746" s="85">
        <v>41731</v>
      </c>
      <c r="AH746" s="81" t="s">
        <v>3346</v>
      </c>
      <c r="AI746" s="77" t="b">
        <v>0</v>
      </c>
      <c r="AJ746" s="77"/>
      <c r="AK746" s="77"/>
      <c r="AL746" s="77"/>
      <c r="AM746" s="77"/>
      <c r="AN746" s="77"/>
      <c r="AO746" s="77"/>
      <c r="AP746" s="77"/>
      <c r="AQ746" s="77"/>
      <c r="AR746" s="77"/>
      <c r="AS746" s="77"/>
      <c r="AT746" s="77"/>
      <c r="AU746" s="77"/>
      <c r="AV746" s="80" t="str">
        <f>HYPERLINK("https://pbs.twimg.com/profile_images/833576943677214720/5ZyUgpEJ_normal.jpg")</f>
        <v>https://pbs.twimg.com/profile_images/833576943677214720/5ZyUgpEJ_normal.jpg</v>
      </c>
      <c r="AW746" s="81" t="s">
        <v>5092</v>
      </c>
      <c r="AX746" s="81" t="s">
        <v>5092</v>
      </c>
      <c r="AY746" s="77"/>
      <c r="AZ746" s="81" t="s">
        <v>5773</v>
      </c>
      <c r="BA746" s="81" t="s">
        <v>5773</v>
      </c>
      <c r="BB746" s="81" t="s">
        <v>5773</v>
      </c>
      <c r="BC746" s="81" t="s">
        <v>5092</v>
      </c>
      <c r="BD746" s="77">
        <v>297885438</v>
      </c>
      <c r="BE746" s="77"/>
      <c r="BF746" s="77"/>
      <c r="BG746" s="77"/>
      <c r="BH746" s="77"/>
      <c r="BI746" s="77"/>
    </row>
    <row r="747" spans="1:61" ht="15">
      <c r="A747" s="62" t="s">
        <v>299</v>
      </c>
      <c r="B747" s="62" t="s">
        <v>299</v>
      </c>
      <c r="C747" s="63"/>
      <c r="D747" s="64"/>
      <c r="E747" s="65"/>
      <c r="F747" s="66"/>
      <c r="G747" s="63"/>
      <c r="H747" s="67"/>
      <c r="I747" s="68"/>
      <c r="J747" s="68"/>
      <c r="K747" s="32" t="s">
        <v>65</v>
      </c>
      <c r="L747" s="75">
        <v>747</v>
      </c>
      <c r="M747" s="75"/>
      <c r="N747" s="70"/>
      <c r="O747" s="77" t="s">
        <v>571</v>
      </c>
      <c r="P747" s="79">
        <v>41731.48537037037</v>
      </c>
      <c r="Q747" s="77" t="s">
        <v>1151</v>
      </c>
      <c r="R747" s="77">
        <v>0</v>
      </c>
      <c r="S747" s="77">
        <v>0</v>
      </c>
      <c r="T747" s="77">
        <v>0</v>
      </c>
      <c r="U747" s="77">
        <v>0</v>
      </c>
      <c r="V747" s="77"/>
      <c r="W747" s="77"/>
      <c r="X747" s="80" t="str">
        <f>HYPERLINK("http://www.inovies.com/inovies_news.php?id=17")</f>
        <v>http://www.inovies.com/inovies_news.php?id=17</v>
      </c>
      <c r="Y747" s="77" t="s">
        <v>1982</v>
      </c>
      <c r="Z747" s="77" t="s">
        <v>299</v>
      </c>
      <c r="AA747" s="77"/>
      <c r="AB747" s="77"/>
      <c r="AC747" s="81" t="s">
        <v>2712</v>
      </c>
      <c r="AD747" s="77" t="s">
        <v>2751</v>
      </c>
      <c r="AE747" s="80" t="str">
        <f>HYPERLINK("https://twitter.com/inovies/status/451322890504253440")</f>
        <v>https://twitter.com/inovies/status/451322890504253440</v>
      </c>
      <c r="AF747" s="79">
        <v>41731.48537037037</v>
      </c>
      <c r="AG747" s="85">
        <v>41731</v>
      </c>
      <c r="AH747" s="81" t="s">
        <v>3347</v>
      </c>
      <c r="AI747" s="77" t="b">
        <v>0</v>
      </c>
      <c r="AJ747" s="77"/>
      <c r="AK747" s="77"/>
      <c r="AL747" s="77"/>
      <c r="AM747" s="77"/>
      <c r="AN747" s="77"/>
      <c r="AO747" s="77"/>
      <c r="AP747" s="77"/>
      <c r="AQ747" s="77"/>
      <c r="AR747" s="77"/>
      <c r="AS747" s="77"/>
      <c r="AT747" s="77"/>
      <c r="AU747" s="77"/>
      <c r="AV747" s="80" t="str">
        <f>HYPERLINK("https://pbs.twimg.com/profile_images/833576943677214720/5ZyUgpEJ_normal.jpg")</f>
        <v>https://pbs.twimg.com/profile_images/833576943677214720/5ZyUgpEJ_normal.jpg</v>
      </c>
      <c r="AW747" s="81" t="s">
        <v>5093</v>
      </c>
      <c r="AX747" s="81" t="s">
        <v>5093</v>
      </c>
      <c r="AY747" s="77"/>
      <c r="AZ747" s="81" t="s">
        <v>5773</v>
      </c>
      <c r="BA747" s="81" t="s">
        <v>5773</v>
      </c>
      <c r="BB747" s="81" t="s">
        <v>5773</v>
      </c>
      <c r="BC747" s="81" t="s">
        <v>5093</v>
      </c>
      <c r="BD747" s="77">
        <v>297885438</v>
      </c>
      <c r="BE747" s="77"/>
      <c r="BF747" s="77"/>
      <c r="BG747" s="77"/>
      <c r="BH747" s="77"/>
      <c r="BI747" s="77"/>
    </row>
    <row r="748" spans="1:61" ht="15">
      <c r="A748" s="62" t="s">
        <v>299</v>
      </c>
      <c r="B748" s="62" t="s">
        <v>299</v>
      </c>
      <c r="C748" s="63"/>
      <c r="D748" s="64"/>
      <c r="E748" s="65"/>
      <c r="F748" s="66"/>
      <c r="G748" s="63"/>
      <c r="H748" s="67"/>
      <c r="I748" s="68"/>
      <c r="J748" s="68"/>
      <c r="K748" s="32" t="s">
        <v>65</v>
      </c>
      <c r="L748" s="75">
        <v>748</v>
      </c>
      <c r="M748" s="75"/>
      <c r="N748" s="70"/>
      <c r="O748" s="77" t="s">
        <v>571</v>
      </c>
      <c r="P748" s="79">
        <v>41731.48244212963</v>
      </c>
      <c r="Q748" s="77" t="s">
        <v>1152</v>
      </c>
      <c r="R748" s="77">
        <v>0</v>
      </c>
      <c r="S748" s="77">
        <v>0</v>
      </c>
      <c r="T748" s="77">
        <v>0</v>
      </c>
      <c r="U748" s="77">
        <v>0</v>
      </c>
      <c r="V748" s="77"/>
      <c r="W748" s="77"/>
      <c r="X748" s="80" t="str">
        <f>HYPERLINK("http://www.inovies.com/inovies_news.php?id=18")</f>
        <v>http://www.inovies.com/inovies_news.php?id=18</v>
      </c>
      <c r="Y748" s="77" t="s">
        <v>1982</v>
      </c>
      <c r="Z748" s="77" t="s">
        <v>299</v>
      </c>
      <c r="AA748" s="77"/>
      <c r="AB748" s="77"/>
      <c r="AC748" s="81" t="s">
        <v>2712</v>
      </c>
      <c r="AD748" s="77" t="s">
        <v>2751</v>
      </c>
      <c r="AE748" s="80" t="str">
        <f>HYPERLINK("https://twitter.com/inovies/status/451321827118178304")</f>
        <v>https://twitter.com/inovies/status/451321827118178304</v>
      </c>
      <c r="AF748" s="79">
        <v>41731.48244212963</v>
      </c>
      <c r="AG748" s="85">
        <v>41731</v>
      </c>
      <c r="AH748" s="81" t="s">
        <v>3348</v>
      </c>
      <c r="AI748" s="77" t="b">
        <v>0</v>
      </c>
      <c r="AJ748" s="77"/>
      <c r="AK748" s="77"/>
      <c r="AL748" s="77"/>
      <c r="AM748" s="77"/>
      <c r="AN748" s="77"/>
      <c r="AO748" s="77"/>
      <c r="AP748" s="77"/>
      <c r="AQ748" s="77"/>
      <c r="AR748" s="77"/>
      <c r="AS748" s="77"/>
      <c r="AT748" s="77"/>
      <c r="AU748" s="77"/>
      <c r="AV748" s="80" t="str">
        <f>HYPERLINK("https://pbs.twimg.com/profile_images/833576943677214720/5ZyUgpEJ_normal.jpg")</f>
        <v>https://pbs.twimg.com/profile_images/833576943677214720/5ZyUgpEJ_normal.jpg</v>
      </c>
      <c r="AW748" s="81" t="s">
        <v>5094</v>
      </c>
      <c r="AX748" s="81" t="s">
        <v>5094</v>
      </c>
      <c r="AY748" s="77"/>
      <c r="AZ748" s="81" t="s">
        <v>5773</v>
      </c>
      <c r="BA748" s="81" t="s">
        <v>5773</v>
      </c>
      <c r="BB748" s="81" t="s">
        <v>5773</v>
      </c>
      <c r="BC748" s="81" t="s">
        <v>5094</v>
      </c>
      <c r="BD748" s="77">
        <v>297885438</v>
      </c>
      <c r="BE748" s="77"/>
      <c r="BF748" s="77"/>
      <c r="BG748" s="77"/>
      <c r="BH748" s="77"/>
      <c r="BI748" s="77"/>
    </row>
    <row r="749" spans="1:61" ht="15">
      <c r="A749" s="62" t="s">
        <v>299</v>
      </c>
      <c r="B749" s="62" t="s">
        <v>299</v>
      </c>
      <c r="C749" s="63"/>
      <c r="D749" s="64"/>
      <c r="E749" s="65"/>
      <c r="F749" s="66"/>
      <c r="G749" s="63"/>
      <c r="H749" s="67"/>
      <c r="I749" s="68"/>
      <c r="J749" s="68"/>
      <c r="K749" s="32" t="s">
        <v>65</v>
      </c>
      <c r="L749" s="75">
        <v>749</v>
      </c>
      <c r="M749" s="75"/>
      <c r="N749" s="70"/>
      <c r="O749" s="77" t="s">
        <v>179</v>
      </c>
      <c r="P749" s="79">
        <v>41619.45858796296</v>
      </c>
      <c r="Q749" s="77" t="s">
        <v>1153</v>
      </c>
      <c r="R749" s="77">
        <v>0</v>
      </c>
      <c r="S749" s="77">
        <v>1</v>
      </c>
      <c r="T749" s="77">
        <v>0</v>
      </c>
      <c r="U749" s="77">
        <v>0</v>
      </c>
      <c r="V749" s="77"/>
      <c r="W749" s="77"/>
      <c r="X749" s="77"/>
      <c r="Y749" s="77"/>
      <c r="Z749" s="77"/>
      <c r="AA749" s="77" t="s">
        <v>2318</v>
      </c>
      <c r="AB749" s="77" t="s">
        <v>2696</v>
      </c>
      <c r="AC749" s="81" t="s">
        <v>2704</v>
      </c>
      <c r="AD749" s="77" t="s">
        <v>2751</v>
      </c>
      <c r="AE749" s="80" t="str">
        <f>HYPERLINK("https://twitter.com/inovies/status/410725741630742529")</f>
        <v>https://twitter.com/inovies/status/410725741630742529</v>
      </c>
      <c r="AF749" s="79">
        <v>41619.45858796296</v>
      </c>
      <c r="AG749" s="85">
        <v>41619</v>
      </c>
      <c r="AH749" s="81" t="s">
        <v>3349</v>
      </c>
      <c r="AI749" s="77" t="b">
        <v>0</v>
      </c>
      <c r="AJ749" s="77"/>
      <c r="AK749" s="77"/>
      <c r="AL749" s="77"/>
      <c r="AM749" s="77"/>
      <c r="AN749" s="77"/>
      <c r="AO749" s="77"/>
      <c r="AP749" s="77"/>
      <c r="AQ749" s="77" t="s">
        <v>4132</v>
      </c>
      <c r="AR749" s="77"/>
      <c r="AS749" s="77"/>
      <c r="AT749" s="77"/>
      <c r="AU749" s="77"/>
      <c r="AV749" s="80" t="str">
        <f>HYPERLINK("https://pbs.twimg.com/media/BbMw4sMCEAAkMpu.jpg")</f>
        <v>https://pbs.twimg.com/media/BbMw4sMCEAAkMpu.jpg</v>
      </c>
      <c r="AW749" s="81" t="s">
        <v>5095</v>
      </c>
      <c r="AX749" s="81" t="s">
        <v>5095</v>
      </c>
      <c r="AY749" s="77"/>
      <c r="AZ749" s="81" t="s">
        <v>5773</v>
      </c>
      <c r="BA749" s="81" t="s">
        <v>5773</v>
      </c>
      <c r="BB749" s="81" t="s">
        <v>5773</v>
      </c>
      <c r="BC749" s="81" t="s">
        <v>5095</v>
      </c>
      <c r="BD749" s="77">
        <v>297885438</v>
      </c>
      <c r="BE749" s="77"/>
      <c r="BF749" s="77"/>
      <c r="BG749" s="77"/>
      <c r="BH749" s="77"/>
      <c r="BI749" s="77"/>
    </row>
    <row r="750" spans="1:61" ht="15">
      <c r="A750" s="62" t="s">
        <v>299</v>
      </c>
      <c r="B750" s="62" t="s">
        <v>299</v>
      </c>
      <c r="C750" s="63"/>
      <c r="D750" s="64"/>
      <c r="E750" s="65"/>
      <c r="F750" s="66"/>
      <c r="G750" s="63"/>
      <c r="H750" s="67"/>
      <c r="I750" s="68"/>
      <c r="J750" s="68"/>
      <c r="K750" s="32" t="s">
        <v>65</v>
      </c>
      <c r="L750" s="75">
        <v>750</v>
      </c>
      <c r="M750" s="75"/>
      <c r="N750" s="70"/>
      <c r="O750" s="77" t="s">
        <v>179</v>
      </c>
      <c r="P750" s="79">
        <v>41494.6093287037</v>
      </c>
      <c r="Q750" s="77" t="s">
        <v>1154</v>
      </c>
      <c r="R750" s="77">
        <v>0</v>
      </c>
      <c r="S750" s="77">
        <v>0</v>
      </c>
      <c r="T750" s="77">
        <v>0</v>
      </c>
      <c r="U750" s="77">
        <v>0</v>
      </c>
      <c r="V750" s="77"/>
      <c r="W750" s="77"/>
      <c r="X750" s="80" t="str">
        <f>HYPERLINK("http://www.PalliBatani.com")</f>
        <v>http://www.PalliBatani.com</v>
      </c>
      <c r="Y750" s="77" t="s">
        <v>2044</v>
      </c>
      <c r="Z750" s="77"/>
      <c r="AA750" s="77" t="s">
        <v>2319</v>
      </c>
      <c r="AB750" s="77" t="s">
        <v>2696</v>
      </c>
      <c r="AC750" s="81" t="s">
        <v>2705</v>
      </c>
      <c r="AD750" s="77" t="s">
        <v>2751</v>
      </c>
      <c r="AE750" s="80" t="str">
        <f>HYPERLINK("https://twitter.com/inovies/status/365481885192818689")</f>
        <v>https://twitter.com/inovies/status/365481885192818689</v>
      </c>
      <c r="AF750" s="79">
        <v>41494.6093287037</v>
      </c>
      <c r="AG750" s="85">
        <v>41494</v>
      </c>
      <c r="AH750" s="81" t="s">
        <v>3350</v>
      </c>
      <c r="AI750" s="77" t="b">
        <v>0</v>
      </c>
      <c r="AJ750" s="77"/>
      <c r="AK750" s="77"/>
      <c r="AL750" s="77"/>
      <c r="AM750" s="77"/>
      <c r="AN750" s="77"/>
      <c r="AO750" s="77"/>
      <c r="AP750" s="77"/>
      <c r="AQ750" s="77" t="s">
        <v>4133</v>
      </c>
      <c r="AR750" s="77"/>
      <c r="AS750" s="77"/>
      <c r="AT750" s="77"/>
      <c r="AU750" s="77"/>
      <c r="AV750" s="80" t="str">
        <f>HYPERLINK("https://pbs.twimg.com/media/BRJz1pNCEAAz5xL.jpg")</f>
        <v>https://pbs.twimg.com/media/BRJz1pNCEAAz5xL.jpg</v>
      </c>
      <c r="AW750" s="81" t="s">
        <v>5096</v>
      </c>
      <c r="AX750" s="81" t="s">
        <v>5096</v>
      </c>
      <c r="AY750" s="77"/>
      <c r="AZ750" s="81" t="s">
        <v>5773</v>
      </c>
      <c r="BA750" s="81" t="s">
        <v>5773</v>
      </c>
      <c r="BB750" s="81" t="s">
        <v>5773</v>
      </c>
      <c r="BC750" s="81" t="s">
        <v>5096</v>
      </c>
      <c r="BD750" s="77">
        <v>297885438</v>
      </c>
      <c r="BE750" s="77"/>
      <c r="BF750" s="77"/>
      <c r="BG750" s="77"/>
      <c r="BH750" s="77"/>
      <c r="BI750" s="77"/>
    </row>
    <row r="751" spans="1:61" ht="15">
      <c r="A751" s="62" t="s">
        <v>299</v>
      </c>
      <c r="B751" s="62" t="s">
        <v>299</v>
      </c>
      <c r="C751" s="63"/>
      <c r="D751" s="64"/>
      <c r="E751" s="65"/>
      <c r="F751" s="66"/>
      <c r="G751" s="63"/>
      <c r="H751" s="67"/>
      <c r="I751" s="68"/>
      <c r="J751" s="68"/>
      <c r="K751" s="32" t="s">
        <v>65</v>
      </c>
      <c r="L751" s="75">
        <v>751</v>
      </c>
      <c r="M751" s="75"/>
      <c r="N751" s="70"/>
      <c r="O751" s="77" t="s">
        <v>179</v>
      </c>
      <c r="P751" s="79">
        <v>41461.50171296296</v>
      </c>
      <c r="Q751" s="77" t="s">
        <v>1155</v>
      </c>
      <c r="R751" s="77">
        <v>0</v>
      </c>
      <c r="S751" s="77">
        <v>0</v>
      </c>
      <c r="T751" s="77">
        <v>0</v>
      </c>
      <c r="U751" s="77">
        <v>0</v>
      </c>
      <c r="V751" s="77"/>
      <c r="W751" s="77"/>
      <c r="X751" s="77"/>
      <c r="Y751" s="77"/>
      <c r="Z751" s="77"/>
      <c r="AA751" s="77" t="s">
        <v>2320</v>
      </c>
      <c r="AB751" s="77" t="s">
        <v>2696</v>
      </c>
      <c r="AC751" s="81" t="s">
        <v>2746</v>
      </c>
      <c r="AD751" s="77" t="s">
        <v>2751</v>
      </c>
      <c r="AE751" s="80" t="str">
        <f>HYPERLINK("https://twitter.com/inovies/status/353484088226746369")</f>
        <v>https://twitter.com/inovies/status/353484088226746369</v>
      </c>
      <c r="AF751" s="79">
        <v>41461.50171296296</v>
      </c>
      <c r="AG751" s="85">
        <v>41461</v>
      </c>
      <c r="AH751" s="81" t="s">
        <v>3351</v>
      </c>
      <c r="AI751" s="77" t="b">
        <v>0</v>
      </c>
      <c r="AJ751" s="77"/>
      <c r="AK751" s="77"/>
      <c r="AL751" s="77"/>
      <c r="AM751" s="77"/>
      <c r="AN751" s="77"/>
      <c r="AO751" s="77"/>
      <c r="AP751" s="77"/>
      <c r="AQ751" s="77" t="s">
        <v>4134</v>
      </c>
      <c r="AR751" s="77"/>
      <c r="AS751" s="77"/>
      <c r="AT751" s="77"/>
      <c r="AU751" s="77"/>
      <c r="AV751" s="80" t="str">
        <f>HYPERLINK("https://pbs.twimg.com/media/BOfT58jCEAIRaiq.jpg")</f>
        <v>https://pbs.twimg.com/media/BOfT58jCEAIRaiq.jpg</v>
      </c>
      <c r="AW751" s="81" t="s">
        <v>5097</v>
      </c>
      <c r="AX751" s="81" t="s">
        <v>5097</v>
      </c>
      <c r="AY751" s="77"/>
      <c r="AZ751" s="81" t="s">
        <v>5773</v>
      </c>
      <c r="BA751" s="81" t="s">
        <v>5773</v>
      </c>
      <c r="BB751" s="81" t="s">
        <v>5773</v>
      </c>
      <c r="BC751" s="81" t="s">
        <v>5097</v>
      </c>
      <c r="BD751" s="77">
        <v>297885438</v>
      </c>
      <c r="BE751" s="77"/>
      <c r="BF751" s="77"/>
      <c r="BG751" s="77"/>
      <c r="BH751" s="77"/>
      <c r="BI751" s="77"/>
    </row>
    <row r="752" spans="1:61" ht="15">
      <c r="A752" s="62" t="s">
        <v>299</v>
      </c>
      <c r="B752" s="62" t="s">
        <v>299</v>
      </c>
      <c r="C752" s="63"/>
      <c r="D752" s="64"/>
      <c r="E752" s="65"/>
      <c r="F752" s="66"/>
      <c r="G752" s="63"/>
      <c r="H752" s="67"/>
      <c r="I752" s="68"/>
      <c r="J752" s="68"/>
      <c r="K752" s="32" t="s">
        <v>65</v>
      </c>
      <c r="L752" s="75">
        <v>752</v>
      </c>
      <c r="M752" s="75"/>
      <c r="N752" s="70"/>
      <c r="O752" s="77" t="s">
        <v>179</v>
      </c>
      <c r="P752" s="79">
        <v>41461.50078703704</v>
      </c>
      <c r="Q752" s="77" t="s">
        <v>1156</v>
      </c>
      <c r="R752" s="77">
        <v>0</v>
      </c>
      <c r="S752" s="77">
        <v>0</v>
      </c>
      <c r="T752" s="77">
        <v>0</v>
      </c>
      <c r="U752" s="77">
        <v>0</v>
      </c>
      <c r="V752" s="77"/>
      <c r="W752" s="77"/>
      <c r="X752" s="77"/>
      <c r="Y752" s="77"/>
      <c r="Z752" s="77"/>
      <c r="AA752" s="77" t="s">
        <v>2321</v>
      </c>
      <c r="AB752" s="77" t="s">
        <v>2696</v>
      </c>
      <c r="AC752" s="81" t="s">
        <v>2746</v>
      </c>
      <c r="AD752" s="77" t="s">
        <v>2755</v>
      </c>
      <c r="AE752" s="80" t="str">
        <f>HYPERLINK("https://twitter.com/inovies/status/353483752950874112")</f>
        <v>https://twitter.com/inovies/status/353483752950874112</v>
      </c>
      <c r="AF752" s="79">
        <v>41461.50078703704</v>
      </c>
      <c r="AG752" s="85">
        <v>41461</v>
      </c>
      <c r="AH752" s="81" t="s">
        <v>3352</v>
      </c>
      <c r="AI752" s="77" t="b">
        <v>0</v>
      </c>
      <c r="AJ752" s="77"/>
      <c r="AK752" s="77"/>
      <c r="AL752" s="77"/>
      <c r="AM752" s="77"/>
      <c r="AN752" s="77"/>
      <c r="AO752" s="77"/>
      <c r="AP752" s="77"/>
      <c r="AQ752" s="77" t="s">
        <v>4135</v>
      </c>
      <c r="AR752" s="77"/>
      <c r="AS752" s="77"/>
      <c r="AT752" s="77"/>
      <c r="AU752" s="77"/>
      <c r="AV752" s="80" t="str">
        <f>HYPERLINK("https://pbs.twimg.com/media/BOfTmbjCQAAMFrv.jpg")</f>
        <v>https://pbs.twimg.com/media/BOfTmbjCQAAMFrv.jpg</v>
      </c>
      <c r="AW752" s="81" t="s">
        <v>5098</v>
      </c>
      <c r="AX752" s="81" t="s">
        <v>5098</v>
      </c>
      <c r="AY752" s="77"/>
      <c r="AZ752" s="81" t="s">
        <v>5773</v>
      </c>
      <c r="BA752" s="81" t="s">
        <v>5773</v>
      </c>
      <c r="BB752" s="81" t="s">
        <v>5773</v>
      </c>
      <c r="BC752" s="81" t="s">
        <v>5098</v>
      </c>
      <c r="BD752" s="77">
        <v>297885438</v>
      </c>
      <c r="BE752" s="77"/>
      <c r="BF752" s="77"/>
      <c r="BG752" s="77"/>
      <c r="BH752" s="77"/>
      <c r="BI752" s="77"/>
    </row>
    <row r="753" spans="1:61" ht="15">
      <c r="A753" s="62" t="s">
        <v>299</v>
      </c>
      <c r="B753" s="62" t="s">
        <v>299</v>
      </c>
      <c r="C753" s="63"/>
      <c r="D753" s="64"/>
      <c r="E753" s="65"/>
      <c r="F753" s="66"/>
      <c r="G753" s="63"/>
      <c r="H753" s="67"/>
      <c r="I753" s="68"/>
      <c r="J753" s="68"/>
      <c r="K753" s="32" t="s">
        <v>65</v>
      </c>
      <c r="L753" s="75">
        <v>753</v>
      </c>
      <c r="M753" s="75"/>
      <c r="N753" s="70"/>
      <c r="O753" s="77" t="s">
        <v>179</v>
      </c>
      <c r="P753" s="79">
        <v>41461.49972222222</v>
      </c>
      <c r="Q753" s="77" t="s">
        <v>1138</v>
      </c>
      <c r="R753" s="77">
        <v>0</v>
      </c>
      <c r="S753" s="77">
        <v>0</v>
      </c>
      <c r="T753" s="77">
        <v>0</v>
      </c>
      <c r="U753" s="77">
        <v>0</v>
      </c>
      <c r="V753" s="77"/>
      <c r="W753" s="77"/>
      <c r="X753" s="77"/>
      <c r="Y753" s="77"/>
      <c r="Z753" s="77"/>
      <c r="AA753" s="77"/>
      <c r="AB753" s="77"/>
      <c r="AC753" s="81" t="s">
        <v>2704</v>
      </c>
      <c r="AD753" s="77" t="s">
        <v>2751</v>
      </c>
      <c r="AE753" s="80" t="str">
        <f>HYPERLINK("https://twitter.com/inovies/status/353483363971121154")</f>
        <v>https://twitter.com/inovies/status/353483363971121154</v>
      </c>
      <c r="AF753" s="79">
        <v>41461.49972222222</v>
      </c>
      <c r="AG753" s="85">
        <v>41461</v>
      </c>
      <c r="AH753" s="81" t="s">
        <v>3353</v>
      </c>
      <c r="AI753" s="77"/>
      <c r="AJ753" s="77"/>
      <c r="AK753" s="77"/>
      <c r="AL753" s="77"/>
      <c r="AM753" s="77"/>
      <c r="AN753" s="77"/>
      <c r="AO753" s="77"/>
      <c r="AP753" s="77"/>
      <c r="AQ753" s="77"/>
      <c r="AR753" s="77"/>
      <c r="AS753" s="77"/>
      <c r="AT753" s="77"/>
      <c r="AU753" s="77"/>
      <c r="AV753" s="80" t="str">
        <f>HYPERLINK("https://pbs.twimg.com/profile_images/833576943677214720/5ZyUgpEJ_normal.jpg")</f>
        <v>https://pbs.twimg.com/profile_images/833576943677214720/5ZyUgpEJ_normal.jpg</v>
      </c>
      <c r="AW753" s="81" t="s">
        <v>5099</v>
      </c>
      <c r="AX753" s="81" t="s">
        <v>5099</v>
      </c>
      <c r="AY753" s="77"/>
      <c r="AZ753" s="81" t="s">
        <v>5773</v>
      </c>
      <c r="BA753" s="81" t="s">
        <v>5773</v>
      </c>
      <c r="BB753" s="81" t="s">
        <v>5773</v>
      </c>
      <c r="BC753" s="81" t="s">
        <v>5099</v>
      </c>
      <c r="BD753" s="77">
        <v>297885438</v>
      </c>
      <c r="BE753" s="77"/>
      <c r="BF753" s="77"/>
      <c r="BG753" s="77"/>
      <c r="BH753" s="77"/>
      <c r="BI753" s="77"/>
    </row>
    <row r="754" spans="1:61" ht="15">
      <c r="A754" s="62" t="s">
        <v>299</v>
      </c>
      <c r="B754" s="62" t="s">
        <v>299</v>
      </c>
      <c r="C754" s="63"/>
      <c r="D754" s="64"/>
      <c r="E754" s="65"/>
      <c r="F754" s="66"/>
      <c r="G754" s="63"/>
      <c r="H754" s="67"/>
      <c r="I754" s="68"/>
      <c r="J754" s="68"/>
      <c r="K754" s="32" t="s">
        <v>65</v>
      </c>
      <c r="L754" s="75">
        <v>754</v>
      </c>
      <c r="M754" s="75"/>
      <c r="N754" s="70"/>
      <c r="O754" s="77" t="s">
        <v>179</v>
      </c>
      <c r="P754" s="79">
        <v>41085.32010416667</v>
      </c>
      <c r="Q754" s="80" t="str">
        <f>HYPERLINK("http://t.co/YsJ0txCA")</f>
        <v>http://t.co/YsJ0txCA</v>
      </c>
      <c r="R754" s="77">
        <v>0</v>
      </c>
      <c r="S754" s="77">
        <v>0</v>
      </c>
      <c r="T754" s="77">
        <v>0</v>
      </c>
      <c r="U754" s="77">
        <v>0</v>
      </c>
      <c r="V754" s="77"/>
      <c r="W754" s="77"/>
      <c r="X754" s="80" t="str">
        <f>HYPERLINK("http://nauk.in/1sJ3B7")</f>
        <v>http://nauk.in/1sJ3B7</v>
      </c>
      <c r="Y754" s="77" t="s">
        <v>2045</v>
      </c>
      <c r="Z754" s="77"/>
      <c r="AA754" s="77"/>
      <c r="AB754" s="77"/>
      <c r="AC754" s="81" t="s">
        <v>2712</v>
      </c>
      <c r="AD754" s="77" t="s">
        <v>2756</v>
      </c>
      <c r="AE754" s="80" t="str">
        <f>HYPERLINK("https://twitter.com/inovies/status/217160436494237696")</f>
        <v>https://twitter.com/inovies/status/217160436494237696</v>
      </c>
      <c r="AF754" s="79">
        <v>41085.32010416667</v>
      </c>
      <c r="AG754" s="85">
        <v>41085</v>
      </c>
      <c r="AH754" s="81" t="s">
        <v>3354</v>
      </c>
      <c r="AI754" s="77" t="b">
        <v>0</v>
      </c>
      <c r="AJ754" s="77"/>
      <c r="AK754" s="77"/>
      <c r="AL754" s="77"/>
      <c r="AM754" s="77"/>
      <c r="AN754" s="77"/>
      <c r="AO754" s="77"/>
      <c r="AP754" s="77"/>
      <c r="AQ754" s="77"/>
      <c r="AR754" s="77"/>
      <c r="AS754" s="77"/>
      <c r="AT754" s="77"/>
      <c r="AU754" s="77"/>
      <c r="AV754" s="80" t="str">
        <f>HYPERLINK("https://pbs.twimg.com/profile_images/833576943677214720/5ZyUgpEJ_normal.jpg")</f>
        <v>https://pbs.twimg.com/profile_images/833576943677214720/5ZyUgpEJ_normal.jpg</v>
      </c>
      <c r="AW754" s="81" t="s">
        <v>5100</v>
      </c>
      <c r="AX754" s="81" t="s">
        <v>5100</v>
      </c>
      <c r="AY754" s="77"/>
      <c r="AZ754" s="81" t="s">
        <v>5773</v>
      </c>
      <c r="BA754" s="81" t="s">
        <v>5773</v>
      </c>
      <c r="BB754" s="81" t="s">
        <v>5773</v>
      </c>
      <c r="BC754" s="81" t="s">
        <v>5100</v>
      </c>
      <c r="BD754" s="77">
        <v>297885438</v>
      </c>
      <c r="BE754" s="77"/>
      <c r="BF754" s="77"/>
      <c r="BG754" s="77"/>
      <c r="BH754" s="77"/>
      <c r="BI754" s="77"/>
    </row>
    <row r="755" spans="1:61" ht="15">
      <c r="A755" s="62" t="s">
        <v>299</v>
      </c>
      <c r="B755" s="62" t="s">
        <v>299</v>
      </c>
      <c r="C755" s="63"/>
      <c r="D755" s="64"/>
      <c r="E755" s="65"/>
      <c r="F755" s="66"/>
      <c r="G755" s="63"/>
      <c r="H755" s="67"/>
      <c r="I755" s="68"/>
      <c r="J755" s="68"/>
      <c r="K755" s="32" t="s">
        <v>65</v>
      </c>
      <c r="L755" s="75">
        <v>755</v>
      </c>
      <c r="M755" s="75"/>
      <c r="N755" s="70"/>
      <c r="O755" s="77" t="s">
        <v>179</v>
      </c>
      <c r="P755" s="79">
        <v>43416.41233796296</v>
      </c>
      <c r="Q755" s="80" t="str">
        <f>HYPERLINK("https://t.co/2tEJvOI7CG")</f>
        <v>https://t.co/2tEJvOI7CG</v>
      </c>
      <c r="R755" s="77">
        <v>0</v>
      </c>
      <c r="S755" s="77">
        <v>1</v>
      </c>
      <c r="T755" s="77">
        <v>0</v>
      </c>
      <c r="U755" s="77">
        <v>0</v>
      </c>
      <c r="V755" s="77"/>
      <c r="W755" s="77"/>
      <c r="X755" s="77"/>
      <c r="Y755" s="77"/>
      <c r="Z755" s="77"/>
      <c r="AA755" s="77" t="s">
        <v>2322</v>
      </c>
      <c r="AB755" s="77" t="s">
        <v>2696</v>
      </c>
      <c r="AC755" s="81" t="s">
        <v>2705</v>
      </c>
      <c r="AD755" s="77" t="s">
        <v>2756</v>
      </c>
      <c r="AE755" s="80" t="str">
        <f>HYPERLINK("https://twitter.com/inovies/status/1061919977505087488")</f>
        <v>https://twitter.com/inovies/status/1061919977505087488</v>
      </c>
      <c r="AF755" s="79">
        <v>43416.41233796296</v>
      </c>
      <c r="AG755" s="85">
        <v>43416</v>
      </c>
      <c r="AH755" s="81" t="s">
        <v>3355</v>
      </c>
      <c r="AI755" s="77" t="b">
        <v>0</v>
      </c>
      <c r="AJ755" s="77"/>
      <c r="AK755" s="77"/>
      <c r="AL755" s="77"/>
      <c r="AM755" s="77"/>
      <c r="AN755" s="77"/>
      <c r="AO755" s="77"/>
      <c r="AP755" s="77"/>
      <c r="AQ755" s="77" t="s">
        <v>4136</v>
      </c>
      <c r="AR755" s="77"/>
      <c r="AS755" s="77"/>
      <c r="AT755" s="77"/>
      <c r="AU755" s="77"/>
      <c r="AV755" s="80" t="str">
        <f>HYPERLINK("https://pbs.twimg.com/media/Dryybl7VAAES8_4.jpg")</f>
        <v>https://pbs.twimg.com/media/Dryybl7VAAES8_4.jpg</v>
      </c>
      <c r="AW755" s="81" t="s">
        <v>5101</v>
      </c>
      <c r="AX755" s="81" t="s">
        <v>5101</v>
      </c>
      <c r="AY755" s="77"/>
      <c r="AZ755" s="81" t="s">
        <v>5773</v>
      </c>
      <c r="BA755" s="81" t="s">
        <v>5773</v>
      </c>
      <c r="BB755" s="81" t="s">
        <v>5773</v>
      </c>
      <c r="BC755" s="81" t="s">
        <v>5101</v>
      </c>
      <c r="BD755" s="77">
        <v>297885438</v>
      </c>
      <c r="BE755" s="77"/>
      <c r="BF755" s="77"/>
      <c r="BG755" s="77"/>
      <c r="BH755" s="77"/>
      <c r="BI755" s="77"/>
    </row>
    <row r="756" spans="1:61" ht="15">
      <c r="A756" s="62" t="s">
        <v>299</v>
      </c>
      <c r="B756" s="62" t="s">
        <v>299</v>
      </c>
      <c r="C756" s="63"/>
      <c r="D756" s="64"/>
      <c r="E756" s="65"/>
      <c r="F756" s="66"/>
      <c r="G756" s="63"/>
      <c r="H756" s="67"/>
      <c r="I756" s="68"/>
      <c r="J756" s="68"/>
      <c r="K756" s="32" t="s">
        <v>65</v>
      </c>
      <c r="L756" s="75">
        <v>756</v>
      </c>
      <c r="M756" s="75"/>
      <c r="N756" s="70"/>
      <c r="O756" s="77" t="s">
        <v>179</v>
      </c>
      <c r="P756" s="79">
        <v>43026.50465277778</v>
      </c>
      <c r="Q756" s="77" t="s">
        <v>1157</v>
      </c>
      <c r="R756" s="77">
        <v>0</v>
      </c>
      <c r="S756" s="77">
        <v>2</v>
      </c>
      <c r="T756" s="77">
        <v>0</v>
      </c>
      <c r="U756" s="77">
        <v>0</v>
      </c>
      <c r="V756" s="77"/>
      <c r="W756" s="81" t="s">
        <v>299</v>
      </c>
      <c r="X756" s="77"/>
      <c r="Y756" s="77"/>
      <c r="Z756" s="77"/>
      <c r="AA756" s="77"/>
      <c r="AB756" s="77"/>
      <c r="AC756" s="81" t="s">
        <v>2705</v>
      </c>
      <c r="AD756" s="77" t="s">
        <v>2751</v>
      </c>
      <c r="AE756" s="80" t="str">
        <f>HYPERLINK("https://twitter.com/inovies/status/920622163459170307")</f>
        <v>https://twitter.com/inovies/status/920622163459170307</v>
      </c>
      <c r="AF756" s="79">
        <v>43026.50465277778</v>
      </c>
      <c r="AG756" s="85">
        <v>43026</v>
      </c>
      <c r="AH756" s="81" t="s">
        <v>3356</v>
      </c>
      <c r="AI756" s="77"/>
      <c r="AJ756" s="77"/>
      <c r="AK756" s="77"/>
      <c r="AL756" s="77"/>
      <c r="AM756" s="77"/>
      <c r="AN756" s="77"/>
      <c r="AO756" s="77"/>
      <c r="AP756" s="77"/>
      <c r="AQ756" s="77"/>
      <c r="AR756" s="77"/>
      <c r="AS756" s="77"/>
      <c r="AT756" s="77"/>
      <c r="AU756" s="77"/>
      <c r="AV756" s="80" t="str">
        <f>HYPERLINK("https://pbs.twimg.com/profile_images/833576943677214720/5ZyUgpEJ_normal.jpg")</f>
        <v>https://pbs.twimg.com/profile_images/833576943677214720/5ZyUgpEJ_normal.jpg</v>
      </c>
      <c r="AW756" s="81" t="s">
        <v>5102</v>
      </c>
      <c r="AX756" s="81" t="s">
        <v>5102</v>
      </c>
      <c r="AY756" s="77"/>
      <c r="AZ756" s="81" t="s">
        <v>5773</v>
      </c>
      <c r="BA756" s="81" t="s">
        <v>5773</v>
      </c>
      <c r="BB756" s="81" t="s">
        <v>5773</v>
      </c>
      <c r="BC756" s="81" t="s">
        <v>5102</v>
      </c>
      <c r="BD756" s="77">
        <v>297885438</v>
      </c>
      <c r="BE756" s="77"/>
      <c r="BF756" s="77"/>
      <c r="BG756" s="77"/>
      <c r="BH756" s="77"/>
      <c r="BI756" s="77"/>
    </row>
    <row r="757" spans="1:61" ht="15">
      <c r="A757" s="62" t="s">
        <v>299</v>
      </c>
      <c r="B757" s="62" t="s">
        <v>299</v>
      </c>
      <c r="C757" s="63"/>
      <c r="D757" s="64"/>
      <c r="E757" s="65"/>
      <c r="F757" s="66"/>
      <c r="G757" s="63"/>
      <c r="H757" s="67"/>
      <c r="I757" s="68"/>
      <c r="J757" s="68"/>
      <c r="K757" s="32" t="s">
        <v>65</v>
      </c>
      <c r="L757" s="75">
        <v>757</v>
      </c>
      <c r="M757" s="75"/>
      <c r="N757" s="70"/>
      <c r="O757" s="77" t="s">
        <v>179</v>
      </c>
      <c r="P757" s="79">
        <v>42790.355671296296</v>
      </c>
      <c r="Q757" s="77" t="s">
        <v>1158</v>
      </c>
      <c r="R757" s="77">
        <v>0</v>
      </c>
      <c r="S757" s="77">
        <v>0</v>
      </c>
      <c r="T757" s="77">
        <v>0</v>
      </c>
      <c r="U757" s="77">
        <v>0</v>
      </c>
      <c r="V757" s="77"/>
      <c r="W757" s="81" t="s">
        <v>1780</v>
      </c>
      <c r="X757" s="80" t="str">
        <f>HYPERLINK("https://www.paypal-proserv.com/newmoney/celebrating-entrepreneurs/allprofiles.php?id=865")</f>
        <v>https://www.paypal-proserv.com/newmoney/celebrating-entrepreneurs/allprofiles.php?id=865</v>
      </c>
      <c r="Y757" s="77" t="s">
        <v>2006</v>
      </c>
      <c r="Z757" s="77"/>
      <c r="AA757" s="77"/>
      <c r="AB757" s="77"/>
      <c r="AC757" s="81" t="s">
        <v>2705</v>
      </c>
      <c r="AD757" s="77" t="s">
        <v>2751</v>
      </c>
      <c r="AE757" s="80" t="str">
        <f>HYPERLINK("https://twitter.com/inovies/status/835044635802206208")</f>
        <v>https://twitter.com/inovies/status/835044635802206208</v>
      </c>
      <c r="AF757" s="79">
        <v>42790.355671296296</v>
      </c>
      <c r="AG757" s="85">
        <v>42790</v>
      </c>
      <c r="AH757" s="81" t="s">
        <v>3357</v>
      </c>
      <c r="AI757" s="77" t="b">
        <v>0</v>
      </c>
      <c r="AJ757" s="77"/>
      <c r="AK757" s="77"/>
      <c r="AL757" s="77"/>
      <c r="AM757" s="77"/>
      <c r="AN757" s="77"/>
      <c r="AO757" s="77"/>
      <c r="AP757" s="77"/>
      <c r="AQ757" s="77"/>
      <c r="AR757" s="77"/>
      <c r="AS757" s="77"/>
      <c r="AT757" s="77"/>
      <c r="AU757" s="77"/>
      <c r="AV757" s="80" t="str">
        <f>HYPERLINK("https://pbs.twimg.com/profile_images/833576943677214720/5ZyUgpEJ_normal.jpg")</f>
        <v>https://pbs.twimg.com/profile_images/833576943677214720/5ZyUgpEJ_normal.jpg</v>
      </c>
      <c r="AW757" s="81" t="s">
        <v>5103</v>
      </c>
      <c r="AX757" s="81" t="s">
        <v>5103</v>
      </c>
      <c r="AY757" s="77"/>
      <c r="AZ757" s="81" t="s">
        <v>5773</v>
      </c>
      <c r="BA757" s="81" t="s">
        <v>5773</v>
      </c>
      <c r="BB757" s="81" t="s">
        <v>5773</v>
      </c>
      <c r="BC757" s="81" t="s">
        <v>5103</v>
      </c>
      <c r="BD757" s="77">
        <v>297885438</v>
      </c>
      <c r="BE757" s="77"/>
      <c r="BF757" s="77"/>
      <c r="BG757" s="77"/>
      <c r="BH757" s="77"/>
      <c r="BI757" s="77"/>
    </row>
    <row r="758" spans="1:61" ht="15">
      <c r="A758" s="62" t="s">
        <v>299</v>
      </c>
      <c r="B758" s="62" t="s">
        <v>299</v>
      </c>
      <c r="C758" s="63"/>
      <c r="D758" s="64"/>
      <c r="E758" s="65"/>
      <c r="F758" s="66"/>
      <c r="G758" s="63"/>
      <c r="H758" s="67"/>
      <c r="I758" s="68"/>
      <c r="J758" s="68"/>
      <c r="K758" s="32" t="s">
        <v>65</v>
      </c>
      <c r="L758" s="75">
        <v>758</v>
      </c>
      <c r="M758" s="75"/>
      <c r="N758" s="70"/>
      <c r="O758" s="77" t="s">
        <v>179</v>
      </c>
      <c r="P758" s="79">
        <v>43440.61201388889</v>
      </c>
      <c r="Q758" s="80" t="str">
        <f>HYPERLINK("https://t.co/q2y4umSbHU")</f>
        <v>https://t.co/q2y4umSbHU</v>
      </c>
      <c r="R758" s="77">
        <v>0</v>
      </c>
      <c r="S758" s="77">
        <v>1</v>
      </c>
      <c r="T758" s="77">
        <v>0</v>
      </c>
      <c r="U758" s="77">
        <v>0</v>
      </c>
      <c r="V758" s="77"/>
      <c r="W758" s="77"/>
      <c r="X758" s="77"/>
      <c r="Y758" s="77"/>
      <c r="Z758" s="77"/>
      <c r="AA758" s="77" t="s">
        <v>2323</v>
      </c>
      <c r="AB758" s="77" t="s">
        <v>2696</v>
      </c>
      <c r="AC758" s="81" t="s">
        <v>2705</v>
      </c>
      <c r="AD758" s="77" t="s">
        <v>2756</v>
      </c>
      <c r="AE758" s="80" t="str">
        <f>HYPERLINK("https://twitter.com/inovies/status/1070689647091544064")</f>
        <v>https://twitter.com/inovies/status/1070689647091544064</v>
      </c>
      <c r="AF758" s="79">
        <v>43440.61201388889</v>
      </c>
      <c r="AG758" s="85">
        <v>43440</v>
      </c>
      <c r="AH758" s="81" t="s">
        <v>3358</v>
      </c>
      <c r="AI758" s="77" t="b">
        <v>0</v>
      </c>
      <c r="AJ758" s="77"/>
      <c r="AK758" s="77"/>
      <c r="AL758" s="77"/>
      <c r="AM758" s="77"/>
      <c r="AN758" s="77"/>
      <c r="AO758" s="77"/>
      <c r="AP758" s="77"/>
      <c r="AQ758" s="77" t="s">
        <v>4137</v>
      </c>
      <c r="AR758" s="77"/>
      <c r="AS758" s="77"/>
      <c r="AT758" s="77"/>
      <c r="AU758" s="77"/>
      <c r="AV758" s="80" t="str">
        <f>HYPERLINK("https://pbs.twimg.com/media/DtvaMaXU0AAFzJ3.jpg")</f>
        <v>https://pbs.twimg.com/media/DtvaMaXU0AAFzJ3.jpg</v>
      </c>
      <c r="AW758" s="81" t="s">
        <v>5104</v>
      </c>
      <c r="AX758" s="81" t="s">
        <v>5104</v>
      </c>
      <c r="AY758" s="77"/>
      <c r="AZ758" s="81" t="s">
        <v>5773</v>
      </c>
      <c r="BA758" s="81" t="s">
        <v>5773</v>
      </c>
      <c r="BB758" s="81" t="s">
        <v>5773</v>
      </c>
      <c r="BC758" s="81" t="s">
        <v>5104</v>
      </c>
      <c r="BD758" s="77">
        <v>297885438</v>
      </c>
      <c r="BE758" s="77"/>
      <c r="BF758" s="77"/>
      <c r="BG758" s="77"/>
      <c r="BH758" s="77"/>
      <c r="BI758" s="77"/>
    </row>
    <row r="759" spans="1:61" ht="15">
      <c r="A759" s="62" t="s">
        <v>299</v>
      </c>
      <c r="B759" s="62" t="s">
        <v>299</v>
      </c>
      <c r="C759" s="63"/>
      <c r="D759" s="64"/>
      <c r="E759" s="65"/>
      <c r="F759" s="66"/>
      <c r="G759" s="63"/>
      <c r="H759" s="67"/>
      <c r="I759" s="68"/>
      <c r="J759" s="68"/>
      <c r="K759" s="32" t="s">
        <v>65</v>
      </c>
      <c r="L759" s="75">
        <v>759</v>
      </c>
      <c r="M759" s="75"/>
      <c r="N759" s="70"/>
      <c r="O759" s="77" t="s">
        <v>179</v>
      </c>
      <c r="P759" s="79">
        <v>43026.3055787037</v>
      </c>
      <c r="Q759" s="77" t="s">
        <v>1159</v>
      </c>
      <c r="R759" s="77">
        <v>0</v>
      </c>
      <c r="S759" s="77">
        <v>5</v>
      </c>
      <c r="T759" s="77">
        <v>0</v>
      </c>
      <c r="U759" s="77">
        <v>0</v>
      </c>
      <c r="V759" s="77"/>
      <c r="W759" s="81" t="s">
        <v>1873</v>
      </c>
      <c r="X759" s="77"/>
      <c r="Y759" s="77"/>
      <c r="Z759" s="77"/>
      <c r="AA759" s="77"/>
      <c r="AB759" s="77"/>
      <c r="AC759" s="81" t="s">
        <v>2705</v>
      </c>
      <c r="AD759" s="77" t="s">
        <v>2751</v>
      </c>
      <c r="AE759" s="80" t="str">
        <f>HYPERLINK("https://twitter.com/inovies/status/920550019505184769")</f>
        <v>https://twitter.com/inovies/status/920550019505184769</v>
      </c>
      <c r="AF759" s="79">
        <v>43026.3055787037</v>
      </c>
      <c r="AG759" s="85">
        <v>43026</v>
      </c>
      <c r="AH759" s="81" t="s">
        <v>3359</v>
      </c>
      <c r="AI759" s="77"/>
      <c r="AJ759" s="77"/>
      <c r="AK759" s="77"/>
      <c r="AL759" s="77"/>
      <c r="AM759" s="77"/>
      <c r="AN759" s="77"/>
      <c r="AO759" s="77"/>
      <c r="AP759" s="77"/>
      <c r="AQ759" s="77"/>
      <c r="AR759" s="77"/>
      <c r="AS759" s="77"/>
      <c r="AT759" s="77"/>
      <c r="AU759" s="77"/>
      <c r="AV759" s="80" t="str">
        <f>HYPERLINK("https://pbs.twimg.com/profile_images/833576943677214720/5ZyUgpEJ_normal.jpg")</f>
        <v>https://pbs.twimg.com/profile_images/833576943677214720/5ZyUgpEJ_normal.jpg</v>
      </c>
      <c r="AW759" s="81" t="s">
        <v>5105</v>
      </c>
      <c r="AX759" s="81" t="s">
        <v>5105</v>
      </c>
      <c r="AY759" s="77"/>
      <c r="AZ759" s="81" t="s">
        <v>5773</v>
      </c>
      <c r="BA759" s="81" t="s">
        <v>5773</v>
      </c>
      <c r="BB759" s="81" t="s">
        <v>5773</v>
      </c>
      <c r="BC759" s="81" t="s">
        <v>5105</v>
      </c>
      <c r="BD759" s="77">
        <v>297885438</v>
      </c>
      <c r="BE759" s="77"/>
      <c r="BF759" s="77"/>
      <c r="BG759" s="77"/>
      <c r="BH759" s="77"/>
      <c r="BI759" s="77"/>
    </row>
    <row r="760" spans="1:61" ht="15">
      <c r="A760" s="62" t="s">
        <v>299</v>
      </c>
      <c r="B760" s="62" t="s">
        <v>299</v>
      </c>
      <c r="C760" s="63"/>
      <c r="D760" s="64"/>
      <c r="E760" s="65"/>
      <c r="F760" s="66"/>
      <c r="G760" s="63"/>
      <c r="H760" s="67"/>
      <c r="I760" s="68"/>
      <c r="J760" s="68"/>
      <c r="K760" s="32" t="s">
        <v>65</v>
      </c>
      <c r="L760" s="75">
        <v>760</v>
      </c>
      <c r="M760" s="75"/>
      <c r="N760" s="70"/>
      <c r="O760" s="77" t="s">
        <v>179</v>
      </c>
      <c r="P760" s="79">
        <v>42994.52952546296</v>
      </c>
      <c r="Q760" s="77" t="s">
        <v>1160</v>
      </c>
      <c r="R760" s="77">
        <v>0</v>
      </c>
      <c r="S760" s="77">
        <v>1</v>
      </c>
      <c r="T760" s="77">
        <v>0</v>
      </c>
      <c r="U760" s="77">
        <v>0</v>
      </c>
      <c r="V760" s="77"/>
      <c r="W760" s="81" t="s">
        <v>1874</v>
      </c>
      <c r="X760" s="77"/>
      <c r="Y760" s="77"/>
      <c r="Z760" s="77"/>
      <c r="AA760" s="77" t="s">
        <v>2324</v>
      </c>
      <c r="AB760" s="77" t="s">
        <v>2696</v>
      </c>
      <c r="AC760" s="81" t="s">
        <v>2705</v>
      </c>
      <c r="AD760" s="77" t="s">
        <v>2752</v>
      </c>
      <c r="AE760" s="80" t="str">
        <f>HYPERLINK("https://twitter.com/inovies/status/909034762819342336")</f>
        <v>https://twitter.com/inovies/status/909034762819342336</v>
      </c>
      <c r="AF760" s="79">
        <v>42994.52952546296</v>
      </c>
      <c r="AG760" s="85">
        <v>42994</v>
      </c>
      <c r="AH760" s="81" t="s">
        <v>3360</v>
      </c>
      <c r="AI760" s="77" t="b">
        <v>0</v>
      </c>
      <c r="AJ760" s="77" t="s">
        <v>3887</v>
      </c>
      <c r="AK760" s="77" t="s">
        <v>3889</v>
      </c>
      <c r="AL760" s="77" t="s">
        <v>3892</v>
      </c>
      <c r="AM760" s="77" t="s">
        <v>3889</v>
      </c>
      <c r="AN760" s="77" t="s">
        <v>3908</v>
      </c>
      <c r="AO760" s="77" t="s">
        <v>3889</v>
      </c>
      <c r="AP760" s="77" t="s">
        <v>3919</v>
      </c>
      <c r="AQ760" s="77" t="s">
        <v>4138</v>
      </c>
      <c r="AR760" s="77"/>
      <c r="AS760" s="77"/>
      <c r="AT760" s="77"/>
      <c r="AU760" s="77"/>
      <c r="AV760" s="80" t="str">
        <f>HYPERLINK("https://pbs.twimg.com/media/DJ2KPSfVAAABeCq.jpg")</f>
        <v>https://pbs.twimg.com/media/DJ2KPSfVAAABeCq.jpg</v>
      </c>
      <c r="AW760" s="81" t="s">
        <v>5106</v>
      </c>
      <c r="AX760" s="81" t="s">
        <v>5106</v>
      </c>
      <c r="AY760" s="77"/>
      <c r="AZ760" s="81" t="s">
        <v>5773</v>
      </c>
      <c r="BA760" s="81" t="s">
        <v>5773</v>
      </c>
      <c r="BB760" s="81" t="s">
        <v>5773</v>
      </c>
      <c r="BC760" s="81" t="s">
        <v>5106</v>
      </c>
      <c r="BD760" s="77">
        <v>297885438</v>
      </c>
      <c r="BE760" s="77"/>
      <c r="BF760" s="77"/>
      <c r="BG760" s="77"/>
      <c r="BH760" s="77"/>
      <c r="BI760" s="77"/>
    </row>
    <row r="761" spans="1:61" ht="15">
      <c r="A761" s="62" t="s">
        <v>299</v>
      </c>
      <c r="B761" s="62" t="s">
        <v>299</v>
      </c>
      <c r="C761" s="63"/>
      <c r="D761" s="64"/>
      <c r="E761" s="65"/>
      <c r="F761" s="66"/>
      <c r="G761" s="63"/>
      <c r="H761" s="67"/>
      <c r="I761" s="68"/>
      <c r="J761" s="68"/>
      <c r="K761" s="32" t="s">
        <v>65</v>
      </c>
      <c r="L761" s="75">
        <v>761</v>
      </c>
      <c r="M761" s="75"/>
      <c r="N761" s="70"/>
      <c r="O761" s="77" t="s">
        <v>179</v>
      </c>
      <c r="P761" s="79">
        <v>42989.23405092592</v>
      </c>
      <c r="Q761" s="77" t="s">
        <v>1161</v>
      </c>
      <c r="R761" s="77">
        <v>0</v>
      </c>
      <c r="S761" s="77">
        <v>1</v>
      </c>
      <c r="T761" s="77">
        <v>0</v>
      </c>
      <c r="U761" s="77">
        <v>0</v>
      </c>
      <c r="V761" s="77"/>
      <c r="W761" s="77"/>
      <c r="X761" s="80" t="str">
        <f>HYPERLINK("https://goo.gl/vUm54h")</f>
        <v>https://goo.gl/vUm54h</v>
      </c>
      <c r="Y761" s="77" t="s">
        <v>1975</v>
      </c>
      <c r="Z761" s="77"/>
      <c r="AA761" s="77"/>
      <c r="AB761" s="77"/>
      <c r="AC761" s="81" t="s">
        <v>2705</v>
      </c>
      <c r="AD761" s="77" t="s">
        <v>2751</v>
      </c>
      <c r="AE761" s="80" t="str">
        <f>HYPERLINK("https://twitter.com/inovies/status/907115747385655297")</f>
        <v>https://twitter.com/inovies/status/907115747385655297</v>
      </c>
      <c r="AF761" s="79">
        <v>42989.23405092592</v>
      </c>
      <c r="AG761" s="85">
        <v>42989</v>
      </c>
      <c r="AH761" s="81" t="s">
        <v>3361</v>
      </c>
      <c r="AI761" s="77" t="b">
        <v>0</v>
      </c>
      <c r="AJ761" s="77" t="s">
        <v>3887</v>
      </c>
      <c r="AK761" s="77" t="s">
        <v>3889</v>
      </c>
      <c r="AL761" s="77" t="s">
        <v>3892</v>
      </c>
      <c r="AM761" s="77" t="s">
        <v>3889</v>
      </c>
      <c r="AN761" s="77" t="s">
        <v>3908</v>
      </c>
      <c r="AO761" s="77" t="s">
        <v>3889</v>
      </c>
      <c r="AP761" s="77" t="s">
        <v>3919</v>
      </c>
      <c r="AQ761" s="77"/>
      <c r="AR761" s="77"/>
      <c r="AS761" s="77"/>
      <c r="AT761" s="77"/>
      <c r="AU761" s="77"/>
      <c r="AV761" s="80" t="str">
        <f>HYPERLINK("https://pbs.twimg.com/profile_images/833576943677214720/5ZyUgpEJ_normal.jpg")</f>
        <v>https://pbs.twimg.com/profile_images/833576943677214720/5ZyUgpEJ_normal.jpg</v>
      </c>
      <c r="AW761" s="81" t="s">
        <v>5107</v>
      </c>
      <c r="AX761" s="81" t="s">
        <v>5107</v>
      </c>
      <c r="AY761" s="77"/>
      <c r="AZ761" s="81" t="s">
        <v>5773</v>
      </c>
      <c r="BA761" s="81" t="s">
        <v>5773</v>
      </c>
      <c r="BB761" s="81" t="s">
        <v>5773</v>
      </c>
      <c r="BC761" s="81" t="s">
        <v>5107</v>
      </c>
      <c r="BD761" s="77">
        <v>297885438</v>
      </c>
      <c r="BE761" s="77"/>
      <c r="BF761" s="77"/>
      <c r="BG761" s="77"/>
      <c r="BH761" s="77"/>
      <c r="BI761" s="77"/>
    </row>
    <row r="762" spans="1:61" ht="15">
      <c r="A762" s="62" t="s">
        <v>299</v>
      </c>
      <c r="B762" s="62" t="s">
        <v>299</v>
      </c>
      <c r="C762" s="63"/>
      <c r="D762" s="64"/>
      <c r="E762" s="65"/>
      <c r="F762" s="66"/>
      <c r="G762" s="63"/>
      <c r="H762" s="67"/>
      <c r="I762" s="68"/>
      <c r="J762" s="68"/>
      <c r="K762" s="32" t="s">
        <v>65</v>
      </c>
      <c r="L762" s="75">
        <v>762</v>
      </c>
      <c r="M762" s="75"/>
      <c r="N762" s="70"/>
      <c r="O762" s="77" t="s">
        <v>179</v>
      </c>
      <c r="P762" s="79">
        <v>42968.410150462965</v>
      </c>
      <c r="Q762" s="77" t="s">
        <v>1162</v>
      </c>
      <c r="R762" s="77">
        <v>0</v>
      </c>
      <c r="S762" s="77">
        <v>0</v>
      </c>
      <c r="T762" s="77">
        <v>0</v>
      </c>
      <c r="U762" s="77">
        <v>0</v>
      </c>
      <c r="V762" s="77"/>
      <c r="W762" s="81" t="s">
        <v>1875</v>
      </c>
      <c r="X762" s="77"/>
      <c r="Y762" s="77"/>
      <c r="Z762" s="77"/>
      <c r="AA762" s="77" t="s">
        <v>2325</v>
      </c>
      <c r="AB762" s="77" t="s">
        <v>2696</v>
      </c>
      <c r="AC762" s="81" t="s">
        <v>2705</v>
      </c>
      <c r="AD762" s="77" t="s">
        <v>2751</v>
      </c>
      <c r="AE762" s="80" t="str">
        <f>HYPERLINK("https://twitter.com/inovies/status/899569420539789313")</f>
        <v>https://twitter.com/inovies/status/899569420539789313</v>
      </c>
      <c r="AF762" s="79">
        <v>42968.410150462965</v>
      </c>
      <c r="AG762" s="85">
        <v>42968</v>
      </c>
      <c r="AH762" s="81" t="s">
        <v>3362</v>
      </c>
      <c r="AI762" s="77" t="b">
        <v>0</v>
      </c>
      <c r="AJ762" s="77" t="s">
        <v>3887</v>
      </c>
      <c r="AK762" s="77" t="s">
        <v>3889</v>
      </c>
      <c r="AL762" s="77" t="s">
        <v>3892</v>
      </c>
      <c r="AM762" s="77" t="s">
        <v>3889</v>
      </c>
      <c r="AN762" s="77" t="s">
        <v>3908</v>
      </c>
      <c r="AO762" s="77" t="s">
        <v>3889</v>
      </c>
      <c r="AP762" s="77" t="s">
        <v>3919</v>
      </c>
      <c r="AQ762" s="77" t="s">
        <v>4139</v>
      </c>
      <c r="AR762" s="77"/>
      <c r="AS762" s="77"/>
      <c r="AT762" s="77"/>
      <c r="AU762" s="77"/>
      <c r="AV762" s="80" t="str">
        <f>HYPERLINK("https://pbs.twimg.com/media/DHvo0JSVwAAdMhN.jpg")</f>
        <v>https://pbs.twimg.com/media/DHvo0JSVwAAdMhN.jpg</v>
      </c>
      <c r="AW762" s="81" t="s">
        <v>5108</v>
      </c>
      <c r="AX762" s="81" t="s">
        <v>5108</v>
      </c>
      <c r="AY762" s="77"/>
      <c r="AZ762" s="81" t="s">
        <v>5773</v>
      </c>
      <c r="BA762" s="81" t="s">
        <v>5773</v>
      </c>
      <c r="BB762" s="81" t="s">
        <v>5773</v>
      </c>
      <c r="BC762" s="81" t="s">
        <v>5108</v>
      </c>
      <c r="BD762" s="77">
        <v>297885438</v>
      </c>
      <c r="BE762" s="77"/>
      <c r="BF762" s="77"/>
      <c r="BG762" s="77"/>
      <c r="BH762" s="77"/>
      <c r="BI762" s="77"/>
    </row>
    <row r="763" spans="1:61" ht="15">
      <c r="A763" s="62" t="s">
        <v>299</v>
      </c>
      <c r="B763" s="62" t="s">
        <v>299</v>
      </c>
      <c r="C763" s="63"/>
      <c r="D763" s="64"/>
      <c r="E763" s="65"/>
      <c r="F763" s="66"/>
      <c r="G763" s="63"/>
      <c r="H763" s="67"/>
      <c r="I763" s="68"/>
      <c r="J763" s="68"/>
      <c r="K763" s="32" t="s">
        <v>65</v>
      </c>
      <c r="L763" s="75">
        <v>763</v>
      </c>
      <c r="M763" s="75"/>
      <c r="N763" s="70"/>
      <c r="O763" s="77" t="s">
        <v>179</v>
      </c>
      <c r="P763" s="79">
        <v>42968.31899305555</v>
      </c>
      <c r="Q763" s="77" t="s">
        <v>1163</v>
      </c>
      <c r="R763" s="77">
        <v>0</v>
      </c>
      <c r="S763" s="77">
        <v>0</v>
      </c>
      <c r="T763" s="77">
        <v>0</v>
      </c>
      <c r="U763" s="77">
        <v>0</v>
      </c>
      <c r="V763" s="77"/>
      <c r="W763" s="81" t="s">
        <v>1876</v>
      </c>
      <c r="X763" s="77"/>
      <c r="Y763" s="77"/>
      <c r="Z763" s="77"/>
      <c r="AA763" s="77" t="s">
        <v>2326</v>
      </c>
      <c r="AB763" s="77" t="s">
        <v>2698</v>
      </c>
      <c r="AC763" s="81" t="s">
        <v>2705</v>
      </c>
      <c r="AD763" s="77" t="s">
        <v>2752</v>
      </c>
      <c r="AE763" s="80" t="str">
        <f>HYPERLINK("https://twitter.com/inovies/status/899536383479394307")</f>
        <v>https://twitter.com/inovies/status/899536383479394307</v>
      </c>
      <c r="AF763" s="79">
        <v>42968.31899305555</v>
      </c>
      <c r="AG763" s="85">
        <v>42968</v>
      </c>
      <c r="AH763" s="81" t="s">
        <v>3363</v>
      </c>
      <c r="AI763" s="77" t="b">
        <v>0</v>
      </c>
      <c r="AJ763" s="77"/>
      <c r="AK763" s="77"/>
      <c r="AL763" s="77"/>
      <c r="AM763" s="77"/>
      <c r="AN763" s="77"/>
      <c r="AO763" s="77"/>
      <c r="AP763" s="77"/>
      <c r="AQ763" s="77" t="s">
        <v>4140</v>
      </c>
      <c r="AR763" s="77"/>
      <c r="AS763" s="77"/>
      <c r="AT763" s="77"/>
      <c r="AU763" s="77"/>
      <c r="AV763" s="80" t="str">
        <f>HYPERLINK("https://pbs.twimg.com/tweet_video_thumb/DHvLa4SV0AIjPuF.jpg")</f>
        <v>https://pbs.twimg.com/tweet_video_thumb/DHvLa4SV0AIjPuF.jpg</v>
      </c>
      <c r="AW763" s="81" t="s">
        <v>5109</v>
      </c>
      <c r="AX763" s="81" t="s">
        <v>5109</v>
      </c>
      <c r="AY763" s="77"/>
      <c r="AZ763" s="81" t="s">
        <v>5773</v>
      </c>
      <c r="BA763" s="81" t="s">
        <v>5773</v>
      </c>
      <c r="BB763" s="81" t="s">
        <v>5773</v>
      </c>
      <c r="BC763" s="81" t="s">
        <v>5109</v>
      </c>
      <c r="BD763" s="77">
        <v>297885438</v>
      </c>
      <c r="BE763" s="77"/>
      <c r="BF763" s="77"/>
      <c r="BG763" s="77"/>
      <c r="BH763" s="77"/>
      <c r="BI763" s="77"/>
    </row>
    <row r="764" spans="1:61" ht="15">
      <c r="A764" s="62" t="s">
        <v>299</v>
      </c>
      <c r="B764" s="62" t="s">
        <v>299</v>
      </c>
      <c r="C764" s="63"/>
      <c r="D764" s="64"/>
      <c r="E764" s="65"/>
      <c r="F764" s="66"/>
      <c r="G764" s="63"/>
      <c r="H764" s="67"/>
      <c r="I764" s="68"/>
      <c r="J764" s="68"/>
      <c r="K764" s="32" t="s">
        <v>65</v>
      </c>
      <c r="L764" s="75">
        <v>764</v>
      </c>
      <c r="M764" s="75"/>
      <c r="N764" s="70"/>
      <c r="O764" s="77" t="s">
        <v>179</v>
      </c>
      <c r="P764" s="79">
        <v>42964.60105324074</v>
      </c>
      <c r="Q764" s="77" t="s">
        <v>1164</v>
      </c>
      <c r="R764" s="77">
        <v>0</v>
      </c>
      <c r="S764" s="77">
        <v>0</v>
      </c>
      <c r="T764" s="77">
        <v>0</v>
      </c>
      <c r="U764" s="77">
        <v>0</v>
      </c>
      <c r="V764" s="77"/>
      <c r="W764" s="77"/>
      <c r="X764" s="80" t="str">
        <f>HYPERLINK("https://goo.gl/GJbnyL")</f>
        <v>https://goo.gl/GJbnyL</v>
      </c>
      <c r="Y764" s="77" t="s">
        <v>1975</v>
      </c>
      <c r="Z764" s="77"/>
      <c r="AA764" s="77" t="s">
        <v>2327</v>
      </c>
      <c r="AB764" s="77" t="s">
        <v>2696</v>
      </c>
      <c r="AC764" s="81" t="s">
        <v>2705</v>
      </c>
      <c r="AD764" s="77" t="s">
        <v>2751</v>
      </c>
      <c r="AE764" s="80" t="str">
        <f>HYPERLINK("https://twitter.com/inovies/status/898189050531545089")</f>
        <v>https://twitter.com/inovies/status/898189050531545089</v>
      </c>
      <c r="AF764" s="79">
        <v>42964.60105324074</v>
      </c>
      <c r="AG764" s="85">
        <v>42964</v>
      </c>
      <c r="AH764" s="81" t="s">
        <v>3364</v>
      </c>
      <c r="AI764" s="77" t="b">
        <v>0</v>
      </c>
      <c r="AJ764" s="77"/>
      <c r="AK764" s="77"/>
      <c r="AL764" s="77"/>
      <c r="AM764" s="77"/>
      <c r="AN764" s="77"/>
      <c r="AO764" s="77"/>
      <c r="AP764" s="77"/>
      <c r="AQ764" s="77" t="s">
        <v>4141</v>
      </c>
      <c r="AR764" s="77"/>
      <c r="AS764" s="77"/>
      <c r="AT764" s="77"/>
      <c r="AU764" s="77"/>
      <c r="AV764" s="80" t="str">
        <f>HYPERLINK("https://pbs.twimg.com/media/DHcB4zvUIAIA6i-.jpg")</f>
        <v>https://pbs.twimg.com/media/DHcB4zvUIAIA6i-.jpg</v>
      </c>
      <c r="AW764" s="81" t="s">
        <v>5110</v>
      </c>
      <c r="AX764" s="81" t="s">
        <v>5110</v>
      </c>
      <c r="AY764" s="77"/>
      <c r="AZ764" s="81" t="s">
        <v>5773</v>
      </c>
      <c r="BA764" s="81" t="s">
        <v>5773</v>
      </c>
      <c r="BB764" s="81" t="s">
        <v>5773</v>
      </c>
      <c r="BC764" s="81" t="s">
        <v>5110</v>
      </c>
      <c r="BD764" s="77">
        <v>297885438</v>
      </c>
      <c r="BE764" s="77"/>
      <c r="BF764" s="77"/>
      <c r="BG764" s="77"/>
      <c r="BH764" s="77"/>
      <c r="BI764" s="77"/>
    </row>
    <row r="765" spans="1:61" ht="15">
      <c r="A765" s="62" t="s">
        <v>299</v>
      </c>
      <c r="B765" s="62" t="s">
        <v>299</v>
      </c>
      <c r="C765" s="63"/>
      <c r="D765" s="64"/>
      <c r="E765" s="65"/>
      <c r="F765" s="66"/>
      <c r="G765" s="63"/>
      <c r="H765" s="67"/>
      <c r="I765" s="68"/>
      <c r="J765" s="68"/>
      <c r="K765" s="32" t="s">
        <v>65</v>
      </c>
      <c r="L765" s="75">
        <v>765</v>
      </c>
      <c r="M765" s="75"/>
      <c r="N765" s="70"/>
      <c r="O765" s="77" t="s">
        <v>179</v>
      </c>
      <c r="P765" s="79">
        <v>42961.717986111114</v>
      </c>
      <c r="Q765" s="80" t="str">
        <f>HYPERLINK("https://t.co/GrIoeorE4d")</f>
        <v>https://t.co/GrIoeorE4d</v>
      </c>
      <c r="R765" s="77">
        <v>0</v>
      </c>
      <c r="S765" s="77">
        <v>1</v>
      </c>
      <c r="T765" s="77">
        <v>0</v>
      </c>
      <c r="U765" s="77">
        <v>0</v>
      </c>
      <c r="V765" s="77"/>
      <c r="W765" s="77"/>
      <c r="X765" s="77"/>
      <c r="Y765" s="77"/>
      <c r="Z765" s="77"/>
      <c r="AA765" s="77" t="s">
        <v>2328</v>
      </c>
      <c r="AB765" s="77" t="s">
        <v>2696</v>
      </c>
      <c r="AC765" s="81" t="s">
        <v>2704</v>
      </c>
      <c r="AD765" s="77" t="s">
        <v>2756</v>
      </c>
      <c r="AE765" s="80" t="str">
        <f>HYPERLINK("https://twitter.com/inovies/status/897144259286937600")</f>
        <v>https://twitter.com/inovies/status/897144259286937600</v>
      </c>
      <c r="AF765" s="79">
        <v>42961.717986111114</v>
      </c>
      <c r="AG765" s="85">
        <v>42961</v>
      </c>
      <c r="AH765" s="81" t="s">
        <v>3365</v>
      </c>
      <c r="AI765" s="77" t="b">
        <v>0</v>
      </c>
      <c r="AJ765" s="77" t="s">
        <v>3882</v>
      </c>
      <c r="AK765" s="77" t="s">
        <v>3889</v>
      </c>
      <c r="AL765" s="77" t="s">
        <v>3892</v>
      </c>
      <c r="AM765" s="77" t="s">
        <v>3896</v>
      </c>
      <c r="AN765" s="77" t="s">
        <v>3903</v>
      </c>
      <c r="AO765" s="77" t="s">
        <v>3911</v>
      </c>
      <c r="AP765" s="77" t="s">
        <v>3917</v>
      </c>
      <c r="AQ765" s="77" t="s">
        <v>4142</v>
      </c>
      <c r="AR765" s="77"/>
      <c r="AS765" s="77"/>
      <c r="AT765" s="77"/>
      <c r="AU765" s="77"/>
      <c r="AV765" s="80" t="str">
        <f>HYPERLINK("https://pbs.twimg.com/media/DHNL8PrVoAAvz81.jpg")</f>
        <v>https://pbs.twimg.com/media/DHNL8PrVoAAvz81.jpg</v>
      </c>
      <c r="AW765" s="81" t="s">
        <v>5111</v>
      </c>
      <c r="AX765" s="81" t="s">
        <v>5111</v>
      </c>
      <c r="AY765" s="77"/>
      <c r="AZ765" s="81" t="s">
        <v>5773</v>
      </c>
      <c r="BA765" s="81" t="s">
        <v>5773</v>
      </c>
      <c r="BB765" s="81" t="s">
        <v>5773</v>
      </c>
      <c r="BC765" s="81" t="s">
        <v>5111</v>
      </c>
      <c r="BD765" s="77">
        <v>297885438</v>
      </c>
      <c r="BE765" s="77"/>
      <c r="BF765" s="77"/>
      <c r="BG765" s="77"/>
      <c r="BH765" s="77"/>
      <c r="BI765" s="77"/>
    </row>
    <row r="766" spans="1:61" ht="15">
      <c r="A766" s="62" t="s">
        <v>299</v>
      </c>
      <c r="B766" s="62" t="s">
        <v>299</v>
      </c>
      <c r="C766" s="63"/>
      <c r="D766" s="64"/>
      <c r="E766" s="65"/>
      <c r="F766" s="66"/>
      <c r="G766" s="63"/>
      <c r="H766" s="67"/>
      <c r="I766" s="68"/>
      <c r="J766" s="68"/>
      <c r="K766" s="32" t="s">
        <v>65</v>
      </c>
      <c r="L766" s="75">
        <v>766</v>
      </c>
      <c r="M766" s="75"/>
      <c r="N766" s="70"/>
      <c r="O766" s="77" t="s">
        <v>179</v>
      </c>
      <c r="P766" s="79">
        <v>42961.455925925926</v>
      </c>
      <c r="Q766" s="77" t="s">
        <v>1165</v>
      </c>
      <c r="R766" s="77">
        <v>0</v>
      </c>
      <c r="S766" s="77">
        <v>0</v>
      </c>
      <c r="T766" s="77">
        <v>0</v>
      </c>
      <c r="U766" s="77">
        <v>0</v>
      </c>
      <c r="V766" s="77"/>
      <c r="W766" s="77"/>
      <c r="X766" s="80" t="str">
        <f>HYPERLINK("https://www.inovies.com/insights/blog/your-service-should-speak-about-your-brand#.WZGB2EH_TdA.twitter")</f>
        <v>https://www.inovies.com/insights/blog/your-service-should-speak-about-your-brand#.WZGB2EH_TdA.twitter</v>
      </c>
      <c r="Y766" s="77" t="s">
        <v>1982</v>
      </c>
      <c r="Z766" s="77"/>
      <c r="AA766" s="77"/>
      <c r="AB766" s="77"/>
      <c r="AC766" s="81" t="s">
        <v>2705</v>
      </c>
      <c r="AD766" s="77" t="s">
        <v>2751</v>
      </c>
      <c r="AE766" s="80" t="str">
        <f>HYPERLINK("https://twitter.com/inovies/status/897049291260280833")</f>
        <v>https://twitter.com/inovies/status/897049291260280833</v>
      </c>
      <c r="AF766" s="79">
        <v>42961.455925925926</v>
      </c>
      <c r="AG766" s="85">
        <v>42961</v>
      </c>
      <c r="AH766" s="81" t="s">
        <v>3366</v>
      </c>
      <c r="AI766" s="77" t="b">
        <v>0</v>
      </c>
      <c r="AJ766" s="77"/>
      <c r="AK766" s="77"/>
      <c r="AL766" s="77"/>
      <c r="AM766" s="77"/>
      <c r="AN766" s="77"/>
      <c r="AO766" s="77"/>
      <c r="AP766" s="77"/>
      <c r="AQ766" s="77"/>
      <c r="AR766" s="77"/>
      <c r="AS766" s="77"/>
      <c r="AT766" s="77"/>
      <c r="AU766" s="77"/>
      <c r="AV766" s="80" t="str">
        <f>HYPERLINK("https://pbs.twimg.com/profile_images/833576943677214720/5ZyUgpEJ_normal.jpg")</f>
        <v>https://pbs.twimg.com/profile_images/833576943677214720/5ZyUgpEJ_normal.jpg</v>
      </c>
      <c r="AW766" s="81" t="s">
        <v>5112</v>
      </c>
      <c r="AX766" s="81" t="s">
        <v>5112</v>
      </c>
      <c r="AY766" s="77"/>
      <c r="AZ766" s="81" t="s">
        <v>5773</v>
      </c>
      <c r="BA766" s="81" t="s">
        <v>5773</v>
      </c>
      <c r="BB766" s="81" t="s">
        <v>5773</v>
      </c>
      <c r="BC766" s="81" t="s">
        <v>5112</v>
      </c>
      <c r="BD766" s="77">
        <v>297885438</v>
      </c>
      <c r="BE766" s="77"/>
      <c r="BF766" s="77"/>
      <c r="BG766" s="77"/>
      <c r="BH766" s="77"/>
      <c r="BI766" s="77"/>
    </row>
    <row r="767" spans="1:61" ht="15">
      <c r="A767" s="62" t="s">
        <v>299</v>
      </c>
      <c r="B767" s="62" t="s">
        <v>299</v>
      </c>
      <c r="C767" s="63"/>
      <c r="D767" s="64"/>
      <c r="E767" s="65"/>
      <c r="F767" s="66"/>
      <c r="G767" s="63"/>
      <c r="H767" s="67"/>
      <c r="I767" s="68"/>
      <c r="J767" s="68"/>
      <c r="K767" s="32" t="s">
        <v>65</v>
      </c>
      <c r="L767" s="75">
        <v>767</v>
      </c>
      <c r="M767" s="75"/>
      <c r="N767" s="70"/>
      <c r="O767" s="77" t="s">
        <v>179</v>
      </c>
      <c r="P767" s="79">
        <v>42952.5378587963</v>
      </c>
      <c r="Q767" s="80" t="str">
        <f>HYPERLINK("https://t.co/wzz1Ohx8cd")</f>
        <v>https://t.co/wzz1Ohx8cd</v>
      </c>
      <c r="R767" s="77">
        <v>1</v>
      </c>
      <c r="S767" s="77">
        <v>2</v>
      </c>
      <c r="T767" s="77">
        <v>0</v>
      </c>
      <c r="U767" s="77">
        <v>0</v>
      </c>
      <c r="V767" s="77"/>
      <c r="W767" s="77"/>
      <c r="X767" s="77"/>
      <c r="Y767" s="77"/>
      <c r="Z767" s="77"/>
      <c r="AA767" s="77" t="s">
        <v>2329</v>
      </c>
      <c r="AB767" s="77" t="s">
        <v>2695</v>
      </c>
      <c r="AC767" s="81" t="s">
        <v>2705</v>
      </c>
      <c r="AD767" s="77" t="s">
        <v>2756</v>
      </c>
      <c r="AE767" s="80" t="str">
        <f>HYPERLINK("https://twitter.com/inovies/status/893817494619668480")</f>
        <v>https://twitter.com/inovies/status/893817494619668480</v>
      </c>
      <c r="AF767" s="79">
        <v>42952.5378587963</v>
      </c>
      <c r="AG767" s="85">
        <v>42952</v>
      </c>
      <c r="AH767" s="81" t="s">
        <v>3367</v>
      </c>
      <c r="AI767" s="77" t="b">
        <v>0</v>
      </c>
      <c r="AJ767" s="77"/>
      <c r="AK767" s="77"/>
      <c r="AL767" s="77"/>
      <c r="AM767" s="77"/>
      <c r="AN767" s="77"/>
      <c r="AO767" s="77"/>
      <c r="AP767" s="77"/>
      <c r="AQ767" s="77" t="s">
        <v>4143</v>
      </c>
      <c r="AR767" s="77">
        <v>65445</v>
      </c>
      <c r="AS767" s="77"/>
      <c r="AT767" s="77"/>
      <c r="AU767" s="77"/>
      <c r="AV767" s="80" t="str">
        <f>HYPERLINK("https://pbs.twimg.com/ext_tw_video_thumb/893817086648111104/pu/img/1XkW0M-I8vrnbkki.jpg")</f>
        <v>https://pbs.twimg.com/ext_tw_video_thumb/893817086648111104/pu/img/1XkW0M-I8vrnbkki.jpg</v>
      </c>
      <c r="AW767" s="81" t="s">
        <v>5113</v>
      </c>
      <c r="AX767" s="81" t="s">
        <v>5113</v>
      </c>
      <c r="AY767" s="77"/>
      <c r="AZ767" s="81" t="s">
        <v>5773</v>
      </c>
      <c r="BA767" s="81" t="s">
        <v>5773</v>
      </c>
      <c r="BB767" s="81" t="s">
        <v>5773</v>
      </c>
      <c r="BC767" s="81" t="s">
        <v>5113</v>
      </c>
      <c r="BD767" s="77">
        <v>297885438</v>
      </c>
      <c r="BE767" s="77"/>
      <c r="BF767" s="77"/>
      <c r="BG767" s="77"/>
      <c r="BH767" s="77"/>
      <c r="BI767" s="77"/>
    </row>
    <row r="768" spans="1:61" ht="15">
      <c r="A768" s="62" t="s">
        <v>299</v>
      </c>
      <c r="B768" s="62" t="s">
        <v>299</v>
      </c>
      <c r="C768" s="63"/>
      <c r="D768" s="64"/>
      <c r="E768" s="65"/>
      <c r="F768" s="66"/>
      <c r="G768" s="63"/>
      <c r="H768" s="67"/>
      <c r="I768" s="68"/>
      <c r="J768" s="68"/>
      <c r="K768" s="32" t="s">
        <v>65</v>
      </c>
      <c r="L768" s="75">
        <v>768</v>
      </c>
      <c r="M768" s="75"/>
      <c r="N768" s="70"/>
      <c r="O768" s="77" t="s">
        <v>179</v>
      </c>
      <c r="P768" s="79">
        <v>42949.69972222222</v>
      </c>
      <c r="Q768" s="80" t="str">
        <f>HYPERLINK("https://t.co/wORuapal5O")</f>
        <v>https://t.co/wORuapal5O</v>
      </c>
      <c r="R768" s="77">
        <v>2</v>
      </c>
      <c r="S768" s="77">
        <v>2</v>
      </c>
      <c r="T768" s="77">
        <v>0</v>
      </c>
      <c r="U768" s="77">
        <v>0</v>
      </c>
      <c r="V768" s="77"/>
      <c r="W768" s="77"/>
      <c r="X768" s="77"/>
      <c r="Y768" s="77"/>
      <c r="Z768" s="77"/>
      <c r="AA768" s="77" t="s">
        <v>2330</v>
      </c>
      <c r="AB768" s="77" t="s">
        <v>2696</v>
      </c>
      <c r="AC768" s="81" t="s">
        <v>2704</v>
      </c>
      <c r="AD768" s="77" t="s">
        <v>2756</v>
      </c>
      <c r="AE768" s="80" t="str">
        <f>HYPERLINK("https://twitter.com/inovies/status/892788985663078400")</f>
        <v>https://twitter.com/inovies/status/892788985663078400</v>
      </c>
      <c r="AF768" s="79">
        <v>42949.69972222222</v>
      </c>
      <c r="AG768" s="85">
        <v>42949</v>
      </c>
      <c r="AH768" s="81" t="s">
        <v>3368</v>
      </c>
      <c r="AI768" s="77" t="b">
        <v>0</v>
      </c>
      <c r="AJ768" s="77" t="s">
        <v>3887</v>
      </c>
      <c r="AK768" s="77" t="s">
        <v>3889</v>
      </c>
      <c r="AL768" s="77" t="s">
        <v>3892</v>
      </c>
      <c r="AM768" s="77" t="s">
        <v>3889</v>
      </c>
      <c r="AN768" s="77" t="s">
        <v>3908</v>
      </c>
      <c r="AO768" s="77" t="s">
        <v>3889</v>
      </c>
      <c r="AP768" s="77" t="s">
        <v>3919</v>
      </c>
      <c r="AQ768" s="77" t="s">
        <v>4144</v>
      </c>
      <c r="AR768" s="77"/>
      <c r="AS768" s="77"/>
      <c r="AT768" s="77"/>
      <c r="AU768" s="77"/>
      <c r="AV768" s="80" t="str">
        <f>HYPERLINK("https://pbs.twimg.com/media/DGPS1kiVwAAK5R0.jpg")</f>
        <v>https://pbs.twimg.com/media/DGPS1kiVwAAK5R0.jpg</v>
      </c>
      <c r="AW768" s="81" t="s">
        <v>5114</v>
      </c>
      <c r="AX768" s="81" t="s">
        <v>5114</v>
      </c>
      <c r="AY768" s="77"/>
      <c r="AZ768" s="81" t="s">
        <v>5773</v>
      </c>
      <c r="BA768" s="81" t="s">
        <v>5773</v>
      </c>
      <c r="BB768" s="81" t="s">
        <v>5773</v>
      </c>
      <c r="BC768" s="81" t="s">
        <v>5114</v>
      </c>
      <c r="BD768" s="77">
        <v>297885438</v>
      </c>
      <c r="BE768" s="77"/>
      <c r="BF768" s="77"/>
      <c r="BG768" s="77"/>
      <c r="BH768" s="77"/>
      <c r="BI768" s="77"/>
    </row>
    <row r="769" spans="1:61" ht="15">
      <c r="A769" s="62" t="s">
        <v>299</v>
      </c>
      <c r="B769" s="62" t="s">
        <v>299</v>
      </c>
      <c r="C769" s="63"/>
      <c r="D769" s="64"/>
      <c r="E769" s="65"/>
      <c r="F769" s="66"/>
      <c r="G769" s="63"/>
      <c r="H769" s="67"/>
      <c r="I769" s="68"/>
      <c r="J769" s="68"/>
      <c r="K769" s="32" t="s">
        <v>65</v>
      </c>
      <c r="L769" s="75">
        <v>769</v>
      </c>
      <c r="M769" s="75"/>
      <c r="N769" s="70"/>
      <c r="O769" s="77" t="s">
        <v>179</v>
      </c>
      <c r="P769" s="79">
        <v>42786.32869212963</v>
      </c>
      <c r="Q769" s="77" t="s">
        <v>1166</v>
      </c>
      <c r="R769" s="77">
        <v>0</v>
      </c>
      <c r="S769" s="77">
        <v>1</v>
      </c>
      <c r="T769" s="77">
        <v>0</v>
      </c>
      <c r="U769" s="77">
        <v>0</v>
      </c>
      <c r="V769" s="77"/>
      <c r="W769" s="81" t="s">
        <v>1877</v>
      </c>
      <c r="X769" s="80" t="str">
        <f>HYPERLINK("https://www.inovies.com/insights/news/when-inovies-woke-up-to-namaste-telangana-news#.WKqgWfiQxFA.twitter")</f>
        <v>https://www.inovies.com/insights/news/when-inovies-woke-up-to-namaste-telangana-news#.WKqgWfiQxFA.twitter</v>
      </c>
      <c r="Y769" s="77" t="s">
        <v>1982</v>
      </c>
      <c r="Z769" s="77"/>
      <c r="AA769" s="77"/>
      <c r="AB769" s="77"/>
      <c r="AC769" s="81" t="s">
        <v>2705</v>
      </c>
      <c r="AD769" s="77" t="s">
        <v>2751</v>
      </c>
      <c r="AE769" s="80" t="str">
        <f>HYPERLINK("https://twitter.com/inovies/status/833585307220115457")</f>
        <v>https://twitter.com/inovies/status/833585307220115457</v>
      </c>
      <c r="AF769" s="79">
        <v>42786.32869212963</v>
      </c>
      <c r="AG769" s="85">
        <v>42786</v>
      </c>
      <c r="AH769" s="81" t="s">
        <v>3369</v>
      </c>
      <c r="AI769" s="77" t="b">
        <v>0</v>
      </c>
      <c r="AJ769" s="77"/>
      <c r="AK769" s="77"/>
      <c r="AL769" s="77"/>
      <c r="AM769" s="77"/>
      <c r="AN769" s="77"/>
      <c r="AO769" s="77"/>
      <c r="AP769" s="77"/>
      <c r="AQ769" s="77"/>
      <c r="AR769" s="77"/>
      <c r="AS769" s="77"/>
      <c r="AT769" s="77"/>
      <c r="AU769" s="77"/>
      <c r="AV769" s="80" t="str">
        <f>HYPERLINK("https://pbs.twimg.com/profile_images/833576943677214720/5ZyUgpEJ_normal.jpg")</f>
        <v>https://pbs.twimg.com/profile_images/833576943677214720/5ZyUgpEJ_normal.jpg</v>
      </c>
      <c r="AW769" s="81" t="s">
        <v>5115</v>
      </c>
      <c r="AX769" s="81" t="s">
        <v>5115</v>
      </c>
      <c r="AY769" s="77"/>
      <c r="AZ769" s="81" t="s">
        <v>5773</v>
      </c>
      <c r="BA769" s="81" t="s">
        <v>5773</v>
      </c>
      <c r="BB769" s="81" t="s">
        <v>5773</v>
      </c>
      <c r="BC769" s="81" t="s">
        <v>5115</v>
      </c>
      <c r="BD769" s="77">
        <v>297885438</v>
      </c>
      <c r="BE769" s="77"/>
      <c r="BF769" s="77"/>
      <c r="BG769" s="77"/>
      <c r="BH769" s="77"/>
      <c r="BI769" s="77"/>
    </row>
    <row r="770" spans="1:61" ht="15">
      <c r="A770" s="62" t="s">
        <v>299</v>
      </c>
      <c r="B770" s="62" t="s">
        <v>299</v>
      </c>
      <c r="C770" s="63"/>
      <c r="D770" s="64"/>
      <c r="E770" s="65"/>
      <c r="F770" s="66"/>
      <c r="G770" s="63"/>
      <c r="H770" s="67"/>
      <c r="I770" s="68"/>
      <c r="J770" s="68"/>
      <c r="K770" s="32" t="s">
        <v>65</v>
      </c>
      <c r="L770" s="75">
        <v>770</v>
      </c>
      <c r="M770" s="75"/>
      <c r="N770" s="70"/>
      <c r="O770" s="77" t="s">
        <v>179</v>
      </c>
      <c r="P770" s="79">
        <v>42786.32833333333</v>
      </c>
      <c r="Q770" s="77" t="s">
        <v>1167</v>
      </c>
      <c r="R770" s="77">
        <v>0</v>
      </c>
      <c r="S770" s="77">
        <v>1</v>
      </c>
      <c r="T770" s="77">
        <v>0</v>
      </c>
      <c r="U770" s="77">
        <v>0</v>
      </c>
      <c r="V770" s="77"/>
      <c r="W770" s="81" t="s">
        <v>1743</v>
      </c>
      <c r="X770" s="80" t="str">
        <f>HYPERLINK("https://www.inovies.com/insights/news/sakshi-became-sakshi-witness-to-our-expertise#.WKqgNutk_lI.twitter")</f>
        <v>https://www.inovies.com/insights/news/sakshi-became-sakshi-witness-to-our-expertise#.WKqgNutk_lI.twitter</v>
      </c>
      <c r="Y770" s="77" t="s">
        <v>1982</v>
      </c>
      <c r="Z770" s="77"/>
      <c r="AA770" s="77"/>
      <c r="AB770" s="77"/>
      <c r="AC770" s="81" t="s">
        <v>2705</v>
      </c>
      <c r="AD770" s="77" t="s">
        <v>2751</v>
      </c>
      <c r="AE770" s="80" t="str">
        <f>HYPERLINK("https://twitter.com/inovies/status/833585176911478784")</f>
        <v>https://twitter.com/inovies/status/833585176911478784</v>
      </c>
      <c r="AF770" s="79">
        <v>42786.32833333333</v>
      </c>
      <c r="AG770" s="85">
        <v>42786</v>
      </c>
      <c r="AH770" s="81" t="s">
        <v>3370</v>
      </c>
      <c r="AI770" s="77" t="b">
        <v>0</v>
      </c>
      <c r="AJ770" s="77"/>
      <c r="AK770" s="77"/>
      <c r="AL770" s="77"/>
      <c r="AM770" s="77"/>
      <c r="AN770" s="77"/>
      <c r="AO770" s="77"/>
      <c r="AP770" s="77"/>
      <c r="AQ770" s="77"/>
      <c r="AR770" s="77"/>
      <c r="AS770" s="77"/>
      <c r="AT770" s="77"/>
      <c r="AU770" s="77"/>
      <c r="AV770" s="80" t="str">
        <f>HYPERLINK("https://pbs.twimg.com/profile_images/833576943677214720/5ZyUgpEJ_normal.jpg")</f>
        <v>https://pbs.twimg.com/profile_images/833576943677214720/5ZyUgpEJ_normal.jpg</v>
      </c>
      <c r="AW770" s="81" t="s">
        <v>5116</v>
      </c>
      <c r="AX770" s="81" t="s">
        <v>5116</v>
      </c>
      <c r="AY770" s="77"/>
      <c r="AZ770" s="81" t="s">
        <v>5773</v>
      </c>
      <c r="BA770" s="81" t="s">
        <v>5773</v>
      </c>
      <c r="BB770" s="81" t="s">
        <v>5773</v>
      </c>
      <c r="BC770" s="81" t="s">
        <v>5116</v>
      </c>
      <c r="BD770" s="77">
        <v>297885438</v>
      </c>
      <c r="BE770" s="77"/>
      <c r="BF770" s="77"/>
      <c r="BG770" s="77"/>
      <c r="BH770" s="77"/>
      <c r="BI770" s="77"/>
    </row>
    <row r="771" spans="1:61" ht="15">
      <c r="A771" s="62" t="s">
        <v>299</v>
      </c>
      <c r="B771" s="62" t="s">
        <v>299</v>
      </c>
      <c r="C771" s="63"/>
      <c r="D771" s="64"/>
      <c r="E771" s="65"/>
      <c r="F771" s="66"/>
      <c r="G771" s="63"/>
      <c r="H771" s="67"/>
      <c r="I771" s="68"/>
      <c r="J771" s="68"/>
      <c r="K771" s="32" t="s">
        <v>65</v>
      </c>
      <c r="L771" s="75">
        <v>771</v>
      </c>
      <c r="M771" s="75"/>
      <c r="N771" s="70"/>
      <c r="O771" s="77" t="s">
        <v>179</v>
      </c>
      <c r="P771" s="79">
        <v>42786.327581018515</v>
      </c>
      <c r="Q771" s="77" t="s">
        <v>1168</v>
      </c>
      <c r="R771" s="77">
        <v>0</v>
      </c>
      <c r="S771" s="77">
        <v>1</v>
      </c>
      <c r="T771" s="77">
        <v>0</v>
      </c>
      <c r="U771" s="77">
        <v>0</v>
      </c>
      <c r="V771" s="77"/>
      <c r="W771" s="81" t="s">
        <v>1761</v>
      </c>
      <c r="X771" s="80" t="str">
        <f>HYPERLINK("https://www.inovies.com/insights/blog/energy-boosters-of-your-website-are-exposed#.WKqf-pbEfcE.twitter")</f>
        <v>https://www.inovies.com/insights/blog/energy-boosters-of-your-website-are-exposed#.WKqf-pbEfcE.twitter</v>
      </c>
      <c r="Y771" s="77" t="s">
        <v>1982</v>
      </c>
      <c r="Z771" s="77"/>
      <c r="AA771" s="77"/>
      <c r="AB771" s="77"/>
      <c r="AC771" s="81" t="s">
        <v>2705</v>
      </c>
      <c r="AD771" s="77" t="s">
        <v>2751</v>
      </c>
      <c r="AE771" s="80" t="str">
        <f>HYPERLINK("https://twitter.com/inovies/status/833584905338626049")</f>
        <v>https://twitter.com/inovies/status/833584905338626049</v>
      </c>
      <c r="AF771" s="79">
        <v>42786.327581018515</v>
      </c>
      <c r="AG771" s="85">
        <v>42786</v>
      </c>
      <c r="AH771" s="81" t="s">
        <v>3371</v>
      </c>
      <c r="AI771" s="77" t="b">
        <v>0</v>
      </c>
      <c r="AJ771" s="77"/>
      <c r="AK771" s="77"/>
      <c r="AL771" s="77"/>
      <c r="AM771" s="77"/>
      <c r="AN771" s="77"/>
      <c r="AO771" s="77"/>
      <c r="AP771" s="77"/>
      <c r="AQ771" s="77"/>
      <c r="AR771" s="77"/>
      <c r="AS771" s="77"/>
      <c r="AT771" s="77"/>
      <c r="AU771" s="77"/>
      <c r="AV771" s="80" t="str">
        <f>HYPERLINK("https://pbs.twimg.com/profile_images/833576943677214720/5ZyUgpEJ_normal.jpg")</f>
        <v>https://pbs.twimg.com/profile_images/833576943677214720/5ZyUgpEJ_normal.jpg</v>
      </c>
      <c r="AW771" s="81" t="s">
        <v>5117</v>
      </c>
      <c r="AX771" s="81" t="s">
        <v>5117</v>
      </c>
      <c r="AY771" s="77"/>
      <c r="AZ771" s="81" t="s">
        <v>5773</v>
      </c>
      <c r="BA771" s="81" t="s">
        <v>5773</v>
      </c>
      <c r="BB771" s="81" t="s">
        <v>5773</v>
      </c>
      <c r="BC771" s="81" t="s">
        <v>5117</v>
      </c>
      <c r="BD771" s="77">
        <v>297885438</v>
      </c>
      <c r="BE771" s="77"/>
      <c r="BF771" s="77"/>
      <c r="BG771" s="77"/>
      <c r="BH771" s="77"/>
      <c r="BI771" s="77"/>
    </row>
    <row r="772" spans="1:61" ht="15">
      <c r="A772" s="62" t="s">
        <v>299</v>
      </c>
      <c r="B772" s="62" t="s">
        <v>299</v>
      </c>
      <c r="C772" s="63"/>
      <c r="D772" s="64"/>
      <c r="E772" s="65"/>
      <c r="F772" s="66"/>
      <c r="G772" s="63"/>
      <c r="H772" s="67"/>
      <c r="I772" s="68"/>
      <c r="J772" s="68"/>
      <c r="K772" s="32" t="s">
        <v>65</v>
      </c>
      <c r="L772" s="75">
        <v>772</v>
      </c>
      <c r="M772" s="75"/>
      <c r="N772" s="70"/>
      <c r="O772" s="77" t="s">
        <v>179</v>
      </c>
      <c r="P772" s="79">
        <v>42786.32716435185</v>
      </c>
      <c r="Q772" s="77" t="s">
        <v>1169</v>
      </c>
      <c r="R772" s="77">
        <v>1</v>
      </c>
      <c r="S772" s="77">
        <v>2</v>
      </c>
      <c r="T772" s="77">
        <v>0</v>
      </c>
      <c r="U772" s="77">
        <v>0</v>
      </c>
      <c r="V772" s="77"/>
      <c r="W772" s="81" t="s">
        <v>1878</v>
      </c>
      <c r="X772" s="80" t="str">
        <f>HYPERLINK("https://www.inovies.com/insights/blog/know-why-google-goes-gaga-over-responsive-web-design#.WKqfy_9_AHM.twitter")</f>
        <v>https://www.inovies.com/insights/blog/know-why-google-goes-gaga-over-responsive-web-design#.WKqfy_9_AHM.twitter</v>
      </c>
      <c r="Y772" s="77" t="s">
        <v>1982</v>
      </c>
      <c r="Z772" s="77"/>
      <c r="AA772" s="77"/>
      <c r="AB772" s="77"/>
      <c r="AC772" s="81" t="s">
        <v>2705</v>
      </c>
      <c r="AD772" s="77" t="s">
        <v>2751</v>
      </c>
      <c r="AE772" s="80" t="str">
        <f>HYPERLINK("https://twitter.com/inovies/status/833584755752976385")</f>
        <v>https://twitter.com/inovies/status/833584755752976385</v>
      </c>
      <c r="AF772" s="79">
        <v>42786.32716435185</v>
      </c>
      <c r="AG772" s="85">
        <v>42786</v>
      </c>
      <c r="AH772" s="81" t="s">
        <v>3372</v>
      </c>
      <c r="AI772" s="77" t="b">
        <v>0</v>
      </c>
      <c r="AJ772" s="77"/>
      <c r="AK772" s="77"/>
      <c r="AL772" s="77"/>
      <c r="AM772" s="77"/>
      <c r="AN772" s="77"/>
      <c r="AO772" s="77"/>
      <c r="AP772" s="77"/>
      <c r="AQ772" s="77"/>
      <c r="AR772" s="77"/>
      <c r="AS772" s="77"/>
      <c r="AT772" s="77"/>
      <c r="AU772" s="77"/>
      <c r="AV772" s="80" t="str">
        <f>HYPERLINK("https://pbs.twimg.com/profile_images/833576943677214720/5ZyUgpEJ_normal.jpg")</f>
        <v>https://pbs.twimg.com/profile_images/833576943677214720/5ZyUgpEJ_normal.jpg</v>
      </c>
      <c r="AW772" s="81" t="s">
        <v>5118</v>
      </c>
      <c r="AX772" s="81" t="s">
        <v>5118</v>
      </c>
      <c r="AY772" s="77"/>
      <c r="AZ772" s="81" t="s">
        <v>5773</v>
      </c>
      <c r="BA772" s="81" t="s">
        <v>5773</v>
      </c>
      <c r="BB772" s="81" t="s">
        <v>5773</v>
      </c>
      <c r="BC772" s="81" t="s">
        <v>5118</v>
      </c>
      <c r="BD772" s="77">
        <v>297885438</v>
      </c>
      <c r="BE772" s="77"/>
      <c r="BF772" s="77"/>
      <c r="BG772" s="77"/>
      <c r="BH772" s="77"/>
      <c r="BI772" s="77"/>
    </row>
    <row r="773" spans="1:61" ht="15">
      <c r="A773" s="62" t="s">
        <v>299</v>
      </c>
      <c r="B773" s="62" t="s">
        <v>299</v>
      </c>
      <c r="C773" s="63"/>
      <c r="D773" s="64"/>
      <c r="E773" s="65"/>
      <c r="F773" s="66"/>
      <c r="G773" s="63"/>
      <c r="H773" s="67"/>
      <c r="I773" s="68"/>
      <c r="J773" s="68"/>
      <c r="K773" s="32" t="s">
        <v>65</v>
      </c>
      <c r="L773" s="75">
        <v>773</v>
      </c>
      <c r="M773" s="75"/>
      <c r="N773" s="70"/>
      <c r="O773" s="77" t="s">
        <v>179</v>
      </c>
      <c r="P773" s="79">
        <v>42786.31050925926</v>
      </c>
      <c r="Q773" s="77" t="s">
        <v>1170</v>
      </c>
      <c r="R773" s="77">
        <v>1</v>
      </c>
      <c r="S773" s="77">
        <v>0</v>
      </c>
      <c r="T773" s="77">
        <v>0</v>
      </c>
      <c r="U773" s="77">
        <v>0</v>
      </c>
      <c r="V773" s="77"/>
      <c r="W773" s="77"/>
      <c r="X773" s="80" t="str">
        <f>HYPERLINK("https://www.inovies.com/insights/blog/responsive-web-design-an-online-space-and-an-all-time-base#.WKqaSIrxFRg.twitter")</f>
        <v>https://www.inovies.com/insights/blog/responsive-web-design-an-online-space-and-an-all-time-base#.WKqaSIrxFRg.twitter</v>
      </c>
      <c r="Y773" s="77" t="s">
        <v>1982</v>
      </c>
      <c r="Z773" s="77"/>
      <c r="AA773" s="77"/>
      <c r="AB773" s="77"/>
      <c r="AC773" s="81" t="s">
        <v>2705</v>
      </c>
      <c r="AD773" s="77" t="s">
        <v>2751</v>
      </c>
      <c r="AE773" s="80" t="str">
        <f>HYPERLINK("https://twitter.com/inovies/status/833578718077583360")</f>
        <v>https://twitter.com/inovies/status/833578718077583360</v>
      </c>
      <c r="AF773" s="79">
        <v>42786.31050925926</v>
      </c>
      <c r="AG773" s="85">
        <v>42786</v>
      </c>
      <c r="AH773" s="81" t="s">
        <v>3373</v>
      </c>
      <c r="AI773" s="77" t="b">
        <v>0</v>
      </c>
      <c r="AJ773" s="77"/>
      <c r="AK773" s="77"/>
      <c r="AL773" s="77"/>
      <c r="AM773" s="77"/>
      <c r="AN773" s="77"/>
      <c r="AO773" s="77"/>
      <c r="AP773" s="77"/>
      <c r="AQ773" s="77"/>
      <c r="AR773" s="77"/>
      <c r="AS773" s="77"/>
      <c r="AT773" s="77"/>
      <c r="AU773" s="77"/>
      <c r="AV773" s="80" t="str">
        <f>HYPERLINK("https://pbs.twimg.com/profile_images/833576943677214720/5ZyUgpEJ_normal.jpg")</f>
        <v>https://pbs.twimg.com/profile_images/833576943677214720/5ZyUgpEJ_normal.jpg</v>
      </c>
      <c r="AW773" s="81" t="s">
        <v>5119</v>
      </c>
      <c r="AX773" s="81" t="s">
        <v>5119</v>
      </c>
      <c r="AY773" s="77"/>
      <c r="AZ773" s="81" t="s">
        <v>5773</v>
      </c>
      <c r="BA773" s="81" t="s">
        <v>5773</v>
      </c>
      <c r="BB773" s="81" t="s">
        <v>5773</v>
      </c>
      <c r="BC773" s="81" t="s">
        <v>5119</v>
      </c>
      <c r="BD773" s="77">
        <v>297885438</v>
      </c>
      <c r="BE773" s="77"/>
      <c r="BF773" s="77"/>
      <c r="BG773" s="77"/>
      <c r="BH773" s="77"/>
      <c r="BI773" s="77"/>
    </row>
    <row r="774" spans="1:61" ht="15">
      <c r="A774" s="62" t="s">
        <v>299</v>
      </c>
      <c r="B774" s="62" t="s">
        <v>299</v>
      </c>
      <c r="C774" s="63"/>
      <c r="D774" s="64"/>
      <c r="E774" s="65"/>
      <c r="F774" s="66"/>
      <c r="G774" s="63"/>
      <c r="H774" s="67"/>
      <c r="I774" s="68"/>
      <c r="J774" s="68"/>
      <c r="K774" s="32" t="s">
        <v>65</v>
      </c>
      <c r="L774" s="75">
        <v>774</v>
      </c>
      <c r="M774" s="75"/>
      <c r="N774" s="70"/>
      <c r="O774" s="77" t="s">
        <v>179</v>
      </c>
      <c r="P774" s="79">
        <v>42067.407847222225</v>
      </c>
      <c r="Q774" s="77" t="s">
        <v>1171</v>
      </c>
      <c r="R774" s="77">
        <v>0</v>
      </c>
      <c r="S774" s="77">
        <v>0</v>
      </c>
      <c r="T774" s="77">
        <v>0</v>
      </c>
      <c r="U774" s="77">
        <v>0</v>
      </c>
      <c r="V774" s="77"/>
      <c r="W774" s="77"/>
      <c r="X774" s="80" t="str">
        <f>HYPERLINK("http://www.inovies.com/insights-view-96-website-testing-comprehensive-approach-to-tactful-responsive-website-testing-issues.html")</f>
        <v>http://www.inovies.com/insights-view-96-website-testing-comprehensive-approach-to-tactful-responsive-website-testing-issues.html</v>
      </c>
      <c r="Y774" s="77" t="s">
        <v>1982</v>
      </c>
      <c r="Z774" s="77"/>
      <c r="AA774" s="77"/>
      <c r="AB774" s="77"/>
      <c r="AC774" s="81" t="s">
        <v>2727</v>
      </c>
      <c r="AD774" s="77" t="s">
        <v>2751</v>
      </c>
      <c r="AE774" s="80" t="str">
        <f>HYPERLINK("https://twitter.com/inovies/status/573057116325298179")</f>
        <v>https://twitter.com/inovies/status/573057116325298179</v>
      </c>
      <c r="AF774" s="79">
        <v>42067.407847222225</v>
      </c>
      <c r="AG774" s="85">
        <v>42067</v>
      </c>
      <c r="AH774" s="81" t="s">
        <v>3374</v>
      </c>
      <c r="AI774" s="77" t="b">
        <v>0</v>
      </c>
      <c r="AJ774" s="77" t="s">
        <v>3882</v>
      </c>
      <c r="AK774" s="77" t="s">
        <v>3889</v>
      </c>
      <c r="AL774" s="77" t="s">
        <v>3892</v>
      </c>
      <c r="AM774" s="77" t="s">
        <v>3896</v>
      </c>
      <c r="AN774" s="77" t="s">
        <v>3903</v>
      </c>
      <c r="AO774" s="77" t="s">
        <v>3911</v>
      </c>
      <c r="AP774" s="77" t="s">
        <v>3917</v>
      </c>
      <c r="AQ774" s="77"/>
      <c r="AR774" s="77"/>
      <c r="AS774" s="77"/>
      <c r="AT774" s="77"/>
      <c r="AU774" s="77"/>
      <c r="AV774" s="80" t="str">
        <f>HYPERLINK("https://pbs.twimg.com/profile_images/833576943677214720/5ZyUgpEJ_normal.jpg")</f>
        <v>https://pbs.twimg.com/profile_images/833576943677214720/5ZyUgpEJ_normal.jpg</v>
      </c>
      <c r="AW774" s="81" t="s">
        <v>5120</v>
      </c>
      <c r="AX774" s="81" t="s">
        <v>5120</v>
      </c>
      <c r="AY774" s="77"/>
      <c r="AZ774" s="81" t="s">
        <v>5773</v>
      </c>
      <c r="BA774" s="81" t="s">
        <v>5773</v>
      </c>
      <c r="BB774" s="81" t="s">
        <v>5773</v>
      </c>
      <c r="BC774" s="81" t="s">
        <v>5120</v>
      </c>
      <c r="BD774" s="77">
        <v>297885438</v>
      </c>
      <c r="BE774" s="77"/>
      <c r="BF774" s="77"/>
      <c r="BG774" s="77"/>
      <c r="BH774" s="77"/>
      <c r="BI774" s="77"/>
    </row>
    <row r="775" spans="1:61" ht="15">
      <c r="A775" s="62" t="s">
        <v>299</v>
      </c>
      <c r="B775" s="62" t="s">
        <v>299</v>
      </c>
      <c r="C775" s="63"/>
      <c r="D775" s="64"/>
      <c r="E775" s="65"/>
      <c r="F775" s="66"/>
      <c r="G775" s="63"/>
      <c r="H775" s="67"/>
      <c r="I775" s="68"/>
      <c r="J775" s="68"/>
      <c r="K775" s="32" t="s">
        <v>65</v>
      </c>
      <c r="L775" s="75">
        <v>775</v>
      </c>
      <c r="M775" s="75"/>
      <c r="N775" s="70"/>
      <c r="O775" s="77" t="s">
        <v>179</v>
      </c>
      <c r="P775" s="79">
        <v>45281.806493055556</v>
      </c>
      <c r="Q775" s="77" t="s">
        <v>1172</v>
      </c>
      <c r="R775" s="77">
        <v>0</v>
      </c>
      <c r="S775" s="77">
        <v>0</v>
      </c>
      <c r="T775" s="77">
        <v>0</v>
      </c>
      <c r="U775" s="77">
        <v>0</v>
      </c>
      <c r="V775" s="77">
        <v>10</v>
      </c>
      <c r="W775" s="81" t="s">
        <v>1879</v>
      </c>
      <c r="X775" s="77"/>
      <c r="Y775" s="77"/>
      <c r="Z775" s="77"/>
      <c r="AA775" s="77"/>
      <c r="AB775" s="77"/>
      <c r="AC775" s="81" t="s">
        <v>2707</v>
      </c>
      <c r="AD775" s="77" t="s">
        <v>2751</v>
      </c>
      <c r="AE775" s="80" t="str">
        <f>HYPERLINK("https://twitter.com/inovies/status/1737916182596813069")</f>
        <v>https://twitter.com/inovies/status/1737916182596813069</v>
      </c>
      <c r="AF775" s="79">
        <v>45281.806493055556</v>
      </c>
      <c r="AG775" s="85">
        <v>45281</v>
      </c>
      <c r="AH775" s="81" t="s">
        <v>3375</v>
      </c>
      <c r="AI775" s="77" t="b">
        <v>0</v>
      </c>
      <c r="AJ775" s="77"/>
      <c r="AK775" s="77"/>
      <c r="AL775" s="77"/>
      <c r="AM775" s="77"/>
      <c r="AN775" s="77"/>
      <c r="AO775" s="77"/>
      <c r="AP775" s="77"/>
      <c r="AQ775" s="77"/>
      <c r="AR775" s="77"/>
      <c r="AS775" s="77"/>
      <c r="AT775" s="77"/>
      <c r="AU775" s="77"/>
      <c r="AV775" s="80" t="str">
        <f>HYPERLINK("https://pbs.twimg.com/profile_images/833576943677214720/5ZyUgpEJ_normal.jpg")</f>
        <v>https://pbs.twimg.com/profile_images/833576943677214720/5ZyUgpEJ_normal.jpg</v>
      </c>
      <c r="AW775" s="81" t="s">
        <v>5121</v>
      </c>
      <c r="AX775" s="81" t="s">
        <v>5121</v>
      </c>
      <c r="AY775" s="77"/>
      <c r="AZ775" s="81" t="s">
        <v>5773</v>
      </c>
      <c r="BA775" s="81" t="s">
        <v>5773</v>
      </c>
      <c r="BB775" s="81" t="s">
        <v>5773</v>
      </c>
      <c r="BC775" s="81" t="s">
        <v>5121</v>
      </c>
      <c r="BD775" s="77">
        <v>297885438</v>
      </c>
      <c r="BE775" s="77"/>
      <c r="BF775" s="77"/>
      <c r="BG775" s="77"/>
      <c r="BH775" s="77"/>
      <c r="BI775" s="77"/>
    </row>
    <row r="776" spans="1:61" ht="15">
      <c r="A776" s="62" t="s">
        <v>299</v>
      </c>
      <c r="B776" s="62" t="s">
        <v>299</v>
      </c>
      <c r="C776" s="63"/>
      <c r="D776" s="64"/>
      <c r="E776" s="65"/>
      <c r="F776" s="66"/>
      <c r="G776" s="63"/>
      <c r="H776" s="67"/>
      <c r="I776" s="68"/>
      <c r="J776" s="68"/>
      <c r="K776" s="32" t="s">
        <v>65</v>
      </c>
      <c r="L776" s="75">
        <v>776</v>
      </c>
      <c r="M776" s="75"/>
      <c r="N776" s="70"/>
      <c r="O776" s="77" t="s">
        <v>572</v>
      </c>
      <c r="P776" s="79">
        <v>45271.31936342592</v>
      </c>
      <c r="Q776" s="77" t="s">
        <v>1173</v>
      </c>
      <c r="R776" s="77">
        <v>0</v>
      </c>
      <c r="S776" s="77">
        <v>0</v>
      </c>
      <c r="T776" s="77">
        <v>1</v>
      </c>
      <c r="U776" s="77">
        <v>0</v>
      </c>
      <c r="V776" s="77">
        <v>2</v>
      </c>
      <c r="W776" s="81" t="s">
        <v>1880</v>
      </c>
      <c r="X776" s="80" t="str">
        <f>HYPERLINK("https://www.inovies.com")</f>
        <v>https://www.inovies.com</v>
      </c>
      <c r="Y776" s="77" t="s">
        <v>1982</v>
      </c>
      <c r="Z776" s="77"/>
      <c r="AA776" s="77"/>
      <c r="AB776" s="77"/>
      <c r="AC776" s="81" t="s">
        <v>2707</v>
      </c>
      <c r="AD776" s="77" t="s">
        <v>2751</v>
      </c>
      <c r="AE776" s="80" t="str">
        <f>HYPERLINK("https://twitter.com/inovies/status/1734115773042262436")</f>
        <v>https://twitter.com/inovies/status/1734115773042262436</v>
      </c>
      <c r="AF776" s="79">
        <v>45271.31936342592</v>
      </c>
      <c r="AG776" s="85">
        <v>45271</v>
      </c>
      <c r="AH776" s="81" t="s">
        <v>3376</v>
      </c>
      <c r="AI776" s="77" t="b">
        <v>0</v>
      </c>
      <c r="AJ776" s="77"/>
      <c r="AK776" s="77"/>
      <c r="AL776" s="77"/>
      <c r="AM776" s="77"/>
      <c r="AN776" s="77"/>
      <c r="AO776" s="77"/>
      <c r="AP776" s="77"/>
      <c r="AQ776" s="77"/>
      <c r="AR776" s="77"/>
      <c r="AS776" s="77"/>
      <c r="AT776" s="77"/>
      <c r="AU776" s="77"/>
      <c r="AV776" s="80" t="str">
        <f>HYPERLINK("https://pbs.twimg.com/profile_images/833576943677214720/5ZyUgpEJ_normal.jpg")</f>
        <v>https://pbs.twimg.com/profile_images/833576943677214720/5ZyUgpEJ_normal.jpg</v>
      </c>
      <c r="AW776" s="81" t="s">
        <v>5122</v>
      </c>
      <c r="AX776" s="81" t="s">
        <v>5610</v>
      </c>
      <c r="AY776" s="81" t="s">
        <v>5721</v>
      </c>
      <c r="AZ776" s="81" t="s">
        <v>5379</v>
      </c>
      <c r="BA776" s="81" t="s">
        <v>5773</v>
      </c>
      <c r="BB776" s="81" t="s">
        <v>5773</v>
      </c>
      <c r="BC776" s="81" t="s">
        <v>5379</v>
      </c>
      <c r="BD776" s="77">
        <v>297885438</v>
      </c>
      <c r="BE776" s="77"/>
      <c r="BF776" s="77"/>
      <c r="BG776" s="77"/>
      <c r="BH776" s="77"/>
      <c r="BI776" s="77"/>
    </row>
    <row r="777" spans="1:61" ht="15">
      <c r="A777" s="62" t="s">
        <v>299</v>
      </c>
      <c r="B777" s="62" t="s">
        <v>299</v>
      </c>
      <c r="C777" s="63"/>
      <c r="D777" s="64"/>
      <c r="E777" s="65"/>
      <c r="F777" s="66"/>
      <c r="G777" s="63"/>
      <c r="H777" s="67"/>
      <c r="I777" s="68"/>
      <c r="J777" s="68"/>
      <c r="K777" s="32" t="s">
        <v>65</v>
      </c>
      <c r="L777" s="75">
        <v>777</v>
      </c>
      <c r="M777" s="75"/>
      <c r="N777" s="70"/>
      <c r="O777" s="77" t="s">
        <v>572</v>
      </c>
      <c r="P777" s="79">
        <v>45271.311111111114</v>
      </c>
      <c r="Q777" s="77" t="s">
        <v>1174</v>
      </c>
      <c r="R777" s="77">
        <v>0</v>
      </c>
      <c r="S777" s="77">
        <v>0</v>
      </c>
      <c r="T777" s="77">
        <v>1</v>
      </c>
      <c r="U777" s="77">
        <v>0</v>
      </c>
      <c r="V777" s="77">
        <v>9</v>
      </c>
      <c r="W777" s="81" t="s">
        <v>1880</v>
      </c>
      <c r="X777" s="77"/>
      <c r="Y777" s="77"/>
      <c r="Z777" s="77"/>
      <c r="AA777" s="77"/>
      <c r="AB777" s="77"/>
      <c r="AC777" s="81" t="s">
        <v>2707</v>
      </c>
      <c r="AD777" s="77" t="s">
        <v>2751</v>
      </c>
      <c r="AE777" s="80" t="str">
        <f>HYPERLINK("https://twitter.com/inovies/status/1734112782474240350")</f>
        <v>https://twitter.com/inovies/status/1734112782474240350</v>
      </c>
      <c r="AF777" s="79">
        <v>45271.311111111114</v>
      </c>
      <c r="AG777" s="85">
        <v>45271</v>
      </c>
      <c r="AH777" s="81" t="s">
        <v>3377</v>
      </c>
      <c r="AI777" s="77"/>
      <c r="AJ777" s="77"/>
      <c r="AK777" s="77"/>
      <c r="AL777" s="77"/>
      <c r="AM777" s="77"/>
      <c r="AN777" s="77"/>
      <c r="AO777" s="77"/>
      <c r="AP777" s="77"/>
      <c r="AQ777" s="77"/>
      <c r="AR777" s="77"/>
      <c r="AS777" s="77"/>
      <c r="AT777" s="77"/>
      <c r="AU777" s="77"/>
      <c r="AV777" s="80" t="str">
        <f>HYPERLINK("https://pbs.twimg.com/profile_images/833576943677214720/5ZyUgpEJ_normal.jpg")</f>
        <v>https://pbs.twimg.com/profile_images/833576943677214720/5ZyUgpEJ_normal.jpg</v>
      </c>
      <c r="AW777" s="81" t="s">
        <v>5123</v>
      </c>
      <c r="AX777" s="81" t="s">
        <v>5129</v>
      </c>
      <c r="AY777" s="81" t="s">
        <v>5721</v>
      </c>
      <c r="AZ777" s="81" t="s">
        <v>5381</v>
      </c>
      <c r="BA777" s="81" t="s">
        <v>5773</v>
      </c>
      <c r="BB777" s="81" t="s">
        <v>5773</v>
      </c>
      <c r="BC777" s="81" t="s">
        <v>5381</v>
      </c>
      <c r="BD777" s="77">
        <v>297885438</v>
      </c>
      <c r="BE777" s="77"/>
      <c r="BF777" s="77"/>
      <c r="BG777" s="77"/>
      <c r="BH777" s="77"/>
      <c r="BI777" s="77"/>
    </row>
    <row r="778" spans="1:61" ht="15">
      <c r="A778" s="62" t="s">
        <v>299</v>
      </c>
      <c r="B778" s="62" t="s">
        <v>299</v>
      </c>
      <c r="C778" s="63"/>
      <c r="D778" s="64"/>
      <c r="E778" s="65"/>
      <c r="F778" s="66"/>
      <c r="G778" s="63"/>
      <c r="H778" s="67"/>
      <c r="I778" s="68"/>
      <c r="J778" s="68"/>
      <c r="K778" s="32" t="s">
        <v>65</v>
      </c>
      <c r="L778" s="75">
        <v>778</v>
      </c>
      <c r="M778" s="75"/>
      <c r="N778" s="70"/>
      <c r="O778" s="77" t="s">
        <v>572</v>
      </c>
      <c r="P778" s="79">
        <v>45271.31107638889</v>
      </c>
      <c r="Q778" s="77" t="s">
        <v>1175</v>
      </c>
      <c r="R778" s="77">
        <v>0</v>
      </c>
      <c r="S778" s="77">
        <v>0</v>
      </c>
      <c r="T778" s="77">
        <v>1</v>
      </c>
      <c r="U778" s="77">
        <v>0</v>
      </c>
      <c r="V778" s="77">
        <v>7</v>
      </c>
      <c r="W778" s="81" t="s">
        <v>1880</v>
      </c>
      <c r="X778" s="77"/>
      <c r="Y778" s="77"/>
      <c r="Z778" s="77"/>
      <c r="AA778" s="77"/>
      <c r="AB778" s="77"/>
      <c r="AC778" s="81" t="s">
        <v>2707</v>
      </c>
      <c r="AD778" s="77" t="s">
        <v>2751</v>
      </c>
      <c r="AE778" s="80" t="str">
        <f>HYPERLINK("https://twitter.com/inovies/status/1734112770541383937")</f>
        <v>https://twitter.com/inovies/status/1734112770541383937</v>
      </c>
      <c r="AF778" s="79">
        <v>45271.31107638889</v>
      </c>
      <c r="AG778" s="85">
        <v>45271</v>
      </c>
      <c r="AH778" s="81" t="s">
        <v>3378</v>
      </c>
      <c r="AI778" s="77"/>
      <c r="AJ778" s="77"/>
      <c r="AK778" s="77"/>
      <c r="AL778" s="77"/>
      <c r="AM778" s="77"/>
      <c r="AN778" s="77"/>
      <c r="AO778" s="77"/>
      <c r="AP778" s="77"/>
      <c r="AQ778" s="77"/>
      <c r="AR778" s="77"/>
      <c r="AS778" s="77"/>
      <c r="AT778" s="77"/>
      <c r="AU778" s="77"/>
      <c r="AV778" s="80" t="str">
        <f>HYPERLINK("https://pbs.twimg.com/profile_images/833576943677214720/5ZyUgpEJ_normal.jpg")</f>
        <v>https://pbs.twimg.com/profile_images/833576943677214720/5ZyUgpEJ_normal.jpg</v>
      </c>
      <c r="AW778" s="81" t="s">
        <v>5124</v>
      </c>
      <c r="AX778" s="81" t="s">
        <v>5129</v>
      </c>
      <c r="AY778" s="81" t="s">
        <v>5721</v>
      </c>
      <c r="AZ778" s="81" t="s">
        <v>5125</v>
      </c>
      <c r="BA778" s="81" t="s">
        <v>5773</v>
      </c>
      <c r="BB778" s="81" t="s">
        <v>5773</v>
      </c>
      <c r="BC778" s="81" t="s">
        <v>5125</v>
      </c>
      <c r="BD778" s="77">
        <v>297885438</v>
      </c>
      <c r="BE778" s="77"/>
      <c r="BF778" s="77"/>
      <c r="BG778" s="77"/>
      <c r="BH778" s="77"/>
      <c r="BI778" s="77"/>
    </row>
    <row r="779" spans="1:61" ht="15">
      <c r="A779" s="62" t="s">
        <v>299</v>
      </c>
      <c r="B779" s="62" t="s">
        <v>299</v>
      </c>
      <c r="C779" s="63"/>
      <c r="D779" s="64"/>
      <c r="E779" s="65"/>
      <c r="F779" s="66"/>
      <c r="G779" s="63"/>
      <c r="H779" s="67"/>
      <c r="I779" s="68"/>
      <c r="J779" s="68"/>
      <c r="K779" s="32" t="s">
        <v>65</v>
      </c>
      <c r="L779" s="75">
        <v>779</v>
      </c>
      <c r="M779" s="75"/>
      <c r="N779" s="70"/>
      <c r="O779" s="77" t="s">
        <v>572</v>
      </c>
      <c r="P779" s="79">
        <v>45271.311064814814</v>
      </c>
      <c r="Q779" s="77" t="s">
        <v>1176</v>
      </c>
      <c r="R779" s="77">
        <v>0</v>
      </c>
      <c r="S779" s="77">
        <v>0</v>
      </c>
      <c r="T779" s="77">
        <v>1</v>
      </c>
      <c r="U779" s="77">
        <v>0</v>
      </c>
      <c r="V779" s="77">
        <v>3</v>
      </c>
      <c r="W779" s="81" t="s">
        <v>1880</v>
      </c>
      <c r="X779" s="77"/>
      <c r="Y779" s="77"/>
      <c r="Z779" s="77"/>
      <c r="AA779" s="77"/>
      <c r="AB779" s="77"/>
      <c r="AC779" s="81" t="s">
        <v>2707</v>
      </c>
      <c r="AD779" s="77" t="s">
        <v>2751</v>
      </c>
      <c r="AE779" s="80" t="str">
        <f>HYPERLINK("https://twitter.com/inovies/status/1734112768490389923")</f>
        <v>https://twitter.com/inovies/status/1734112768490389923</v>
      </c>
      <c r="AF779" s="79">
        <v>45271.311064814814</v>
      </c>
      <c r="AG779" s="85">
        <v>45271</v>
      </c>
      <c r="AH779" s="81" t="s">
        <v>3379</v>
      </c>
      <c r="AI779" s="77"/>
      <c r="AJ779" s="77"/>
      <c r="AK779" s="77"/>
      <c r="AL779" s="77"/>
      <c r="AM779" s="77"/>
      <c r="AN779" s="77"/>
      <c r="AO779" s="77"/>
      <c r="AP779" s="77"/>
      <c r="AQ779" s="77"/>
      <c r="AR779" s="77"/>
      <c r="AS779" s="77"/>
      <c r="AT779" s="77"/>
      <c r="AU779" s="77"/>
      <c r="AV779" s="80" t="str">
        <f>HYPERLINK("https://pbs.twimg.com/profile_images/833576943677214720/5ZyUgpEJ_normal.jpg")</f>
        <v>https://pbs.twimg.com/profile_images/833576943677214720/5ZyUgpEJ_normal.jpg</v>
      </c>
      <c r="AW779" s="81" t="s">
        <v>5125</v>
      </c>
      <c r="AX779" s="81" t="s">
        <v>5129</v>
      </c>
      <c r="AY779" s="81" t="s">
        <v>5721</v>
      </c>
      <c r="AZ779" s="81" t="s">
        <v>5612</v>
      </c>
      <c r="BA779" s="81" t="s">
        <v>5773</v>
      </c>
      <c r="BB779" s="81" t="s">
        <v>5773</v>
      </c>
      <c r="BC779" s="81" t="s">
        <v>5612</v>
      </c>
      <c r="BD779" s="77">
        <v>297885438</v>
      </c>
      <c r="BE779" s="77"/>
      <c r="BF779" s="77"/>
      <c r="BG779" s="77"/>
      <c r="BH779" s="77"/>
      <c r="BI779" s="77"/>
    </row>
    <row r="780" spans="1:61" ht="15">
      <c r="A780" s="62" t="s">
        <v>299</v>
      </c>
      <c r="B780" s="62" t="s">
        <v>299</v>
      </c>
      <c r="C780" s="63"/>
      <c r="D780" s="64"/>
      <c r="E780" s="65"/>
      <c r="F780" s="66"/>
      <c r="G780" s="63"/>
      <c r="H780" s="67"/>
      <c r="I780" s="68"/>
      <c r="J780" s="68"/>
      <c r="K780" s="32" t="s">
        <v>65</v>
      </c>
      <c r="L780" s="75">
        <v>780</v>
      </c>
      <c r="M780" s="75"/>
      <c r="N780" s="70"/>
      <c r="O780" s="77" t="s">
        <v>572</v>
      </c>
      <c r="P780" s="79">
        <v>45271.31101851852</v>
      </c>
      <c r="Q780" s="77" t="s">
        <v>1177</v>
      </c>
      <c r="R780" s="77">
        <v>0</v>
      </c>
      <c r="S780" s="77">
        <v>0</v>
      </c>
      <c r="T780" s="77">
        <v>1</v>
      </c>
      <c r="U780" s="77">
        <v>0</v>
      </c>
      <c r="V780" s="77">
        <v>1</v>
      </c>
      <c r="W780" s="81" t="s">
        <v>1880</v>
      </c>
      <c r="X780" s="77"/>
      <c r="Y780" s="77"/>
      <c r="Z780" s="77"/>
      <c r="AA780" s="77"/>
      <c r="AB780" s="77"/>
      <c r="AC780" s="81" t="s">
        <v>2707</v>
      </c>
      <c r="AD780" s="77" t="s">
        <v>2751</v>
      </c>
      <c r="AE780" s="80" t="str">
        <f>HYPERLINK("https://twitter.com/inovies/status/1734112748483604982")</f>
        <v>https://twitter.com/inovies/status/1734112748483604982</v>
      </c>
      <c r="AF780" s="79">
        <v>45271.31101851852</v>
      </c>
      <c r="AG780" s="85">
        <v>45271</v>
      </c>
      <c r="AH780" s="81" t="s">
        <v>3380</v>
      </c>
      <c r="AI780" s="77"/>
      <c r="AJ780" s="77"/>
      <c r="AK780" s="77"/>
      <c r="AL780" s="77"/>
      <c r="AM780" s="77"/>
      <c r="AN780" s="77"/>
      <c r="AO780" s="77"/>
      <c r="AP780" s="77"/>
      <c r="AQ780" s="77"/>
      <c r="AR780" s="77"/>
      <c r="AS780" s="77"/>
      <c r="AT780" s="77"/>
      <c r="AU780" s="77"/>
      <c r="AV780" s="80" t="str">
        <f>HYPERLINK("https://pbs.twimg.com/profile_images/833576943677214720/5ZyUgpEJ_normal.jpg")</f>
        <v>https://pbs.twimg.com/profile_images/833576943677214720/5ZyUgpEJ_normal.jpg</v>
      </c>
      <c r="AW780" s="81" t="s">
        <v>5126</v>
      </c>
      <c r="AX780" s="81" t="s">
        <v>5129</v>
      </c>
      <c r="AY780" s="81" t="s">
        <v>5721</v>
      </c>
      <c r="AZ780" s="81" t="s">
        <v>5127</v>
      </c>
      <c r="BA780" s="81" t="s">
        <v>5773</v>
      </c>
      <c r="BB780" s="81" t="s">
        <v>5773</v>
      </c>
      <c r="BC780" s="81" t="s">
        <v>5127</v>
      </c>
      <c r="BD780" s="77">
        <v>297885438</v>
      </c>
      <c r="BE780" s="77"/>
      <c r="BF780" s="77"/>
      <c r="BG780" s="77"/>
      <c r="BH780" s="77"/>
      <c r="BI780" s="77"/>
    </row>
    <row r="781" spans="1:61" ht="15">
      <c r="A781" s="62" t="s">
        <v>299</v>
      </c>
      <c r="B781" s="62" t="s">
        <v>299</v>
      </c>
      <c r="C781" s="63"/>
      <c r="D781" s="64"/>
      <c r="E781" s="65"/>
      <c r="F781" s="66"/>
      <c r="G781" s="63"/>
      <c r="H781" s="67"/>
      <c r="I781" s="68"/>
      <c r="J781" s="68"/>
      <c r="K781" s="32" t="s">
        <v>65</v>
      </c>
      <c r="L781" s="75">
        <v>781</v>
      </c>
      <c r="M781" s="75"/>
      <c r="N781" s="70"/>
      <c r="O781" s="77" t="s">
        <v>572</v>
      </c>
      <c r="P781" s="79">
        <v>45271.311006944445</v>
      </c>
      <c r="Q781" s="77" t="s">
        <v>1178</v>
      </c>
      <c r="R781" s="77">
        <v>0</v>
      </c>
      <c r="S781" s="77">
        <v>0</v>
      </c>
      <c r="T781" s="77">
        <v>1</v>
      </c>
      <c r="U781" s="77">
        <v>0</v>
      </c>
      <c r="V781" s="77">
        <v>2</v>
      </c>
      <c r="W781" s="81" t="s">
        <v>1880</v>
      </c>
      <c r="X781" s="77"/>
      <c r="Y781" s="77"/>
      <c r="Z781" s="77"/>
      <c r="AA781" s="77"/>
      <c r="AB781" s="77"/>
      <c r="AC781" s="81" t="s">
        <v>2707</v>
      </c>
      <c r="AD781" s="77" t="s">
        <v>2751</v>
      </c>
      <c r="AE781" s="80" t="str">
        <f>HYPERLINK("https://twitter.com/inovies/status/1734112745887350805")</f>
        <v>https://twitter.com/inovies/status/1734112745887350805</v>
      </c>
      <c r="AF781" s="79">
        <v>45271.311006944445</v>
      </c>
      <c r="AG781" s="85">
        <v>45271</v>
      </c>
      <c r="AH781" s="81" t="s">
        <v>3381</v>
      </c>
      <c r="AI781" s="77"/>
      <c r="AJ781" s="77"/>
      <c r="AK781" s="77"/>
      <c r="AL781" s="77"/>
      <c r="AM781" s="77"/>
      <c r="AN781" s="77"/>
      <c r="AO781" s="77"/>
      <c r="AP781" s="77"/>
      <c r="AQ781" s="77"/>
      <c r="AR781" s="77"/>
      <c r="AS781" s="77"/>
      <c r="AT781" s="77"/>
      <c r="AU781" s="77"/>
      <c r="AV781" s="80" t="str">
        <f>HYPERLINK("https://pbs.twimg.com/profile_images/833576943677214720/5ZyUgpEJ_normal.jpg")</f>
        <v>https://pbs.twimg.com/profile_images/833576943677214720/5ZyUgpEJ_normal.jpg</v>
      </c>
      <c r="AW781" s="81" t="s">
        <v>5127</v>
      </c>
      <c r="AX781" s="81" t="s">
        <v>5129</v>
      </c>
      <c r="AY781" s="81" t="s">
        <v>5721</v>
      </c>
      <c r="AZ781" s="81" t="s">
        <v>5284</v>
      </c>
      <c r="BA781" s="81" t="s">
        <v>5773</v>
      </c>
      <c r="BB781" s="81" t="s">
        <v>5773</v>
      </c>
      <c r="BC781" s="81" t="s">
        <v>5284</v>
      </c>
      <c r="BD781" s="77">
        <v>297885438</v>
      </c>
      <c r="BE781" s="77"/>
      <c r="BF781" s="77"/>
      <c r="BG781" s="77"/>
      <c r="BH781" s="77"/>
      <c r="BI781" s="77"/>
    </row>
    <row r="782" spans="1:61" ht="15">
      <c r="A782" s="62" t="s">
        <v>299</v>
      </c>
      <c r="B782" s="62" t="s">
        <v>299</v>
      </c>
      <c r="C782" s="63"/>
      <c r="D782" s="64"/>
      <c r="E782" s="65"/>
      <c r="F782" s="66"/>
      <c r="G782" s="63"/>
      <c r="H782" s="67"/>
      <c r="I782" s="68"/>
      <c r="J782" s="68"/>
      <c r="K782" s="32" t="s">
        <v>65</v>
      </c>
      <c r="L782" s="75">
        <v>782</v>
      </c>
      <c r="M782" s="75"/>
      <c r="N782" s="70"/>
      <c r="O782" s="77" t="s">
        <v>572</v>
      </c>
      <c r="P782" s="79">
        <v>45271.31097222222</v>
      </c>
      <c r="Q782" s="77" t="s">
        <v>1179</v>
      </c>
      <c r="R782" s="77">
        <v>0</v>
      </c>
      <c r="S782" s="77">
        <v>0</v>
      </c>
      <c r="T782" s="77">
        <v>1</v>
      </c>
      <c r="U782" s="77">
        <v>0</v>
      </c>
      <c r="V782" s="77">
        <v>1</v>
      </c>
      <c r="W782" s="81" t="s">
        <v>1880</v>
      </c>
      <c r="X782" s="77"/>
      <c r="Y782" s="77"/>
      <c r="Z782" s="77"/>
      <c r="AA782" s="77"/>
      <c r="AB782" s="77"/>
      <c r="AC782" s="81" t="s">
        <v>2707</v>
      </c>
      <c r="AD782" s="77" t="s">
        <v>2751</v>
      </c>
      <c r="AE782" s="80" t="str">
        <f>HYPERLINK("https://twitter.com/inovies/status/1734112734889804128")</f>
        <v>https://twitter.com/inovies/status/1734112734889804128</v>
      </c>
      <c r="AF782" s="79">
        <v>45271.31097222222</v>
      </c>
      <c r="AG782" s="85">
        <v>45271</v>
      </c>
      <c r="AH782" s="81" t="s">
        <v>3382</v>
      </c>
      <c r="AI782" s="77"/>
      <c r="AJ782" s="77"/>
      <c r="AK782" s="77"/>
      <c r="AL782" s="77"/>
      <c r="AM782" s="77"/>
      <c r="AN782" s="77"/>
      <c r="AO782" s="77"/>
      <c r="AP782" s="77"/>
      <c r="AQ782" s="77"/>
      <c r="AR782" s="77"/>
      <c r="AS782" s="77"/>
      <c r="AT782" s="77"/>
      <c r="AU782" s="77"/>
      <c r="AV782" s="80" t="str">
        <f>HYPERLINK("https://pbs.twimg.com/profile_images/833576943677214720/5ZyUgpEJ_normal.jpg")</f>
        <v>https://pbs.twimg.com/profile_images/833576943677214720/5ZyUgpEJ_normal.jpg</v>
      </c>
      <c r="AW782" s="81" t="s">
        <v>5128</v>
      </c>
      <c r="AX782" s="81" t="s">
        <v>5129</v>
      </c>
      <c r="AY782" s="81" t="s">
        <v>5721</v>
      </c>
      <c r="AZ782" s="81" t="s">
        <v>5129</v>
      </c>
      <c r="BA782" s="81" t="s">
        <v>5773</v>
      </c>
      <c r="BB782" s="81" t="s">
        <v>5773</v>
      </c>
      <c r="BC782" s="81" t="s">
        <v>5129</v>
      </c>
      <c r="BD782" s="77">
        <v>297885438</v>
      </c>
      <c r="BE782" s="77"/>
      <c r="BF782" s="77"/>
      <c r="BG782" s="77"/>
      <c r="BH782" s="77"/>
      <c r="BI782" s="77"/>
    </row>
    <row r="783" spans="1:61" ht="15">
      <c r="A783" s="62" t="s">
        <v>299</v>
      </c>
      <c r="B783" s="62" t="s">
        <v>299</v>
      </c>
      <c r="C783" s="63"/>
      <c r="D783" s="64"/>
      <c r="E783" s="65"/>
      <c r="F783" s="66"/>
      <c r="G783" s="63"/>
      <c r="H783" s="67"/>
      <c r="I783" s="68"/>
      <c r="J783" s="68"/>
      <c r="K783" s="32" t="s">
        <v>65</v>
      </c>
      <c r="L783" s="75">
        <v>783</v>
      </c>
      <c r="M783" s="75"/>
      <c r="N783" s="70"/>
      <c r="O783" s="77" t="s">
        <v>179</v>
      </c>
      <c r="P783" s="79">
        <v>45271.31097222222</v>
      </c>
      <c r="Q783" s="77" t="s">
        <v>1180</v>
      </c>
      <c r="R783" s="77">
        <v>0</v>
      </c>
      <c r="S783" s="77">
        <v>0</v>
      </c>
      <c r="T783" s="77">
        <v>1</v>
      </c>
      <c r="U783" s="77">
        <v>0</v>
      </c>
      <c r="V783" s="77">
        <v>10</v>
      </c>
      <c r="W783" s="81" t="s">
        <v>1880</v>
      </c>
      <c r="X783" s="77"/>
      <c r="Y783" s="77"/>
      <c r="Z783" s="77"/>
      <c r="AA783" s="77"/>
      <c r="AB783" s="77"/>
      <c r="AC783" s="81" t="s">
        <v>2707</v>
      </c>
      <c r="AD783" s="77" t="s">
        <v>2751</v>
      </c>
      <c r="AE783" s="80" t="str">
        <f>HYPERLINK("https://twitter.com/inovies/status/1734112732901773615")</f>
        <v>https://twitter.com/inovies/status/1734112732901773615</v>
      </c>
      <c r="AF783" s="79">
        <v>45271.31097222222</v>
      </c>
      <c r="AG783" s="85">
        <v>45271</v>
      </c>
      <c r="AH783" s="81" t="s">
        <v>3382</v>
      </c>
      <c r="AI783" s="77"/>
      <c r="AJ783" s="77"/>
      <c r="AK783" s="77"/>
      <c r="AL783" s="77"/>
      <c r="AM783" s="77"/>
      <c r="AN783" s="77"/>
      <c r="AO783" s="77"/>
      <c r="AP783" s="77"/>
      <c r="AQ783" s="77"/>
      <c r="AR783" s="77"/>
      <c r="AS783" s="77"/>
      <c r="AT783" s="77"/>
      <c r="AU783" s="77"/>
      <c r="AV783" s="80" t="str">
        <f>HYPERLINK("https://pbs.twimg.com/profile_images/833576943677214720/5ZyUgpEJ_normal.jpg")</f>
        <v>https://pbs.twimg.com/profile_images/833576943677214720/5ZyUgpEJ_normal.jpg</v>
      </c>
      <c r="AW783" s="81" t="s">
        <v>5129</v>
      </c>
      <c r="AX783" s="81" t="s">
        <v>5129</v>
      </c>
      <c r="AY783" s="77"/>
      <c r="AZ783" s="81" t="s">
        <v>5773</v>
      </c>
      <c r="BA783" s="81" t="s">
        <v>5773</v>
      </c>
      <c r="BB783" s="81" t="s">
        <v>5773</v>
      </c>
      <c r="BC783" s="81" t="s">
        <v>5129</v>
      </c>
      <c r="BD783" s="77">
        <v>297885438</v>
      </c>
      <c r="BE783" s="77"/>
      <c r="BF783" s="77"/>
      <c r="BG783" s="77"/>
      <c r="BH783" s="77"/>
      <c r="BI783" s="77"/>
    </row>
    <row r="784" spans="1:61" ht="15">
      <c r="A784" s="62" t="s">
        <v>299</v>
      </c>
      <c r="B784" s="62" t="s">
        <v>299</v>
      </c>
      <c r="C784" s="63"/>
      <c r="D784" s="64"/>
      <c r="E784" s="65"/>
      <c r="F784" s="66"/>
      <c r="G784" s="63"/>
      <c r="H784" s="67"/>
      <c r="I784" s="68"/>
      <c r="J784" s="68"/>
      <c r="K784" s="32" t="s">
        <v>65</v>
      </c>
      <c r="L784" s="75">
        <v>784</v>
      </c>
      <c r="M784" s="75"/>
      <c r="N784" s="70"/>
      <c r="O784" s="77" t="s">
        <v>572</v>
      </c>
      <c r="P784" s="79">
        <v>45269.395578703705</v>
      </c>
      <c r="Q784" s="77" t="s">
        <v>1181</v>
      </c>
      <c r="R784" s="77">
        <v>0</v>
      </c>
      <c r="S784" s="77">
        <v>0</v>
      </c>
      <c r="T784" s="77">
        <v>0</v>
      </c>
      <c r="U784" s="77">
        <v>0</v>
      </c>
      <c r="V784" s="77">
        <v>9</v>
      </c>
      <c r="W784" s="81" t="s">
        <v>1881</v>
      </c>
      <c r="X784" s="80" t="str">
        <f>HYPERLINK("https://inovies.com")</f>
        <v>https://inovies.com</v>
      </c>
      <c r="Y784" s="77" t="s">
        <v>1982</v>
      </c>
      <c r="Z784" s="77"/>
      <c r="AA784" s="77" t="s">
        <v>2331</v>
      </c>
      <c r="AB784" s="77" t="s">
        <v>2696</v>
      </c>
      <c r="AC784" s="81" t="s">
        <v>2707</v>
      </c>
      <c r="AD784" s="77" t="s">
        <v>2752</v>
      </c>
      <c r="AE784" s="80" t="str">
        <f>HYPERLINK("https://twitter.com/inovies/status/1733418618468045146")</f>
        <v>https://twitter.com/inovies/status/1733418618468045146</v>
      </c>
      <c r="AF784" s="79">
        <v>45269.395578703705</v>
      </c>
      <c r="AG784" s="85">
        <v>45269</v>
      </c>
      <c r="AH784" s="81" t="s">
        <v>3383</v>
      </c>
      <c r="AI784" s="77" t="b">
        <v>0</v>
      </c>
      <c r="AJ784" s="77"/>
      <c r="AK784" s="77"/>
      <c r="AL784" s="77"/>
      <c r="AM784" s="77"/>
      <c r="AN784" s="77"/>
      <c r="AO784" s="77"/>
      <c r="AP784" s="77"/>
      <c r="AQ784" s="77" t="s">
        <v>4145</v>
      </c>
      <c r="AR784" s="77"/>
      <c r="AS784" s="77"/>
      <c r="AT784" s="77"/>
      <c r="AU784" s="77"/>
      <c r="AV784" s="80" t="str">
        <f>HYPERLINK("https://pbs.twimg.com/media/GA5XCptWUAAXhQF.jpg")</f>
        <v>https://pbs.twimg.com/media/GA5XCptWUAAXhQF.jpg</v>
      </c>
      <c r="AW784" s="81" t="s">
        <v>5130</v>
      </c>
      <c r="AX784" s="81" t="s">
        <v>5294</v>
      </c>
      <c r="AY784" s="81" t="s">
        <v>5721</v>
      </c>
      <c r="AZ784" s="81" t="s">
        <v>5294</v>
      </c>
      <c r="BA784" s="81" t="s">
        <v>5773</v>
      </c>
      <c r="BB784" s="81" t="s">
        <v>5773</v>
      </c>
      <c r="BC784" s="81" t="s">
        <v>5294</v>
      </c>
      <c r="BD784" s="77">
        <v>297885438</v>
      </c>
      <c r="BE784" s="77"/>
      <c r="BF784" s="77"/>
      <c r="BG784" s="77"/>
      <c r="BH784" s="77"/>
      <c r="BI784" s="77"/>
    </row>
    <row r="785" spans="1:61" ht="15">
      <c r="A785" s="62" t="s">
        <v>299</v>
      </c>
      <c r="B785" s="62" t="s">
        <v>299</v>
      </c>
      <c r="C785" s="63"/>
      <c r="D785" s="64"/>
      <c r="E785" s="65"/>
      <c r="F785" s="66"/>
      <c r="G785" s="63"/>
      <c r="H785" s="67"/>
      <c r="I785" s="68"/>
      <c r="J785" s="68"/>
      <c r="K785" s="32" t="s">
        <v>65</v>
      </c>
      <c r="L785" s="75">
        <v>785</v>
      </c>
      <c r="M785" s="75"/>
      <c r="N785" s="70"/>
      <c r="O785" s="77" t="s">
        <v>572</v>
      </c>
      <c r="P785" s="79">
        <v>45269.39497685185</v>
      </c>
      <c r="Q785" s="77" t="s">
        <v>1182</v>
      </c>
      <c r="R785" s="77">
        <v>0</v>
      </c>
      <c r="S785" s="77">
        <v>0</v>
      </c>
      <c r="T785" s="77">
        <v>0</v>
      </c>
      <c r="U785" s="77">
        <v>0</v>
      </c>
      <c r="V785" s="77">
        <v>9</v>
      </c>
      <c r="W785" s="81" t="s">
        <v>1881</v>
      </c>
      <c r="X785" s="80" t="str">
        <f>HYPERLINK("https://inovies.com")</f>
        <v>https://inovies.com</v>
      </c>
      <c r="Y785" s="77" t="s">
        <v>1982</v>
      </c>
      <c r="Z785" s="77"/>
      <c r="AA785" s="77" t="s">
        <v>2332</v>
      </c>
      <c r="AB785" s="77" t="s">
        <v>2696</v>
      </c>
      <c r="AC785" s="81" t="s">
        <v>2707</v>
      </c>
      <c r="AD785" s="77" t="s">
        <v>2752</v>
      </c>
      <c r="AE785" s="80" t="str">
        <f>HYPERLINK("https://twitter.com/inovies/status/1733418399714119722")</f>
        <v>https://twitter.com/inovies/status/1733418399714119722</v>
      </c>
      <c r="AF785" s="79">
        <v>45269.39497685185</v>
      </c>
      <c r="AG785" s="85">
        <v>45269</v>
      </c>
      <c r="AH785" s="81" t="s">
        <v>3384</v>
      </c>
      <c r="AI785" s="77" t="b">
        <v>0</v>
      </c>
      <c r="AJ785" s="77"/>
      <c r="AK785" s="77"/>
      <c r="AL785" s="77"/>
      <c r="AM785" s="77"/>
      <c r="AN785" s="77"/>
      <c r="AO785" s="77"/>
      <c r="AP785" s="77"/>
      <c r="AQ785" s="77" t="s">
        <v>4146</v>
      </c>
      <c r="AR785" s="77"/>
      <c r="AS785" s="77"/>
      <c r="AT785" s="77"/>
      <c r="AU785" s="77"/>
      <c r="AV785" s="80" t="str">
        <f>HYPERLINK("https://pbs.twimg.com/media/GA5W1bbXEAAWy4P.jpg")</f>
        <v>https://pbs.twimg.com/media/GA5W1bbXEAAWy4P.jpg</v>
      </c>
      <c r="AW785" s="81" t="s">
        <v>5131</v>
      </c>
      <c r="AX785" s="81" t="s">
        <v>5294</v>
      </c>
      <c r="AY785" s="81" t="s">
        <v>5721</v>
      </c>
      <c r="AZ785" s="81" t="s">
        <v>5294</v>
      </c>
      <c r="BA785" s="81" t="s">
        <v>5773</v>
      </c>
      <c r="BB785" s="81" t="s">
        <v>5773</v>
      </c>
      <c r="BC785" s="81" t="s">
        <v>5294</v>
      </c>
      <c r="BD785" s="77">
        <v>297885438</v>
      </c>
      <c r="BE785" s="77"/>
      <c r="BF785" s="77"/>
      <c r="BG785" s="77"/>
      <c r="BH785" s="77"/>
      <c r="BI785" s="77"/>
    </row>
    <row r="786" spans="1:61" ht="15">
      <c r="A786" s="62" t="s">
        <v>299</v>
      </c>
      <c r="B786" s="62" t="s">
        <v>299</v>
      </c>
      <c r="C786" s="63"/>
      <c r="D786" s="64"/>
      <c r="E786" s="65"/>
      <c r="F786" s="66"/>
      <c r="G786" s="63"/>
      <c r="H786" s="67"/>
      <c r="I786" s="68"/>
      <c r="J786" s="68"/>
      <c r="K786" s="32" t="s">
        <v>65</v>
      </c>
      <c r="L786" s="75">
        <v>786</v>
      </c>
      <c r="M786" s="75"/>
      <c r="N786" s="70"/>
      <c r="O786" s="77" t="s">
        <v>572</v>
      </c>
      <c r="P786" s="79">
        <v>45269.39398148148</v>
      </c>
      <c r="Q786" s="77" t="s">
        <v>1183</v>
      </c>
      <c r="R786" s="77">
        <v>0</v>
      </c>
      <c r="S786" s="77">
        <v>0</v>
      </c>
      <c r="T786" s="77">
        <v>0</v>
      </c>
      <c r="U786" s="77">
        <v>0</v>
      </c>
      <c r="V786" s="77">
        <v>12</v>
      </c>
      <c r="W786" s="81" t="s">
        <v>1881</v>
      </c>
      <c r="X786" s="80" t="str">
        <f>HYPERLINK("https://inovies.com")</f>
        <v>https://inovies.com</v>
      </c>
      <c r="Y786" s="77" t="s">
        <v>1982</v>
      </c>
      <c r="Z786" s="77"/>
      <c r="AA786" s="77" t="s">
        <v>2333</v>
      </c>
      <c r="AB786" s="77" t="s">
        <v>2696</v>
      </c>
      <c r="AC786" s="81" t="s">
        <v>2707</v>
      </c>
      <c r="AD786" s="77" t="s">
        <v>2752</v>
      </c>
      <c r="AE786" s="80" t="str">
        <f>HYPERLINK("https://twitter.com/inovies/status/1733418039272415494")</f>
        <v>https://twitter.com/inovies/status/1733418039272415494</v>
      </c>
      <c r="AF786" s="79">
        <v>45269.39398148148</v>
      </c>
      <c r="AG786" s="85">
        <v>45269</v>
      </c>
      <c r="AH786" s="81" t="s">
        <v>3385</v>
      </c>
      <c r="AI786" s="77" t="b">
        <v>0</v>
      </c>
      <c r="AJ786" s="77"/>
      <c r="AK786" s="77"/>
      <c r="AL786" s="77"/>
      <c r="AM786" s="77"/>
      <c r="AN786" s="77"/>
      <c r="AO786" s="77"/>
      <c r="AP786" s="77"/>
      <c r="AQ786" s="77" t="s">
        <v>4147</v>
      </c>
      <c r="AR786" s="77"/>
      <c r="AS786" s="77"/>
      <c r="AT786" s="77"/>
      <c r="AU786" s="77"/>
      <c r="AV786" s="80" t="str">
        <f>HYPERLINK("https://pbs.twimg.com/media/GA5WgepW0AEqgim.jpg")</f>
        <v>https://pbs.twimg.com/media/GA5WgepW0AEqgim.jpg</v>
      </c>
      <c r="AW786" s="81" t="s">
        <v>5132</v>
      </c>
      <c r="AX786" s="81" t="s">
        <v>5294</v>
      </c>
      <c r="AY786" s="81" t="s">
        <v>5721</v>
      </c>
      <c r="AZ786" s="81" t="s">
        <v>5294</v>
      </c>
      <c r="BA786" s="81" t="s">
        <v>5773</v>
      </c>
      <c r="BB786" s="81" t="s">
        <v>5773</v>
      </c>
      <c r="BC786" s="81" t="s">
        <v>5294</v>
      </c>
      <c r="BD786" s="77">
        <v>297885438</v>
      </c>
      <c r="BE786" s="77"/>
      <c r="BF786" s="77"/>
      <c r="BG786" s="77"/>
      <c r="BH786" s="77"/>
      <c r="BI786" s="77"/>
    </row>
    <row r="787" spans="1:61" ht="15">
      <c r="A787" s="62" t="s">
        <v>299</v>
      </c>
      <c r="B787" s="62" t="s">
        <v>299</v>
      </c>
      <c r="C787" s="63"/>
      <c r="D787" s="64"/>
      <c r="E787" s="65"/>
      <c r="F787" s="66"/>
      <c r="G787" s="63"/>
      <c r="H787" s="67"/>
      <c r="I787" s="68"/>
      <c r="J787" s="68"/>
      <c r="K787" s="32" t="s">
        <v>65</v>
      </c>
      <c r="L787" s="75">
        <v>787</v>
      </c>
      <c r="M787" s="75"/>
      <c r="N787" s="70"/>
      <c r="O787" s="77" t="s">
        <v>572</v>
      </c>
      <c r="P787" s="79">
        <v>45269.39329861111</v>
      </c>
      <c r="Q787" s="77" t="s">
        <v>1184</v>
      </c>
      <c r="R787" s="77">
        <v>0</v>
      </c>
      <c r="S787" s="77">
        <v>0</v>
      </c>
      <c r="T787" s="77">
        <v>0</v>
      </c>
      <c r="U787" s="77">
        <v>0</v>
      </c>
      <c r="V787" s="77">
        <v>8</v>
      </c>
      <c r="W787" s="81" t="s">
        <v>1881</v>
      </c>
      <c r="X787" s="80" t="str">
        <f>HYPERLINK("https://inovies.com")</f>
        <v>https://inovies.com</v>
      </c>
      <c r="Y787" s="77" t="s">
        <v>1982</v>
      </c>
      <c r="Z787" s="77"/>
      <c r="AA787" s="77" t="s">
        <v>2334</v>
      </c>
      <c r="AB787" s="77" t="s">
        <v>2696</v>
      </c>
      <c r="AC787" s="81" t="s">
        <v>2707</v>
      </c>
      <c r="AD787" s="77" t="s">
        <v>2752</v>
      </c>
      <c r="AE787" s="80" t="str">
        <f>HYPERLINK("https://twitter.com/inovies/status/1733417792152461480")</f>
        <v>https://twitter.com/inovies/status/1733417792152461480</v>
      </c>
      <c r="AF787" s="79">
        <v>45269.39329861111</v>
      </c>
      <c r="AG787" s="85">
        <v>45269</v>
      </c>
      <c r="AH787" s="81" t="s">
        <v>3386</v>
      </c>
      <c r="AI787" s="77" t="b">
        <v>0</v>
      </c>
      <c r="AJ787" s="77"/>
      <c r="AK787" s="77"/>
      <c r="AL787" s="77"/>
      <c r="AM787" s="77"/>
      <c r="AN787" s="77"/>
      <c r="AO787" s="77"/>
      <c r="AP787" s="77"/>
      <c r="AQ787" s="77" t="s">
        <v>4148</v>
      </c>
      <c r="AR787" s="77"/>
      <c r="AS787" s="77"/>
      <c r="AT787" s="77"/>
      <c r="AU787" s="77"/>
      <c r="AV787" s="80" t="str">
        <f>HYPERLINK("https://pbs.twimg.com/media/GA5WSa4XkAAWpdd.jpg")</f>
        <v>https://pbs.twimg.com/media/GA5WSa4XkAAWpdd.jpg</v>
      </c>
      <c r="AW787" s="81" t="s">
        <v>5133</v>
      </c>
      <c r="AX787" s="81" t="s">
        <v>5294</v>
      </c>
      <c r="AY787" s="81" t="s">
        <v>5721</v>
      </c>
      <c r="AZ787" s="81" t="s">
        <v>5294</v>
      </c>
      <c r="BA787" s="81" t="s">
        <v>5773</v>
      </c>
      <c r="BB787" s="81" t="s">
        <v>5773</v>
      </c>
      <c r="BC787" s="81" t="s">
        <v>5294</v>
      </c>
      <c r="BD787" s="77">
        <v>297885438</v>
      </c>
      <c r="BE787" s="77"/>
      <c r="BF787" s="77"/>
      <c r="BG787" s="77"/>
      <c r="BH787" s="77"/>
      <c r="BI787" s="77"/>
    </row>
    <row r="788" spans="1:61" ht="15">
      <c r="A788" s="62" t="s">
        <v>299</v>
      </c>
      <c r="B788" s="62" t="s">
        <v>299</v>
      </c>
      <c r="C788" s="63"/>
      <c r="D788" s="64"/>
      <c r="E788" s="65"/>
      <c r="F788" s="66"/>
      <c r="G788" s="63"/>
      <c r="H788" s="67"/>
      <c r="I788" s="68"/>
      <c r="J788" s="68"/>
      <c r="K788" s="32" t="s">
        <v>65</v>
      </c>
      <c r="L788" s="75">
        <v>788</v>
      </c>
      <c r="M788" s="75"/>
      <c r="N788" s="70"/>
      <c r="O788" s="77" t="s">
        <v>572</v>
      </c>
      <c r="P788" s="79">
        <v>45268.326273148145</v>
      </c>
      <c r="Q788" s="77" t="s">
        <v>1185</v>
      </c>
      <c r="R788" s="77">
        <v>0</v>
      </c>
      <c r="S788" s="77">
        <v>0</v>
      </c>
      <c r="T788" s="77">
        <v>0</v>
      </c>
      <c r="U788" s="77">
        <v>0</v>
      </c>
      <c r="V788" s="77">
        <v>11</v>
      </c>
      <c r="W788" s="81" t="s">
        <v>1871</v>
      </c>
      <c r="X788" s="80" t="str">
        <f>HYPERLINK("https://inovies.com")</f>
        <v>https://inovies.com</v>
      </c>
      <c r="Y788" s="77" t="s">
        <v>1982</v>
      </c>
      <c r="Z788" s="77"/>
      <c r="AA788" s="77" t="s">
        <v>2335</v>
      </c>
      <c r="AB788" s="77" t="s">
        <v>2696</v>
      </c>
      <c r="AC788" s="81" t="s">
        <v>2707</v>
      </c>
      <c r="AD788" s="77" t="s">
        <v>2752</v>
      </c>
      <c r="AE788" s="80" t="str">
        <f>HYPERLINK("https://twitter.com/inovies/status/1733031113981902896")</f>
        <v>https://twitter.com/inovies/status/1733031113981902896</v>
      </c>
      <c r="AF788" s="79">
        <v>45268.326273148145</v>
      </c>
      <c r="AG788" s="85">
        <v>45268</v>
      </c>
      <c r="AH788" s="81" t="s">
        <v>3387</v>
      </c>
      <c r="AI788" s="77" t="b">
        <v>0</v>
      </c>
      <c r="AJ788" s="77"/>
      <c r="AK788" s="77"/>
      <c r="AL788" s="77"/>
      <c r="AM788" s="77"/>
      <c r="AN788" s="77"/>
      <c r="AO788" s="77"/>
      <c r="AP788" s="77"/>
      <c r="AQ788" s="77" t="s">
        <v>4149</v>
      </c>
      <c r="AR788" s="77"/>
      <c r="AS788" s="77"/>
      <c r="AT788" s="77"/>
      <c r="AU788" s="77"/>
      <c r="AV788" s="80" t="str">
        <f>HYPERLINK("https://pbs.twimg.com/media/GAz2nDcWwAANYU7.jpg")</f>
        <v>https://pbs.twimg.com/media/GAz2nDcWwAANYU7.jpg</v>
      </c>
      <c r="AW788" s="81" t="s">
        <v>5134</v>
      </c>
      <c r="AX788" s="81" t="s">
        <v>5557</v>
      </c>
      <c r="AY788" s="81" t="s">
        <v>5721</v>
      </c>
      <c r="AZ788" s="81" t="s">
        <v>5557</v>
      </c>
      <c r="BA788" s="81" t="s">
        <v>5773</v>
      </c>
      <c r="BB788" s="81" t="s">
        <v>5773</v>
      </c>
      <c r="BC788" s="81" t="s">
        <v>5557</v>
      </c>
      <c r="BD788" s="77">
        <v>297885438</v>
      </c>
      <c r="BE788" s="77"/>
      <c r="BF788" s="77"/>
      <c r="BG788" s="77"/>
      <c r="BH788" s="77"/>
      <c r="BI788" s="77"/>
    </row>
    <row r="789" spans="1:61" ht="15">
      <c r="A789" s="62" t="s">
        <v>299</v>
      </c>
      <c r="B789" s="62" t="s">
        <v>299</v>
      </c>
      <c r="C789" s="63"/>
      <c r="D789" s="64"/>
      <c r="E789" s="65"/>
      <c r="F789" s="66"/>
      <c r="G789" s="63"/>
      <c r="H789" s="67"/>
      <c r="I789" s="68"/>
      <c r="J789" s="68"/>
      <c r="K789" s="32" t="s">
        <v>65</v>
      </c>
      <c r="L789" s="75">
        <v>789</v>
      </c>
      <c r="M789" s="75"/>
      <c r="N789" s="70"/>
      <c r="O789" s="77" t="s">
        <v>572</v>
      </c>
      <c r="P789" s="79">
        <v>45268.325844907406</v>
      </c>
      <c r="Q789" s="77" t="s">
        <v>1186</v>
      </c>
      <c r="R789" s="77">
        <v>0</v>
      </c>
      <c r="S789" s="77">
        <v>0</v>
      </c>
      <c r="T789" s="77">
        <v>0</v>
      </c>
      <c r="U789" s="77">
        <v>0</v>
      </c>
      <c r="V789" s="77">
        <v>11</v>
      </c>
      <c r="W789" s="81" t="s">
        <v>1871</v>
      </c>
      <c r="X789" s="80" t="str">
        <f>HYPERLINK("https://inovies.com")</f>
        <v>https://inovies.com</v>
      </c>
      <c r="Y789" s="77" t="s">
        <v>1982</v>
      </c>
      <c r="Z789" s="77"/>
      <c r="AA789" s="77" t="s">
        <v>2336</v>
      </c>
      <c r="AB789" s="77" t="s">
        <v>2696</v>
      </c>
      <c r="AC789" s="81" t="s">
        <v>2707</v>
      </c>
      <c r="AD789" s="77" t="s">
        <v>2752</v>
      </c>
      <c r="AE789" s="80" t="str">
        <f>HYPERLINK("https://twitter.com/inovies/status/1733030957807013917")</f>
        <v>https://twitter.com/inovies/status/1733030957807013917</v>
      </c>
      <c r="AF789" s="79">
        <v>45268.325844907406</v>
      </c>
      <c r="AG789" s="85">
        <v>45268</v>
      </c>
      <c r="AH789" s="81" t="s">
        <v>3388</v>
      </c>
      <c r="AI789" s="77" t="b">
        <v>0</v>
      </c>
      <c r="AJ789" s="77"/>
      <c r="AK789" s="77"/>
      <c r="AL789" s="77"/>
      <c r="AM789" s="77"/>
      <c r="AN789" s="77"/>
      <c r="AO789" s="77"/>
      <c r="AP789" s="77"/>
      <c r="AQ789" s="77" t="s">
        <v>4150</v>
      </c>
      <c r="AR789" s="77"/>
      <c r="AS789" s="77"/>
      <c r="AT789" s="77"/>
      <c r="AU789" s="77"/>
      <c r="AV789" s="80" t="str">
        <f>HYPERLINK("https://pbs.twimg.com/media/GAz2d5XXsAA1lMW.jpg")</f>
        <v>https://pbs.twimg.com/media/GAz2d5XXsAA1lMW.jpg</v>
      </c>
      <c r="AW789" s="81" t="s">
        <v>5135</v>
      </c>
      <c r="AX789" s="81" t="s">
        <v>5557</v>
      </c>
      <c r="AY789" s="81" t="s">
        <v>5721</v>
      </c>
      <c r="AZ789" s="81" t="s">
        <v>5557</v>
      </c>
      <c r="BA789" s="81" t="s">
        <v>5773</v>
      </c>
      <c r="BB789" s="81" t="s">
        <v>5773</v>
      </c>
      <c r="BC789" s="81" t="s">
        <v>5557</v>
      </c>
      <c r="BD789" s="77">
        <v>297885438</v>
      </c>
      <c r="BE789" s="77"/>
      <c r="BF789" s="77"/>
      <c r="BG789" s="77"/>
      <c r="BH789" s="77"/>
      <c r="BI789" s="77"/>
    </row>
    <row r="790" spans="1:61" ht="15">
      <c r="A790" s="62" t="s">
        <v>299</v>
      </c>
      <c r="B790" s="62" t="s">
        <v>299</v>
      </c>
      <c r="C790" s="63"/>
      <c r="D790" s="64"/>
      <c r="E790" s="65"/>
      <c r="F790" s="66"/>
      <c r="G790" s="63"/>
      <c r="H790" s="67"/>
      <c r="I790" s="68"/>
      <c r="J790" s="68"/>
      <c r="K790" s="32" t="s">
        <v>65</v>
      </c>
      <c r="L790" s="75">
        <v>790</v>
      </c>
      <c r="M790" s="75"/>
      <c r="N790" s="70"/>
      <c r="O790" s="77" t="s">
        <v>572</v>
      </c>
      <c r="P790" s="79">
        <v>45268.32539351852</v>
      </c>
      <c r="Q790" s="77" t="s">
        <v>1187</v>
      </c>
      <c r="R790" s="77">
        <v>0</v>
      </c>
      <c r="S790" s="77">
        <v>0</v>
      </c>
      <c r="T790" s="77">
        <v>0</v>
      </c>
      <c r="U790" s="77">
        <v>0</v>
      </c>
      <c r="V790" s="77">
        <v>10</v>
      </c>
      <c r="W790" s="81" t="s">
        <v>1871</v>
      </c>
      <c r="X790" s="80" t="str">
        <f>HYPERLINK("https://inovies.com")</f>
        <v>https://inovies.com</v>
      </c>
      <c r="Y790" s="77" t="s">
        <v>1982</v>
      </c>
      <c r="Z790" s="77"/>
      <c r="AA790" s="77" t="s">
        <v>2337</v>
      </c>
      <c r="AB790" s="77" t="s">
        <v>2696</v>
      </c>
      <c r="AC790" s="81" t="s">
        <v>2707</v>
      </c>
      <c r="AD790" s="77" t="s">
        <v>2752</v>
      </c>
      <c r="AE790" s="80" t="str">
        <f>HYPERLINK("https://twitter.com/inovies/status/1733030795579695115")</f>
        <v>https://twitter.com/inovies/status/1733030795579695115</v>
      </c>
      <c r="AF790" s="79">
        <v>45268.32539351852</v>
      </c>
      <c r="AG790" s="85">
        <v>45268</v>
      </c>
      <c r="AH790" s="81" t="s">
        <v>3389</v>
      </c>
      <c r="AI790" s="77" t="b">
        <v>0</v>
      </c>
      <c r="AJ790" s="77"/>
      <c r="AK790" s="77"/>
      <c r="AL790" s="77"/>
      <c r="AM790" s="77"/>
      <c r="AN790" s="77"/>
      <c r="AO790" s="77"/>
      <c r="AP790" s="77"/>
      <c r="AQ790" s="77" t="s">
        <v>4151</v>
      </c>
      <c r="AR790" s="77"/>
      <c r="AS790" s="77"/>
      <c r="AT790" s="77"/>
      <c r="AU790" s="77"/>
      <c r="AV790" s="80" t="str">
        <f>HYPERLINK("https://pbs.twimg.com/media/GAz2UajXgAEwb55.jpg")</f>
        <v>https://pbs.twimg.com/media/GAz2UajXgAEwb55.jpg</v>
      </c>
      <c r="AW790" s="81" t="s">
        <v>5136</v>
      </c>
      <c r="AX790" s="81" t="s">
        <v>5557</v>
      </c>
      <c r="AY790" s="81" t="s">
        <v>5721</v>
      </c>
      <c r="AZ790" s="81" t="s">
        <v>5557</v>
      </c>
      <c r="BA790" s="81" t="s">
        <v>5773</v>
      </c>
      <c r="BB790" s="81" t="s">
        <v>5773</v>
      </c>
      <c r="BC790" s="81" t="s">
        <v>5557</v>
      </c>
      <c r="BD790" s="77">
        <v>297885438</v>
      </c>
      <c r="BE790" s="77"/>
      <c r="BF790" s="77"/>
      <c r="BG790" s="77"/>
      <c r="BH790" s="77"/>
      <c r="BI790" s="77"/>
    </row>
    <row r="791" spans="1:61" ht="15">
      <c r="A791" s="62" t="s">
        <v>299</v>
      </c>
      <c r="B791" s="62" t="s">
        <v>299</v>
      </c>
      <c r="C791" s="63"/>
      <c r="D791" s="64"/>
      <c r="E791" s="65"/>
      <c r="F791" s="66"/>
      <c r="G791" s="63"/>
      <c r="H791" s="67"/>
      <c r="I791" s="68"/>
      <c r="J791" s="68"/>
      <c r="K791" s="32" t="s">
        <v>65</v>
      </c>
      <c r="L791" s="75">
        <v>791</v>
      </c>
      <c r="M791" s="75"/>
      <c r="N791" s="70"/>
      <c r="O791" s="77" t="s">
        <v>572</v>
      </c>
      <c r="P791" s="79">
        <v>45268.32491898148</v>
      </c>
      <c r="Q791" s="77" t="s">
        <v>1188</v>
      </c>
      <c r="R791" s="77">
        <v>0</v>
      </c>
      <c r="S791" s="77">
        <v>0</v>
      </c>
      <c r="T791" s="77">
        <v>0</v>
      </c>
      <c r="U791" s="77">
        <v>0</v>
      </c>
      <c r="V791" s="77">
        <v>10</v>
      </c>
      <c r="W791" s="81" t="s">
        <v>1871</v>
      </c>
      <c r="X791" s="80" t="str">
        <f>HYPERLINK("https://inovies.com")</f>
        <v>https://inovies.com</v>
      </c>
      <c r="Y791" s="77" t="s">
        <v>1982</v>
      </c>
      <c r="Z791" s="77"/>
      <c r="AA791" s="77" t="s">
        <v>2338</v>
      </c>
      <c r="AB791" s="77" t="s">
        <v>2696</v>
      </c>
      <c r="AC791" s="81" t="s">
        <v>2707</v>
      </c>
      <c r="AD791" s="77" t="s">
        <v>2752</v>
      </c>
      <c r="AE791" s="80" t="str">
        <f>HYPERLINK("https://twitter.com/inovies/status/1733030623692886029")</f>
        <v>https://twitter.com/inovies/status/1733030623692886029</v>
      </c>
      <c r="AF791" s="79">
        <v>45268.32491898148</v>
      </c>
      <c r="AG791" s="85">
        <v>45268</v>
      </c>
      <c r="AH791" s="81" t="s">
        <v>3390</v>
      </c>
      <c r="AI791" s="77" t="b">
        <v>0</v>
      </c>
      <c r="AJ791" s="77"/>
      <c r="AK791" s="77"/>
      <c r="AL791" s="77"/>
      <c r="AM791" s="77"/>
      <c r="AN791" s="77"/>
      <c r="AO791" s="77"/>
      <c r="AP791" s="77"/>
      <c r="AQ791" s="77" t="s">
        <v>4152</v>
      </c>
      <c r="AR791" s="77"/>
      <c r="AS791" s="77"/>
      <c r="AT791" s="77"/>
      <c r="AU791" s="77"/>
      <c r="AV791" s="80" t="str">
        <f>HYPERLINK("https://pbs.twimg.com/media/GAz2KXgWEAAr6LP.jpg")</f>
        <v>https://pbs.twimg.com/media/GAz2KXgWEAAr6LP.jpg</v>
      </c>
      <c r="AW791" s="81" t="s">
        <v>5137</v>
      </c>
      <c r="AX791" s="81" t="s">
        <v>5557</v>
      </c>
      <c r="AY791" s="81" t="s">
        <v>5721</v>
      </c>
      <c r="AZ791" s="81" t="s">
        <v>5557</v>
      </c>
      <c r="BA791" s="81" t="s">
        <v>5773</v>
      </c>
      <c r="BB791" s="81" t="s">
        <v>5773</v>
      </c>
      <c r="BC791" s="81" t="s">
        <v>5557</v>
      </c>
      <c r="BD791" s="77">
        <v>297885438</v>
      </c>
      <c r="BE791" s="77"/>
      <c r="BF791" s="77"/>
      <c r="BG791" s="77"/>
      <c r="BH791" s="77"/>
      <c r="BI791" s="77"/>
    </row>
    <row r="792" spans="1:61" ht="15">
      <c r="A792" s="62" t="s">
        <v>299</v>
      </c>
      <c r="B792" s="62" t="s">
        <v>299</v>
      </c>
      <c r="C792" s="63"/>
      <c r="D792" s="64"/>
      <c r="E792" s="65"/>
      <c r="F792" s="66"/>
      <c r="G792" s="63"/>
      <c r="H792" s="67"/>
      <c r="I792" s="68"/>
      <c r="J792" s="68"/>
      <c r="K792" s="32" t="s">
        <v>65</v>
      </c>
      <c r="L792" s="75">
        <v>792</v>
      </c>
      <c r="M792" s="75"/>
      <c r="N792" s="70"/>
      <c r="O792" s="77" t="s">
        <v>179</v>
      </c>
      <c r="P792" s="79">
        <v>45267.838796296295</v>
      </c>
      <c r="Q792" s="77" t="s">
        <v>1189</v>
      </c>
      <c r="R792" s="77">
        <v>0</v>
      </c>
      <c r="S792" s="77">
        <v>0</v>
      </c>
      <c r="T792" s="77">
        <v>0</v>
      </c>
      <c r="U792" s="77">
        <v>0</v>
      </c>
      <c r="V792" s="77">
        <v>6</v>
      </c>
      <c r="W792" s="81" t="s">
        <v>1871</v>
      </c>
      <c r="X792" s="80" t="str">
        <f>HYPERLINK("https://inovies.com")</f>
        <v>https://inovies.com</v>
      </c>
      <c r="Y792" s="77" t="s">
        <v>1982</v>
      </c>
      <c r="Z792" s="77"/>
      <c r="AA792" s="77" t="s">
        <v>2339</v>
      </c>
      <c r="AB792" s="77" t="s">
        <v>2696</v>
      </c>
      <c r="AC792" s="81" t="s">
        <v>2707</v>
      </c>
      <c r="AD792" s="77" t="s">
        <v>2752</v>
      </c>
      <c r="AE792" s="80" t="str">
        <f>HYPERLINK("https://twitter.com/inovies/status/1732854457241637085")</f>
        <v>https://twitter.com/inovies/status/1732854457241637085</v>
      </c>
      <c r="AF792" s="79">
        <v>45267.838796296295</v>
      </c>
      <c r="AG792" s="85">
        <v>45267</v>
      </c>
      <c r="AH792" s="81" t="s">
        <v>3391</v>
      </c>
      <c r="AI792" s="77" t="b">
        <v>0</v>
      </c>
      <c r="AJ792" s="77"/>
      <c r="AK792" s="77"/>
      <c r="AL792" s="77"/>
      <c r="AM792" s="77"/>
      <c r="AN792" s="77"/>
      <c r="AO792" s="77"/>
      <c r="AP792" s="77"/>
      <c r="AQ792" s="77" t="s">
        <v>4153</v>
      </c>
      <c r="AR792" s="77"/>
      <c r="AS792" s="77"/>
      <c r="AT792" s="77"/>
      <c r="AU792" s="77"/>
      <c r="AV792" s="80" t="str">
        <f>HYPERLINK("https://pbs.twimg.com/media/GAxV74KW0AAEpei.jpg")</f>
        <v>https://pbs.twimg.com/media/GAxV74KW0AAEpei.jpg</v>
      </c>
      <c r="AW792" s="81" t="s">
        <v>5138</v>
      </c>
      <c r="AX792" s="81" t="s">
        <v>5138</v>
      </c>
      <c r="AY792" s="77"/>
      <c r="AZ792" s="81" t="s">
        <v>5773</v>
      </c>
      <c r="BA792" s="81" t="s">
        <v>5773</v>
      </c>
      <c r="BB792" s="81" t="s">
        <v>5773</v>
      </c>
      <c r="BC792" s="81" t="s">
        <v>5138</v>
      </c>
      <c r="BD792" s="77">
        <v>297885438</v>
      </c>
      <c r="BE792" s="77"/>
      <c r="BF792" s="77"/>
      <c r="BG792" s="77"/>
      <c r="BH792" s="77"/>
      <c r="BI792" s="77"/>
    </row>
    <row r="793" spans="1:61" ht="15">
      <c r="A793" s="62" t="s">
        <v>299</v>
      </c>
      <c r="B793" s="62" t="s">
        <v>299</v>
      </c>
      <c r="C793" s="63"/>
      <c r="D793" s="64"/>
      <c r="E793" s="65"/>
      <c r="F793" s="66"/>
      <c r="G793" s="63"/>
      <c r="H793" s="67"/>
      <c r="I793" s="68"/>
      <c r="J793" s="68"/>
      <c r="K793" s="32" t="s">
        <v>65</v>
      </c>
      <c r="L793" s="75">
        <v>793</v>
      </c>
      <c r="M793" s="75"/>
      <c r="N793" s="70"/>
      <c r="O793" s="77" t="s">
        <v>179</v>
      </c>
      <c r="P793" s="79">
        <v>45267.83834490741</v>
      </c>
      <c r="Q793" s="77" t="s">
        <v>1190</v>
      </c>
      <c r="R793" s="77">
        <v>0</v>
      </c>
      <c r="S793" s="77">
        <v>0</v>
      </c>
      <c r="T793" s="77">
        <v>0</v>
      </c>
      <c r="U793" s="77">
        <v>0</v>
      </c>
      <c r="V793" s="77">
        <v>6</v>
      </c>
      <c r="W793" s="81" t="s">
        <v>1871</v>
      </c>
      <c r="X793" s="80" t="str">
        <f>HYPERLINK("https://inovies.com")</f>
        <v>https://inovies.com</v>
      </c>
      <c r="Y793" s="77" t="s">
        <v>1982</v>
      </c>
      <c r="Z793" s="77"/>
      <c r="AA793" s="77" t="s">
        <v>2340</v>
      </c>
      <c r="AB793" s="77" t="s">
        <v>2696</v>
      </c>
      <c r="AC793" s="81" t="s">
        <v>2707</v>
      </c>
      <c r="AD793" s="77" t="s">
        <v>2752</v>
      </c>
      <c r="AE793" s="80" t="str">
        <f>HYPERLINK("https://twitter.com/inovies/status/1732854296520114591")</f>
        <v>https://twitter.com/inovies/status/1732854296520114591</v>
      </c>
      <c r="AF793" s="79">
        <v>45267.83834490741</v>
      </c>
      <c r="AG793" s="85">
        <v>45267</v>
      </c>
      <c r="AH793" s="81" t="s">
        <v>3392</v>
      </c>
      <c r="AI793" s="77" t="b">
        <v>0</v>
      </c>
      <c r="AJ793" s="77"/>
      <c r="AK793" s="77"/>
      <c r="AL793" s="77"/>
      <c r="AM793" s="77"/>
      <c r="AN793" s="77"/>
      <c r="AO793" s="77"/>
      <c r="AP793" s="77"/>
      <c r="AQ793" s="77" t="s">
        <v>4154</v>
      </c>
      <c r="AR793" s="77"/>
      <c r="AS793" s="77"/>
      <c r="AT793" s="77"/>
      <c r="AU793" s="77"/>
      <c r="AV793" s="80" t="str">
        <f>HYPERLINK("https://pbs.twimg.com/media/GAxVyqhXYAAwpR2.jpg")</f>
        <v>https://pbs.twimg.com/media/GAxVyqhXYAAwpR2.jpg</v>
      </c>
      <c r="AW793" s="81" t="s">
        <v>5139</v>
      </c>
      <c r="AX793" s="81" t="s">
        <v>5139</v>
      </c>
      <c r="AY793" s="77"/>
      <c r="AZ793" s="81" t="s">
        <v>5773</v>
      </c>
      <c r="BA793" s="81" t="s">
        <v>5773</v>
      </c>
      <c r="BB793" s="81" t="s">
        <v>5773</v>
      </c>
      <c r="BC793" s="81" t="s">
        <v>5139</v>
      </c>
      <c r="BD793" s="77">
        <v>297885438</v>
      </c>
      <c r="BE793" s="77"/>
      <c r="BF793" s="77"/>
      <c r="BG793" s="77"/>
      <c r="BH793" s="77"/>
      <c r="BI793" s="77"/>
    </row>
    <row r="794" spans="1:61" ht="15">
      <c r="A794" s="62" t="s">
        <v>299</v>
      </c>
      <c r="B794" s="62" t="s">
        <v>299</v>
      </c>
      <c r="C794" s="63"/>
      <c r="D794" s="64"/>
      <c r="E794" s="65"/>
      <c r="F794" s="66"/>
      <c r="G794" s="63"/>
      <c r="H794" s="67"/>
      <c r="I794" s="68"/>
      <c r="J794" s="68"/>
      <c r="K794" s="32" t="s">
        <v>65</v>
      </c>
      <c r="L794" s="75">
        <v>794</v>
      </c>
      <c r="M794" s="75"/>
      <c r="N794" s="70"/>
      <c r="O794" s="77" t="s">
        <v>179</v>
      </c>
      <c r="P794" s="79">
        <v>45267.83777777778</v>
      </c>
      <c r="Q794" s="77" t="s">
        <v>1191</v>
      </c>
      <c r="R794" s="77">
        <v>0</v>
      </c>
      <c r="S794" s="77">
        <v>0</v>
      </c>
      <c r="T794" s="77">
        <v>0</v>
      </c>
      <c r="U794" s="77">
        <v>0</v>
      </c>
      <c r="V794" s="77">
        <v>6</v>
      </c>
      <c r="W794" s="81" t="s">
        <v>1871</v>
      </c>
      <c r="X794" s="80" t="str">
        <f>HYPERLINK("https://inovies.com")</f>
        <v>https://inovies.com</v>
      </c>
      <c r="Y794" s="77" t="s">
        <v>1982</v>
      </c>
      <c r="Z794" s="77"/>
      <c r="AA794" s="77" t="s">
        <v>2341</v>
      </c>
      <c r="AB794" s="77" t="s">
        <v>2696</v>
      </c>
      <c r="AC794" s="81" t="s">
        <v>2707</v>
      </c>
      <c r="AD794" s="77" t="s">
        <v>2752</v>
      </c>
      <c r="AE794" s="80" t="str">
        <f>HYPERLINK("https://twitter.com/inovies/status/1732854091011817682")</f>
        <v>https://twitter.com/inovies/status/1732854091011817682</v>
      </c>
      <c r="AF794" s="79">
        <v>45267.83777777778</v>
      </c>
      <c r="AG794" s="85">
        <v>45267</v>
      </c>
      <c r="AH794" s="81" t="s">
        <v>3393</v>
      </c>
      <c r="AI794" s="77" t="b">
        <v>0</v>
      </c>
      <c r="AJ794" s="77"/>
      <c r="AK794" s="77"/>
      <c r="AL794" s="77"/>
      <c r="AM794" s="77"/>
      <c r="AN794" s="77"/>
      <c r="AO794" s="77"/>
      <c r="AP794" s="77"/>
      <c r="AQ794" s="77" t="s">
        <v>4155</v>
      </c>
      <c r="AR794" s="77"/>
      <c r="AS794" s="77"/>
      <c r="AT794" s="77"/>
      <c r="AU794" s="77"/>
      <c r="AV794" s="80" t="str">
        <f>HYPERLINK("https://pbs.twimg.com/media/GAxVmW_WIAAA8lp.jpg")</f>
        <v>https://pbs.twimg.com/media/GAxVmW_WIAAA8lp.jpg</v>
      </c>
      <c r="AW794" s="81" t="s">
        <v>5140</v>
      </c>
      <c r="AX794" s="81" t="s">
        <v>5140</v>
      </c>
      <c r="AY794" s="77"/>
      <c r="AZ794" s="81" t="s">
        <v>5773</v>
      </c>
      <c r="BA794" s="81" t="s">
        <v>5773</v>
      </c>
      <c r="BB794" s="81" t="s">
        <v>5773</v>
      </c>
      <c r="BC794" s="81" t="s">
        <v>5140</v>
      </c>
      <c r="BD794" s="77">
        <v>297885438</v>
      </c>
      <c r="BE794" s="77"/>
      <c r="BF794" s="77"/>
      <c r="BG794" s="77"/>
      <c r="BH794" s="77"/>
      <c r="BI794" s="77"/>
    </row>
    <row r="795" spans="1:61" ht="15">
      <c r="A795" s="62" t="s">
        <v>299</v>
      </c>
      <c r="B795" s="62" t="s">
        <v>299</v>
      </c>
      <c r="C795" s="63"/>
      <c r="D795" s="64"/>
      <c r="E795" s="65"/>
      <c r="F795" s="66"/>
      <c r="G795" s="63"/>
      <c r="H795" s="67"/>
      <c r="I795" s="68"/>
      <c r="J795" s="68"/>
      <c r="K795" s="32" t="s">
        <v>65</v>
      </c>
      <c r="L795" s="75">
        <v>795</v>
      </c>
      <c r="M795" s="75"/>
      <c r="N795" s="70"/>
      <c r="O795" s="77" t="s">
        <v>179</v>
      </c>
      <c r="P795" s="79">
        <v>45267.83692129629</v>
      </c>
      <c r="Q795" s="77" t="s">
        <v>1192</v>
      </c>
      <c r="R795" s="77">
        <v>0</v>
      </c>
      <c r="S795" s="77">
        <v>0</v>
      </c>
      <c r="T795" s="77">
        <v>0</v>
      </c>
      <c r="U795" s="77">
        <v>0</v>
      </c>
      <c r="V795" s="77">
        <v>7</v>
      </c>
      <c r="W795" s="81" t="s">
        <v>1871</v>
      </c>
      <c r="X795" s="80" t="str">
        <f>HYPERLINK("https://inovies.com")</f>
        <v>https://inovies.com</v>
      </c>
      <c r="Y795" s="77" t="s">
        <v>1982</v>
      </c>
      <c r="Z795" s="77"/>
      <c r="AA795" s="77" t="s">
        <v>2342</v>
      </c>
      <c r="AB795" s="77" t="s">
        <v>2696</v>
      </c>
      <c r="AC795" s="81" t="s">
        <v>2707</v>
      </c>
      <c r="AD795" s="77" t="s">
        <v>2752</v>
      </c>
      <c r="AE795" s="80" t="str">
        <f>HYPERLINK("https://twitter.com/inovies/status/1732853778876088352")</f>
        <v>https://twitter.com/inovies/status/1732853778876088352</v>
      </c>
      <c r="AF795" s="79">
        <v>45267.83692129629</v>
      </c>
      <c r="AG795" s="85">
        <v>45267</v>
      </c>
      <c r="AH795" s="81" t="s">
        <v>3394</v>
      </c>
      <c r="AI795" s="77" t="b">
        <v>0</v>
      </c>
      <c r="AJ795" s="77"/>
      <c r="AK795" s="77"/>
      <c r="AL795" s="77"/>
      <c r="AM795" s="77"/>
      <c r="AN795" s="77"/>
      <c r="AO795" s="77"/>
      <c r="AP795" s="77"/>
      <c r="AQ795" s="77" t="s">
        <v>4156</v>
      </c>
      <c r="AR795" s="77"/>
      <c r="AS795" s="77"/>
      <c r="AT795" s="77"/>
      <c r="AU795" s="77"/>
      <c r="AV795" s="80" t="str">
        <f>HYPERLINK("https://pbs.twimg.com/media/GAxVUdpXcAA6NBk.jpg")</f>
        <v>https://pbs.twimg.com/media/GAxVUdpXcAA6NBk.jpg</v>
      </c>
      <c r="AW795" s="81" t="s">
        <v>5141</v>
      </c>
      <c r="AX795" s="81" t="s">
        <v>5141</v>
      </c>
      <c r="AY795" s="77"/>
      <c r="AZ795" s="81" t="s">
        <v>5773</v>
      </c>
      <c r="BA795" s="81" t="s">
        <v>5773</v>
      </c>
      <c r="BB795" s="81" t="s">
        <v>5773</v>
      </c>
      <c r="BC795" s="81" t="s">
        <v>5141</v>
      </c>
      <c r="BD795" s="77">
        <v>297885438</v>
      </c>
      <c r="BE795" s="77"/>
      <c r="BF795" s="77"/>
      <c r="BG795" s="77"/>
      <c r="BH795" s="77"/>
      <c r="BI795" s="77"/>
    </row>
    <row r="796" spans="1:61" ht="15">
      <c r="A796" s="62" t="s">
        <v>299</v>
      </c>
      <c r="B796" s="62" t="s">
        <v>299</v>
      </c>
      <c r="C796" s="63"/>
      <c r="D796" s="64"/>
      <c r="E796" s="65"/>
      <c r="F796" s="66"/>
      <c r="G796" s="63"/>
      <c r="H796" s="67"/>
      <c r="I796" s="68"/>
      <c r="J796" s="68"/>
      <c r="K796" s="32" t="s">
        <v>65</v>
      </c>
      <c r="L796" s="75">
        <v>796</v>
      </c>
      <c r="M796" s="75"/>
      <c r="N796" s="70"/>
      <c r="O796" s="77" t="s">
        <v>179</v>
      </c>
      <c r="P796" s="79">
        <v>45267.810844907406</v>
      </c>
      <c r="Q796" s="77" t="s">
        <v>1193</v>
      </c>
      <c r="R796" s="77">
        <v>0</v>
      </c>
      <c r="S796" s="77">
        <v>0</v>
      </c>
      <c r="T796" s="77">
        <v>0</v>
      </c>
      <c r="U796" s="77">
        <v>0</v>
      </c>
      <c r="V796" s="77">
        <v>7</v>
      </c>
      <c r="W796" s="81" t="s">
        <v>1871</v>
      </c>
      <c r="X796" s="80" t="str">
        <f>HYPERLINK("https://inovies.com")</f>
        <v>https://inovies.com</v>
      </c>
      <c r="Y796" s="77" t="s">
        <v>1982</v>
      </c>
      <c r="Z796" s="77"/>
      <c r="AA796" s="77" t="s">
        <v>2343</v>
      </c>
      <c r="AB796" s="77" t="s">
        <v>2696</v>
      </c>
      <c r="AC796" s="81" t="s">
        <v>2707</v>
      </c>
      <c r="AD796" s="77" t="s">
        <v>2752</v>
      </c>
      <c r="AE796" s="80" t="str">
        <f>HYPERLINK("https://twitter.com/inovies/status/1732844330958704857")</f>
        <v>https://twitter.com/inovies/status/1732844330958704857</v>
      </c>
      <c r="AF796" s="79">
        <v>45267.810844907406</v>
      </c>
      <c r="AG796" s="85">
        <v>45267</v>
      </c>
      <c r="AH796" s="81" t="s">
        <v>3395</v>
      </c>
      <c r="AI796" s="77" t="b">
        <v>0</v>
      </c>
      <c r="AJ796" s="77"/>
      <c r="AK796" s="77"/>
      <c r="AL796" s="77"/>
      <c r="AM796" s="77"/>
      <c r="AN796" s="77"/>
      <c r="AO796" s="77"/>
      <c r="AP796" s="77"/>
      <c r="AQ796" s="77" t="s">
        <v>4157</v>
      </c>
      <c r="AR796" s="77"/>
      <c r="AS796" s="77"/>
      <c r="AT796" s="77"/>
      <c r="AU796" s="77"/>
      <c r="AV796" s="80" t="str">
        <f>HYPERLINK("https://pbs.twimg.com/media/GAxMt_GXAAEIzTA.jpg")</f>
        <v>https://pbs.twimg.com/media/GAxMt_GXAAEIzTA.jpg</v>
      </c>
      <c r="AW796" s="81" t="s">
        <v>5142</v>
      </c>
      <c r="AX796" s="81" t="s">
        <v>5142</v>
      </c>
      <c r="AY796" s="77"/>
      <c r="AZ796" s="81" t="s">
        <v>5773</v>
      </c>
      <c r="BA796" s="81" t="s">
        <v>5773</v>
      </c>
      <c r="BB796" s="81" t="s">
        <v>5773</v>
      </c>
      <c r="BC796" s="81" t="s">
        <v>5142</v>
      </c>
      <c r="BD796" s="77">
        <v>297885438</v>
      </c>
      <c r="BE796" s="77"/>
      <c r="BF796" s="77"/>
      <c r="BG796" s="77"/>
      <c r="BH796" s="77"/>
      <c r="BI796" s="77"/>
    </row>
    <row r="797" spans="1:61" ht="15">
      <c r="A797" s="62" t="s">
        <v>299</v>
      </c>
      <c r="B797" s="62" t="s">
        <v>299</v>
      </c>
      <c r="C797" s="63"/>
      <c r="D797" s="64"/>
      <c r="E797" s="65"/>
      <c r="F797" s="66"/>
      <c r="G797" s="63"/>
      <c r="H797" s="67"/>
      <c r="I797" s="68"/>
      <c r="J797" s="68"/>
      <c r="K797" s="32" t="s">
        <v>65</v>
      </c>
      <c r="L797" s="75">
        <v>797</v>
      </c>
      <c r="M797" s="75"/>
      <c r="N797" s="70"/>
      <c r="O797" s="77" t="s">
        <v>179</v>
      </c>
      <c r="P797" s="79">
        <v>45267.81040509259</v>
      </c>
      <c r="Q797" s="77" t="s">
        <v>1194</v>
      </c>
      <c r="R797" s="77">
        <v>0</v>
      </c>
      <c r="S797" s="77">
        <v>0</v>
      </c>
      <c r="T797" s="77">
        <v>0</v>
      </c>
      <c r="U797" s="77">
        <v>0</v>
      </c>
      <c r="V797" s="77">
        <v>7</v>
      </c>
      <c r="W797" s="81" t="s">
        <v>1871</v>
      </c>
      <c r="X797" s="80" t="str">
        <f>HYPERLINK("https://inovies.com")</f>
        <v>https://inovies.com</v>
      </c>
      <c r="Y797" s="77" t="s">
        <v>1982</v>
      </c>
      <c r="Z797" s="77"/>
      <c r="AA797" s="77" t="s">
        <v>2344</v>
      </c>
      <c r="AB797" s="77" t="s">
        <v>2696</v>
      </c>
      <c r="AC797" s="81" t="s">
        <v>2707</v>
      </c>
      <c r="AD797" s="77" t="s">
        <v>2752</v>
      </c>
      <c r="AE797" s="80" t="str">
        <f>HYPERLINK("https://twitter.com/inovies/status/1732844169637269555")</f>
        <v>https://twitter.com/inovies/status/1732844169637269555</v>
      </c>
      <c r="AF797" s="79">
        <v>45267.81040509259</v>
      </c>
      <c r="AG797" s="85">
        <v>45267</v>
      </c>
      <c r="AH797" s="81" t="s">
        <v>3396</v>
      </c>
      <c r="AI797" s="77" t="b">
        <v>0</v>
      </c>
      <c r="AJ797" s="77"/>
      <c r="AK797" s="77"/>
      <c r="AL797" s="77"/>
      <c r="AM797" s="77"/>
      <c r="AN797" s="77"/>
      <c r="AO797" s="77"/>
      <c r="AP797" s="77"/>
      <c r="AQ797" s="77" t="s">
        <v>4158</v>
      </c>
      <c r="AR797" s="77"/>
      <c r="AS797" s="77"/>
      <c r="AT797" s="77"/>
      <c r="AU797" s="77"/>
      <c r="AV797" s="80" t="str">
        <f>HYPERLINK("https://pbs.twimg.com/media/GAxMlO-WUAAslGb.jpg")</f>
        <v>https://pbs.twimg.com/media/GAxMlO-WUAAslGb.jpg</v>
      </c>
      <c r="AW797" s="81" t="s">
        <v>5143</v>
      </c>
      <c r="AX797" s="81" t="s">
        <v>5143</v>
      </c>
      <c r="AY797" s="77"/>
      <c r="AZ797" s="81" t="s">
        <v>5773</v>
      </c>
      <c r="BA797" s="81" t="s">
        <v>5773</v>
      </c>
      <c r="BB797" s="81" t="s">
        <v>5773</v>
      </c>
      <c r="BC797" s="81" t="s">
        <v>5143</v>
      </c>
      <c r="BD797" s="77">
        <v>297885438</v>
      </c>
      <c r="BE797" s="77"/>
      <c r="BF797" s="77"/>
      <c r="BG797" s="77"/>
      <c r="BH797" s="77"/>
      <c r="BI797" s="77"/>
    </row>
    <row r="798" spans="1:61" ht="15">
      <c r="A798" s="62" t="s">
        <v>299</v>
      </c>
      <c r="B798" s="62" t="s">
        <v>299</v>
      </c>
      <c r="C798" s="63"/>
      <c r="D798" s="64"/>
      <c r="E798" s="65"/>
      <c r="F798" s="66"/>
      <c r="G798" s="63"/>
      <c r="H798" s="67"/>
      <c r="I798" s="68"/>
      <c r="J798" s="68"/>
      <c r="K798" s="32" t="s">
        <v>65</v>
      </c>
      <c r="L798" s="75">
        <v>798</v>
      </c>
      <c r="M798" s="75"/>
      <c r="N798" s="70"/>
      <c r="O798" s="77" t="s">
        <v>179</v>
      </c>
      <c r="P798" s="79">
        <v>45267.80997685185</v>
      </c>
      <c r="Q798" s="77" t="s">
        <v>1195</v>
      </c>
      <c r="R798" s="77">
        <v>0</v>
      </c>
      <c r="S798" s="77">
        <v>0</v>
      </c>
      <c r="T798" s="77">
        <v>0</v>
      </c>
      <c r="U798" s="77">
        <v>0</v>
      </c>
      <c r="V798" s="77">
        <v>7</v>
      </c>
      <c r="W798" s="81" t="s">
        <v>1871</v>
      </c>
      <c r="X798" s="80" t="str">
        <f>HYPERLINK("https://inovies.com")</f>
        <v>https://inovies.com</v>
      </c>
      <c r="Y798" s="77" t="s">
        <v>1982</v>
      </c>
      <c r="Z798" s="77"/>
      <c r="AA798" s="77" t="s">
        <v>2345</v>
      </c>
      <c r="AB798" s="77" t="s">
        <v>2696</v>
      </c>
      <c r="AC798" s="81" t="s">
        <v>2707</v>
      </c>
      <c r="AD798" s="77" t="s">
        <v>2752</v>
      </c>
      <c r="AE798" s="80" t="str">
        <f>HYPERLINK("https://twitter.com/inovies/status/1732844014838100160")</f>
        <v>https://twitter.com/inovies/status/1732844014838100160</v>
      </c>
      <c r="AF798" s="79">
        <v>45267.80997685185</v>
      </c>
      <c r="AG798" s="85">
        <v>45267</v>
      </c>
      <c r="AH798" s="81" t="s">
        <v>3397</v>
      </c>
      <c r="AI798" s="77" t="b">
        <v>0</v>
      </c>
      <c r="AJ798" s="77"/>
      <c r="AK798" s="77"/>
      <c r="AL798" s="77"/>
      <c r="AM798" s="77"/>
      <c r="AN798" s="77"/>
      <c r="AO798" s="77"/>
      <c r="AP798" s="77"/>
      <c r="AQ798" s="77" t="s">
        <v>4159</v>
      </c>
      <c r="AR798" s="77"/>
      <c r="AS798" s="77"/>
      <c r="AT798" s="77"/>
      <c r="AU798" s="77"/>
      <c r="AV798" s="80" t="str">
        <f>HYPERLINK("https://pbs.twimg.com/media/GAxMcJ0XQAEKtaK.jpg")</f>
        <v>https://pbs.twimg.com/media/GAxMcJ0XQAEKtaK.jpg</v>
      </c>
      <c r="AW798" s="81" t="s">
        <v>5144</v>
      </c>
      <c r="AX798" s="81" t="s">
        <v>5144</v>
      </c>
      <c r="AY798" s="77"/>
      <c r="AZ798" s="81" t="s">
        <v>5773</v>
      </c>
      <c r="BA798" s="81" t="s">
        <v>5773</v>
      </c>
      <c r="BB798" s="81" t="s">
        <v>5773</v>
      </c>
      <c r="BC798" s="81" t="s">
        <v>5144</v>
      </c>
      <c r="BD798" s="77">
        <v>297885438</v>
      </c>
      <c r="BE798" s="77"/>
      <c r="BF798" s="77"/>
      <c r="BG798" s="77"/>
      <c r="BH798" s="77"/>
      <c r="BI798" s="77"/>
    </row>
    <row r="799" spans="1:61" ht="15">
      <c r="A799" s="62" t="s">
        <v>299</v>
      </c>
      <c r="B799" s="62" t="s">
        <v>299</v>
      </c>
      <c r="C799" s="63"/>
      <c r="D799" s="64"/>
      <c r="E799" s="65"/>
      <c r="F799" s="66"/>
      <c r="G799" s="63"/>
      <c r="H799" s="67"/>
      <c r="I799" s="68"/>
      <c r="J799" s="68"/>
      <c r="K799" s="32" t="s">
        <v>65</v>
      </c>
      <c r="L799" s="75">
        <v>799</v>
      </c>
      <c r="M799" s="75"/>
      <c r="N799" s="70"/>
      <c r="O799" s="77" t="s">
        <v>179</v>
      </c>
      <c r="P799" s="79">
        <v>45267.80957175926</v>
      </c>
      <c r="Q799" s="77" t="s">
        <v>1196</v>
      </c>
      <c r="R799" s="77">
        <v>0</v>
      </c>
      <c r="S799" s="77">
        <v>0</v>
      </c>
      <c r="T799" s="77">
        <v>0</v>
      </c>
      <c r="U799" s="77">
        <v>0</v>
      </c>
      <c r="V799" s="77">
        <v>8</v>
      </c>
      <c r="W799" s="81" t="s">
        <v>1871</v>
      </c>
      <c r="X799" s="80" t="str">
        <f>HYPERLINK("https://inovies.com")</f>
        <v>https://inovies.com</v>
      </c>
      <c r="Y799" s="77" t="s">
        <v>1982</v>
      </c>
      <c r="Z799" s="77"/>
      <c r="AA799" s="77" t="s">
        <v>2346</v>
      </c>
      <c r="AB799" s="77" t="s">
        <v>2696</v>
      </c>
      <c r="AC799" s="81" t="s">
        <v>2707</v>
      </c>
      <c r="AD799" s="77" t="s">
        <v>2752</v>
      </c>
      <c r="AE799" s="80" t="str">
        <f>HYPERLINK("https://twitter.com/inovies/status/1732843867660013862")</f>
        <v>https://twitter.com/inovies/status/1732843867660013862</v>
      </c>
      <c r="AF799" s="79">
        <v>45267.80957175926</v>
      </c>
      <c r="AG799" s="85">
        <v>45267</v>
      </c>
      <c r="AH799" s="81" t="s">
        <v>3398</v>
      </c>
      <c r="AI799" s="77" t="b">
        <v>0</v>
      </c>
      <c r="AJ799" s="77"/>
      <c r="AK799" s="77"/>
      <c r="AL799" s="77"/>
      <c r="AM799" s="77"/>
      <c r="AN799" s="77"/>
      <c r="AO799" s="77"/>
      <c r="AP799" s="77"/>
      <c r="AQ799" s="77" t="s">
        <v>4160</v>
      </c>
      <c r="AR799" s="77"/>
      <c r="AS799" s="77"/>
      <c r="AT799" s="77"/>
      <c r="AU799" s="77"/>
      <c r="AV799" s="80" t="str">
        <f>HYPERLINK("https://pbs.twimg.com/media/GAxMTj8XwAEArjd.jpg")</f>
        <v>https://pbs.twimg.com/media/GAxMTj8XwAEArjd.jpg</v>
      </c>
      <c r="AW799" s="81" t="s">
        <v>5145</v>
      </c>
      <c r="AX799" s="81" t="s">
        <v>5145</v>
      </c>
      <c r="AY799" s="77"/>
      <c r="AZ799" s="81" t="s">
        <v>5773</v>
      </c>
      <c r="BA799" s="81" t="s">
        <v>5773</v>
      </c>
      <c r="BB799" s="81" t="s">
        <v>5773</v>
      </c>
      <c r="BC799" s="81" t="s">
        <v>5145</v>
      </c>
      <c r="BD799" s="77">
        <v>297885438</v>
      </c>
      <c r="BE799" s="77"/>
      <c r="BF799" s="77"/>
      <c r="BG799" s="77"/>
      <c r="BH799" s="77"/>
      <c r="BI799" s="77"/>
    </row>
    <row r="800" spans="1:61" ht="15">
      <c r="A800" s="62" t="s">
        <v>299</v>
      </c>
      <c r="B800" s="62" t="s">
        <v>299</v>
      </c>
      <c r="C800" s="63"/>
      <c r="D800" s="64"/>
      <c r="E800" s="65"/>
      <c r="F800" s="66"/>
      <c r="G800" s="63"/>
      <c r="H800" s="67"/>
      <c r="I800" s="68"/>
      <c r="J800" s="68"/>
      <c r="K800" s="32" t="s">
        <v>65</v>
      </c>
      <c r="L800" s="75">
        <v>800</v>
      </c>
      <c r="M800" s="75"/>
      <c r="N800" s="70"/>
      <c r="O800" s="77" t="s">
        <v>179</v>
      </c>
      <c r="P800" s="79">
        <v>45267.808958333335</v>
      </c>
      <c r="Q800" s="77" t="s">
        <v>1197</v>
      </c>
      <c r="R800" s="77">
        <v>0</v>
      </c>
      <c r="S800" s="77">
        <v>0</v>
      </c>
      <c r="T800" s="77">
        <v>0</v>
      </c>
      <c r="U800" s="77">
        <v>0</v>
      </c>
      <c r="V800" s="77">
        <v>7</v>
      </c>
      <c r="W800" s="81" t="s">
        <v>1871</v>
      </c>
      <c r="X800" s="80" t="str">
        <f>HYPERLINK("https://inovies.com")</f>
        <v>https://inovies.com</v>
      </c>
      <c r="Y800" s="77" t="s">
        <v>1982</v>
      </c>
      <c r="Z800" s="77"/>
      <c r="AA800" s="77" t="s">
        <v>2347</v>
      </c>
      <c r="AB800" s="77" t="s">
        <v>2696</v>
      </c>
      <c r="AC800" s="81" t="s">
        <v>2707</v>
      </c>
      <c r="AD800" s="77" t="s">
        <v>2752</v>
      </c>
      <c r="AE800" s="80" t="str">
        <f>HYPERLINK("https://twitter.com/inovies/status/1732843647370928216")</f>
        <v>https://twitter.com/inovies/status/1732843647370928216</v>
      </c>
      <c r="AF800" s="79">
        <v>45267.808958333335</v>
      </c>
      <c r="AG800" s="85">
        <v>45267</v>
      </c>
      <c r="AH800" s="81" t="s">
        <v>3399</v>
      </c>
      <c r="AI800" s="77" t="b">
        <v>0</v>
      </c>
      <c r="AJ800" s="77"/>
      <c r="AK800" s="77"/>
      <c r="AL800" s="77"/>
      <c r="AM800" s="77"/>
      <c r="AN800" s="77"/>
      <c r="AO800" s="77"/>
      <c r="AP800" s="77"/>
      <c r="AQ800" s="77" t="s">
        <v>4161</v>
      </c>
      <c r="AR800" s="77"/>
      <c r="AS800" s="77"/>
      <c r="AT800" s="77"/>
      <c r="AU800" s="77"/>
      <c r="AV800" s="80" t="str">
        <f>HYPERLINK("https://pbs.twimg.com/media/GAxMG14WoAAHYZ2.jpg")</f>
        <v>https://pbs.twimg.com/media/GAxMG14WoAAHYZ2.jpg</v>
      </c>
      <c r="AW800" s="81" t="s">
        <v>5146</v>
      </c>
      <c r="AX800" s="81" t="s">
        <v>5146</v>
      </c>
      <c r="AY800" s="77"/>
      <c r="AZ800" s="81" t="s">
        <v>5773</v>
      </c>
      <c r="BA800" s="81" t="s">
        <v>5773</v>
      </c>
      <c r="BB800" s="81" t="s">
        <v>5773</v>
      </c>
      <c r="BC800" s="81" t="s">
        <v>5146</v>
      </c>
      <c r="BD800" s="77">
        <v>297885438</v>
      </c>
      <c r="BE800" s="77"/>
      <c r="BF800" s="77"/>
      <c r="BG800" s="77"/>
      <c r="BH800" s="77"/>
      <c r="BI800" s="77"/>
    </row>
    <row r="801" spans="1:61" ht="15">
      <c r="A801" s="62" t="s">
        <v>299</v>
      </c>
      <c r="B801" s="62" t="s">
        <v>299</v>
      </c>
      <c r="C801" s="63"/>
      <c r="D801" s="64"/>
      <c r="E801" s="65"/>
      <c r="F801" s="66"/>
      <c r="G801" s="63"/>
      <c r="H801" s="67"/>
      <c r="I801" s="68"/>
      <c r="J801" s="68"/>
      <c r="K801" s="32" t="s">
        <v>65</v>
      </c>
      <c r="L801" s="75">
        <v>801</v>
      </c>
      <c r="M801" s="75"/>
      <c r="N801" s="70"/>
      <c r="O801" s="77" t="s">
        <v>179</v>
      </c>
      <c r="P801" s="79">
        <v>45267.80857638889</v>
      </c>
      <c r="Q801" s="77" t="s">
        <v>1198</v>
      </c>
      <c r="R801" s="77">
        <v>0</v>
      </c>
      <c r="S801" s="77">
        <v>0</v>
      </c>
      <c r="T801" s="77">
        <v>0</v>
      </c>
      <c r="U801" s="77">
        <v>0</v>
      </c>
      <c r="V801" s="77">
        <v>8</v>
      </c>
      <c r="W801" s="81" t="s">
        <v>1871</v>
      </c>
      <c r="X801" s="80" t="str">
        <f>HYPERLINK("https://inovies.com")</f>
        <v>https://inovies.com</v>
      </c>
      <c r="Y801" s="77" t="s">
        <v>1982</v>
      </c>
      <c r="Z801" s="77"/>
      <c r="AA801" s="77" t="s">
        <v>2348</v>
      </c>
      <c r="AB801" s="77" t="s">
        <v>2696</v>
      </c>
      <c r="AC801" s="81" t="s">
        <v>2707</v>
      </c>
      <c r="AD801" s="77" t="s">
        <v>2752</v>
      </c>
      <c r="AE801" s="80" t="str">
        <f>HYPERLINK("https://twitter.com/inovies/status/1732843506484298161")</f>
        <v>https://twitter.com/inovies/status/1732843506484298161</v>
      </c>
      <c r="AF801" s="79">
        <v>45267.80857638889</v>
      </c>
      <c r="AG801" s="85">
        <v>45267</v>
      </c>
      <c r="AH801" s="81" t="s">
        <v>3400</v>
      </c>
      <c r="AI801" s="77" t="b">
        <v>0</v>
      </c>
      <c r="AJ801" s="77"/>
      <c r="AK801" s="77"/>
      <c r="AL801" s="77"/>
      <c r="AM801" s="77"/>
      <c r="AN801" s="77"/>
      <c r="AO801" s="77"/>
      <c r="AP801" s="77"/>
      <c r="AQ801" s="77" t="s">
        <v>4162</v>
      </c>
      <c r="AR801" s="77"/>
      <c r="AS801" s="77"/>
      <c r="AT801" s="77"/>
      <c r="AU801" s="77"/>
      <c r="AV801" s="80" t="str">
        <f>HYPERLINK("https://pbs.twimg.com/media/GAxL-jUWMAAdiCo.jpg")</f>
        <v>https://pbs.twimg.com/media/GAxL-jUWMAAdiCo.jpg</v>
      </c>
      <c r="AW801" s="81" t="s">
        <v>5147</v>
      </c>
      <c r="AX801" s="81" t="s">
        <v>5147</v>
      </c>
      <c r="AY801" s="77"/>
      <c r="AZ801" s="81" t="s">
        <v>5773</v>
      </c>
      <c r="BA801" s="81" t="s">
        <v>5773</v>
      </c>
      <c r="BB801" s="81" t="s">
        <v>5773</v>
      </c>
      <c r="BC801" s="81" t="s">
        <v>5147</v>
      </c>
      <c r="BD801" s="77">
        <v>297885438</v>
      </c>
      <c r="BE801" s="77"/>
      <c r="BF801" s="77"/>
      <c r="BG801" s="77"/>
      <c r="BH801" s="77"/>
      <c r="BI801" s="77"/>
    </row>
    <row r="802" spans="1:61" ht="15">
      <c r="A802" s="62" t="s">
        <v>299</v>
      </c>
      <c r="B802" s="62" t="s">
        <v>299</v>
      </c>
      <c r="C802" s="63"/>
      <c r="D802" s="64"/>
      <c r="E802" s="65"/>
      <c r="F802" s="66"/>
      <c r="G802" s="63"/>
      <c r="H802" s="67"/>
      <c r="I802" s="68"/>
      <c r="J802" s="68"/>
      <c r="K802" s="32" t="s">
        <v>65</v>
      </c>
      <c r="L802" s="75">
        <v>802</v>
      </c>
      <c r="M802" s="75"/>
      <c r="N802" s="70"/>
      <c r="O802" s="77" t="s">
        <v>179</v>
      </c>
      <c r="P802" s="79">
        <v>45267.808125</v>
      </c>
      <c r="Q802" s="77" t="s">
        <v>1199</v>
      </c>
      <c r="R802" s="77">
        <v>0</v>
      </c>
      <c r="S802" s="77">
        <v>0</v>
      </c>
      <c r="T802" s="77">
        <v>0</v>
      </c>
      <c r="U802" s="77">
        <v>0</v>
      </c>
      <c r="V802" s="77">
        <v>7</v>
      </c>
      <c r="W802" s="81" t="s">
        <v>1871</v>
      </c>
      <c r="X802" s="80" t="str">
        <f>HYPERLINK("https://inovies.com")</f>
        <v>https://inovies.com</v>
      </c>
      <c r="Y802" s="77" t="s">
        <v>1982</v>
      </c>
      <c r="Z802" s="77"/>
      <c r="AA802" s="77" t="s">
        <v>2349</v>
      </c>
      <c r="AB802" s="77" t="s">
        <v>2696</v>
      </c>
      <c r="AC802" s="81" t="s">
        <v>2707</v>
      </c>
      <c r="AD802" s="77" t="s">
        <v>2752</v>
      </c>
      <c r="AE802" s="80" t="str">
        <f>HYPERLINK("https://twitter.com/inovies/status/1732843342638075955")</f>
        <v>https://twitter.com/inovies/status/1732843342638075955</v>
      </c>
      <c r="AF802" s="79">
        <v>45267.808125</v>
      </c>
      <c r="AG802" s="85">
        <v>45267</v>
      </c>
      <c r="AH802" s="81" t="s">
        <v>3401</v>
      </c>
      <c r="AI802" s="77" t="b">
        <v>0</v>
      </c>
      <c r="AJ802" s="77"/>
      <c r="AK802" s="77"/>
      <c r="AL802" s="77"/>
      <c r="AM802" s="77"/>
      <c r="AN802" s="77"/>
      <c r="AO802" s="77"/>
      <c r="AP802" s="77"/>
      <c r="AQ802" s="77" t="s">
        <v>4163</v>
      </c>
      <c r="AR802" s="77"/>
      <c r="AS802" s="77"/>
      <c r="AT802" s="77"/>
      <c r="AU802" s="77"/>
      <c r="AV802" s="80" t="str">
        <f>HYPERLINK("https://pbs.twimg.com/media/GAxL03FXoAA8ACA.jpg")</f>
        <v>https://pbs.twimg.com/media/GAxL03FXoAA8ACA.jpg</v>
      </c>
      <c r="AW802" s="81" t="s">
        <v>5148</v>
      </c>
      <c r="AX802" s="81" t="s">
        <v>5148</v>
      </c>
      <c r="AY802" s="77"/>
      <c r="AZ802" s="81" t="s">
        <v>5773</v>
      </c>
      <c r="BA802" s="81" t="s">
        <v>5773</v>
      </c>
      <c r="BB802" s="81" t="s">
        <v>5773</v>
      </c>
      <c r="BC802" s="81" t="s">
        <v>5148</v>
      </c>
      <c r="BD802" s="77">
        <v>297885438</v>
      </c>
      <c r="BE802" s="77"/>
      <c r="BF802" s="77"/>
      <c r="BG802" s="77"/>
      <c r="BH802" s="77"/>
      <c r="BI802" s="77"/>
    </row>
    <row r="803" spans="1:61" ht="15">
      <c r="A803" s="62" t="s">
        <v>299</v>
      </c>
      <c r="B803" s="62" t="s">
        <v>299</v>
      </c>
      <c r="C803" s="63"/>
      <c r="D803" s="64"/>
      <c r="E803" s="65"/>
      <c r="F803" s="66"/>
      <c r="G803" s="63"/>
      <c r="H803" s="67"/>
      <c r="I803" s="68"/>
      <c r="J803" s="68"/>
      <c r="K803" s="32" t="s">
        <v>65</v>
      </c>
      <c r="L803" s="75">
        <v>803</v>
      </c>
      <c r="M803" s="75"/>
      <c r="N803" s="70"/>
      <c r="O803" s="77" t="s">
        <v>179</v>
      </c>
      <c r="P803" s="79">
        <v>45267.80761574074</v>
      </c>
      <c r="Q803" s="77" t="s">
        <v>1200</v>
      </c>
      <c r="R803" s="77">
        <v>0</v>
      </c>
      <c r="S803" s="77">
        <v>0</v>
      </c>
      <c r="T803" s="77">
        <v>0</v>
      </c>
      <c r="U803" s="77">
        <v>0</v>
      </c>
      <c r="V803" s="77">
        <v>7</v>
      </c>
      <c r="W803" s="81" t="s">
        <v>1871</v>
      </c>
      <c r="X803" s="80" t="str">
        <f>HYPERLINK("https://inovies.com")</f>
        <v>https://inovies.com</v>
      </c>
      <c r="Y803" s="77" t="s">
        <v>1982</v>
      </c>
      <c r="Z803" s="77"/>
      <c r="AA803" s="77" t="s">
        <v>2350</v>
      </c>
      <c r="AB803" s="77" t="s">
        <v>2696</v>
      </c>
      <c r="AC803" s="81" t="s">
        <v>2707</v>
      </c>
      <c r="AD803" s="77" t="s">
        <v>2752</v>
      </c>
      <c r="AE803" s="80" t="str">
        <f>HYPERLINK("https://twitter.com/inovies/status/1732843161309909280")</f>
        <v>https://twitter.com/inovies/status/1732843161309909280</v>
      </c>
      <c r="AF803" s="79">
        <v>45267.80761574074</v>
      </c>
      <c r="AG803" s="85">
        <v>45267</v>
      </c>
      <c r="AH803" s="81" t="s">
        <v>3402</v>
      </c>
      <c r="AI803" s="77" t="b">
        <v>0</v>
      </c>
      <c r="AJ803" s="77"/>
      <c r="AK803" s="77"/>
      <c r="AL803" s="77"/>
      <c r="AM803" s="77"/>
      <c r="AN803" s="77"/>
      <c r="AO803" s="77"/>
      <c r="AP803" s="77"/>
      <c r="AQ803" s="77" t="s">
        <v>4164</v>
      </c>
      <c r="AR803" s="77"/>
      <c r="AS803" s="77"/>
      <c r="AT803" s="77"/>
      <c r="AU803" s="77"/>
      <c r="AV803" s="80" t="str">
        <f>HYPERLINK("https://pbs.twimg.com/media/GAxLqhbXAAApf_2.jpg")</f>
        <v>https://pbs.twimg.com/media/GAxLqhbXAAApf_2.jpg</v>
      </c>
      <c r="AW803" s="81" t="s">
        <v>5149</v>
      </c>
      <c r="AX803" s="81" t="s">
        <v>5149</v>
      </c>
      <c r="AY803" s="77"/>
      <c r="AZ803" s="81" t="s">
        <v>5773</v>
      </c>
      <c r="BA803" s="81" t="s">
        <v>5773</v>
      </c>
      <c r="BB803" s="81" t="s">
        <v>5773</v>
      </c>
      <c r="BC803" s="81" t="s">
        <v>5149</v>
      </c>
      <c r="BD803" s="77">
        <v>297885438</v>
      </c>
      <c r="BE803" s="77"/>
      <c r="BF803" s="77"/>
      <c r="BG803" s="77"/>
      <c r="BH803" s="77"/>
      <c r="BI803" s="77"/>
    </row>
    <row r="804" spans="1:61" ht="15">
      <c r="A804" s="62" t="s">
        <v>299</v>
      </c>
      <c r="B804" s="62" t="s">
        <v>299</v>
      </c>
      <c r="C804" s="63"/>
      <c r="D804" s="64"/>
      <c r="E804" s="65"/>
      <c r="F804" s="66"/>
      <c r="G804" s="63"/>
      <c r="H804" s="67"/>
      <c r="I804" s="68"/>
      <c r="J804" s="68"/>
      <c r="K804" s="32" t="s">
        <v>65</v>
      </c>
      <c r="L804" s="75">
        <v>804</v>
      </c>
      <c r="M804" s="75"/>
      <c r="N804" s="70"/>
      <c r="O804" s="77" t="s">
        <v>179</v>
      </c>
      <c r="P804" s="79">
        <v>45267.76513888889</v>
      </c>
      <c r="Q804" s="77" t="s">
        <v>1201</v>
      </c>
      <c r="R804" s="77">
        <v>0</v>
      </c>
      <c r="S804" s="77">
        <v>0</v>
      </c>
      <c r="T804" s="77">
        <v>0</v>
      </c>
      <c r="U804" s="77">
        <v>0</v>
      </c>
      <c r="V804" s="77">
        <v>7</v>
      </c>
      <c r="W804" s="81" t="s">
        <v>1871</v>
      </c>
      <c r="X804" s="80" t="str">
        <f>HYPERLINK("https://inovies.com")</f>
        <v>https://inovies.com</v>
      </c>
      <c r="Y804" s="77" t="s">
        <v>1982</v>
      </c>
      <c r="Z804" s="77"/>
      <c r="AA804" s="77" t="s">
        <v>2351</v>
      </c>
      <c r="AB804" s="77" t="s">
        <v>2696</v>
      </c>
      <c r="AC804" s="81" t="s">
        <v>2707</v>
      </c>
      <c r="AD804" s="77" t="s">
        <v>2752</v>
      </c>
      <c r="AE804" s="80" t="str">
        <f>HYPERLINK("https://twitter.com/inovies/status/1732827767538884926")</f>
        <v>https://twitter.com/inovies/status/1732827767538884926</v>
      </c>
      <c r="AF804" s="79">
        <v>45267.76513888889</v>
      </c>
      <c r="AG804" s="85">
        <v>45267</v>
      </c>
      <c r="AH804" s="81" t="s">
        <v>3403</v>
      </c>
      <c r="AI804" s="77" t="b">
        <v>0</v>
      </c>
      <c r="AJ804" s="77"/>
      <c r="AK804" s="77"/>
      <c r="AL804" s="77"/>
      <c r="AM804" s="77"/>
      <c r="AN804" s="77"/>
      <c r="AO804" s="77"/>
      <c r="AP804" s="77"/>
      <c r="AQ804" s="77" t="s">
        <v>4165</v>
      </c>
      <c r="AR804" s="77"/>
      <c r="AS804" s="77"/>
      <c r="AT804" s="77"/>
      <c r="AU804" s="77"/>
      <c r="AV804" s="80" t="str">
        <f>HYPERLINK("https://pbs.twimg.com/media/GAw9qeJXgAAAacr.jpg")</f>
        <v>https://pbs.twimg.com/media/GAw9qeJXgAAAacr.jpg</v>
      </c>
      <c r="AW804" s="81" t="s">
        <v>5150</v>
      </c>
      <c r="AX804" s="81" t="s">
        <v>5150</v>
      </c>
      <c r="AY804" s="77"/>
      <c r="AZ804" s="81" t="s">
        <v>5773</v>
      </c>
      <c r="BA804" s="81" t="s">
        <v>5773</v>
      </c>
      <c r="BB804" s="81" t="s">
        <v>5773</v>
      </c>
      <c r="BC804" s="81" t="s">
        <v>5150</v>
      </c>
      <c r="BD804" s="77">
        <v>297885438</v>
      </c>
      <c r="BE804" s="77"/>
      <c r="BF804" s="77"/>
      <c r="BG804" s="77"/>
      <c r="BH804" s="77"/>
      <c r="BI804" s="77"/>
    </row>
    <row r="805" spans="1:61" ht="15">
      <c r="A805" s="62" t="s">
        <v>299</v>
      </c>
      <c r="B805" s="62" t="s">
        <v>299</v>
      </c>
      <c r="C805" s="63"/>
      <c r="D805" s="64"/>
      <c r="E805" s="65"/>
      <c r="F805" s="66"/>
      <c r="G805" s="63"/>
      <c r="H805" s="67"/>
      <c r="I805" s="68"/>
      <c r="J805" s="68"/>
      <c r="K805" s="32" t="s">
        <v>65</v>
      </c>
      <c r="L805" s="75">
        <v>805</v>
      </c>
      <c r="M805" s="75"/>
      <c r="N805" s="70"/>
      <c r="O805" s="77" t="s">
        <v>179</v>
      </c>
      <c r="P805" s="79">
        <v>45267.764710648145</v>
      </c>
      <c r="Q805" s="77" t="s">
        <v>1202</v>
      </c>
      <c r="R805" s="77">
        <v>0</v>
      </c>
      <c r="S805" s="77">
        <v>0</v>
      </c>
      <c r="T805" s="77">
        <v>0</v>
      </c>
      <c r="U805" s="77">
        <v>0</v>
      </c>
      <c r="V805" s="77">
        <v>5</v>
      </c>
      <c r="W805" s="81" t="s">
        <v>1871</v>
      </c>
      <c r="X805" s="80" t="str">
        <f>HYPERLINK("https://inovies.com")</f>
        <v>https://inovies.com</v>
      </c>
      <c r="Y805" s="77" t="s">
        <v>1982</v>
      </c>
      <c r="Z805" s="77"/>
      <c r="AA805" s="77" t="s">
        <v>2352</v>
      </c>
      <c r="AB805" s="77" t="s">
        <v>2696</v>
      </c>
      <c r="AC805" s="81" t="s">
        <v>2707</v>
      </c>
      <c r="AD805" s="77" t="s">
        <v>2752</v>
      </c>
      <c r="AE805" s="80" t="str">
        <f>HYPERLINK("https://twitter.com/inovies/status/1732827609698898268")</f>
        <v>https://twitter.com/inovies/status/1732827609698898268</v>
      </c>
      <c r="AF805" s="79">
        <v>45267.764710648145</v>
      </c>
      <c r="AG805" s="85">
        <v>45267</v>
      </c>
      <c r="AH805" s="81" t="s">
        <v>3404</v>
      </c>
      <c r="AI805" s="77" t="b">
        <v>0</v>
      </c>
      <c r="AJ805" s="77"/>
      <c r="AK805" s="77"/>
      <c r="AL805" s="77"/>
      <c r="AM805" s="77"/>
      <c r="AN805" s="77"/>
      <c r="AO805" s="77"/>
      <c r="AP805" s="77"/>
      <c r="AQ805" s="77" t="s">
        <v>4166</v>
      </c>
      <c r="AR805" s="77"/>
      <c r="AS805" s="77"/>
      <c r="AT805" s="77"/>
      <c r="AU805" s="77"/>
      <c r="AV805" s="80" t="str">
        <f>HYPERLINK("https://pbs.twimg.com/media/GAw9hJGWwAAi46q.jpg")</f>
        <v>https://pbs.twimg.com/media/GAw9hJGWwAAi46q.jpg</v>
      </c>
      <c r="AW805" s="81" t="s">
        <v>5151</v>
      </c>
      <c r="AX805" s="81" t="s">
        <v>5151</v>
      </c>
      <c r="AY805" s="77"/>
      <c r="AZ805" s="81" t="s">
        <v>5773</v>
      </c>
      <c r="BA805" s="81" t="s">
        <v>5773</v>
      </c>
      <c r="BB805" s="81" t="s">
        <v>5773</v>
      </c>
      <c r="BC805" s="81" t="s">
        <v>5151</v>
      </c>
      <c r="BD805" s="77">
        <v>297885438</v>
      </c>
      <c r="BE805" s="77"/>
      <c r="BF805" s="77"/>
      <c r="BG805" s="77"/>
      <c r="BH805" s="77"/>
      <c r="BI805" s="77"/>
    </row>
    <row r="806" spans="1:61" ht="15">
      <c r="A806" s="62" t="s">
        <v>299</v>
      </c>
      <c r="B806" s="62" t="s">
        <v>299</v>
      </c>
      <c r="C806" s="63"/>
      <c r="D806" s="64"/>
      <c r="E806" s="65"/>
      <c r="F806" s="66"/>
      <c r="G806" s="63"/>
      <c r="H806" s="67"/>
      <c r="I806" s="68"/>
      <c r="J806" s="68"/>
      <c r="K806" s="32" t="s">
        <v>65</v>
      </c>
      <c r="L806" s="75">
        <v>806</v>
      </c>
      <c r="M806" s="75"/>
      <c r="N806" s="70"/>
      <c r="O806" s="77" t="s">
        <v>179</v>
      </c>
      <c r="P806" s="79">
        <v>45267.76422453704</v>
      </c>
      <c r="Q806" s="77" t="s">
        <v>1203</v>
      </c>
      <c r="R806" s="77">
        <v>0</v>
      </c>
      <c r="S806" s="77">
        <v>0</v>
      </c>
      <c r="T806" s="77">
        <v>0</v>
      </c>
      <c r="U806" s="77">
        <v>0</v>
      </c>
      <c r="V806" s="77">
        <v>7</v>
      </c>
      <c r="W806" s="81" t="s">
        <v>1871</v>
      </c>
      <c r="X806" s="80" t="str">
        <f>HYPERLINK("https://inovies.com")</f>
        <v>https://inovies.com</v>
      </c>
      <c r="Y806" s="77" t="s">
        <v>1982</v>
      </c>
      <c r="Z806" s="77"/>
      <c r="AA806" s="77" t="s">
        <v>2353</v>
      </c>
      <c r="AB806" s="77" t="s">
        <v>2696</v>
      </c>
      <c r="AC806" s="81" t="s">
        <v>2707</v>
      </c>
      <c r="AD806" s="77" t="s">
        <v>2752</v>
      </c>
      <c r="AE806" s="80" t="str">
        <f>HYPERLINK("https://twitter.com/inovies/status/1732827436851601462")</f>
        <v>https://twitter.com/inovies/status/1732827436851601462</v>
      </c>
      <c r="AF806" s="79">
        <v>45267.76422453704</v>
      </c>
      <c r="AG806" s="85">
        <v>45267</v>
      </c>
      <c r="AH806" s="81" t="s">
        <v>3405</v>
      </c>
      <c r="AI806" s="77" t="b">
        <v>0</v>
      </c>
      <c r="AJ806" s="77"/>
      <c r="AK806" s="77"/>
      <c r="AL806" s="77"/>
      <c r="AM806" s="77"/>
      <c r="AN806" s="77"/>
      <c r="AO806" s="77"/>
      <c r="AP806" s="77"/>
      <c r="AQ806" s="77" t="s">
        <v>4167</v>
      </c>
      <c r="AR806" s="77"/>
      <c r="AS806" s="77"/>
      <c r="AT806" s="77"/>
      <c r="AU806" s="77"/>
      <c r="AV806" s="80" t="str">
        <f>HYPERLINK("https://pbs.twimg.com/media/GAw9XIUXoAAy_3o.jpg")</f>
        <v>https://pbs.twimg.com/media/GAw9XIUXoAAy_3o.jpg</v>
      </c>
      <c r="AW806" s="81" t="s">
        <v>5152</v>
      </c>
      <c r="AX806" s="81" t="s">
        <v>5152</v>
      </c>
      <c r="AY806" s="77"/>
      <c r="AZ806" s="81" t="s">
        <v>5773</v>
      </c>
      <c r="BA806" s="81" t="s">
        <v>5773</v>
      </c>
      <c r="BB806" s="81" t="s">
        <v>5773</v>
      </c>
      <c r="BC806" s="81" t="s">
        <v>5152</v>
      </c>
      <c r="BD806" s="77">
        <v>297885438</v>
      </c>
      <c r="BE806" s="77"/>
      <c r="BF806" s="77"/>
      <c r="BG806" s="77"/>
      <c r="BH806" s="77"/>
      <c r="BI806" s="77"/>
    </row>
    <row r="807" spans="1:61" ht="15">
      <c r="A807" s="62" t="s">
        <v>299</v>
      </c>
      <c r="B807" s="62" t="s">
        <v>299</v>
      </c>
      <c r="C807" s="63"/>
      <c r="D807" s="64"/>
      <c r="E807" s="65"/>
      <c r="F807" s="66"/>
      <c r="G807" s="63"/>
      <c r="H807" s="67"/>
      <c r="I807" s="68"/>
      <c r="J807" s="68"/>
      <c r="K807" s="32" t="s">
        <v>65</v>
      </c>
      <c r="L807" s="75">
        <v>807</v>
      </c>
      <c r="M807" s="75"/>
      <c r="N807" s="70"/>
      <c r="O807" s="77" t="s">
        <v>179</v>
      </c>
      <c r="P807" s="79">
        <v>45267.763703703706</v>
      </c>
      <c r="Q807" s="77" t="s">
        <v>1204</v>
      </c>
      <c r="R807" s="77">
        <v>0</v>
      </c>
      <c r="S807" s="77">
        <v>0</v>
      </c>
      <c r="T807" s="77">
        <v>0</v>
      </c>
      <c r="U807" s="77">
        <v>0</v>
      </c>
      <c r="V807" s="77">
        <v>6</v>
      </c>
      <c r="W807" s="81" t="s">
        <v>1871</v>
      </c>
      <c r="X807" s="80" t="str">
        <f>HYPERLINK("https://inovies.com")</f>
        <v>https://inovies.com</v>
      </c>
      <c r="Y807" s="77" t="s">
        <v>1982</v>
      </c>
      <c r="Z807" s="77"/>
      <c r="AA807" s="77" t="s">
        <v>2354</v>
      </c>
      <c r="AB807" s="77" t="s">
        <v>2696</v>
      </c>
      <c r="AC807" s="81" t="s">
        <v>2707</v>
      </c>
      <c r="AD807" s="77" t="s">
        <v>2752</v>
      </c>
      <c r="AE807" s="80" t="str">
        <f>HYPERLINK("https://twitter.com/inovies/status/1732827245494882630")</f>
        <v>https://twitter.com/inovies/status/1732827245494882630</v>
      </c>
      <c r="AF807" s="79">
        <v>45267.763703703706</v>
      </c>
      <c r="AG807" s="85">
        <v>45267</v>
      </c>
      <c r="AH807" s="81" t="s">
        <v>3406</v>
      </c>
      <c r="AI807" s="77" t="b">
        <v>0</v>
      </c>
      <c r="AJ807" s="77"/>
      <c r="AK807" s="77"/>
      <c r="AL807" s="77"/>
      <c r="AM807" s="77"/>
      <c r="AN807" s="77"/>
      <c r="AO807" s="77"/>
      <c r="AP807" s="77"/>
      <c r="AQ807" s="77" t="s">
        <v>4168</v>
      </c>
      <c r="AR807" s="77"/>
      <c r="AS807" s="77"/>
      <c r="AT807" s="77"/>
      <c r="AU807" s="77"/>
      <c r="AV807" s="80" t="str">
        <f>HYPERLINK("https://pbs.twimg.com/media/GAw9MC3XQAA86P2.jpg")</f>
        <v>https://pbs.twimg.com/media/GAw9MC3XQAA86P2.jpg</v>
      </c>
      <c r="AW807" s="81" t="s">
        <v>5153</v>
      </c>
      <c r="AX807" s="81" t="s">
        <v>5153</v>
      </c>
      <c r="AY807" s="77"/>
      <c r="AZ807" s="81" t="s">
        <v>5773</v>
      </c>
      <c r="BA807" s="81" t="s">
        <v>5773</v>
      </c>
      <c r="BB807" s="81" t="s">
        <v>5773</v>
      </c>
      <c r="BC807" s="81" t="s">
        <v>5153</v>
      </c>
      <c r="BD807" s="77">
        <v>297885438</v>
      </c>
      <c r="BE807" s="77"/>
      <c r="BF807" s="77"/>
      <c r="BG807" s="77"/>
      <c r="BH807" s="77"/>
      <c r="BI807" s="77"/>
    </row>
    <row r="808" spans="1:61" ht="15">
      <c r="A808" s="62" t="s">
        <v>299</v>
      </c>
      <c r="B808" s="62" t="s">
        <v>299</v>
      </c>
      <c r="C808" s="63"/>
      <c r="D808" s="64"/>
      <c r="E808" s="65"/>
      <c r="F808" s="66"/>
      <c r="G808" s="63"/>
      <c r="H808" s="67"/>
      <c r="I808" s="68"/>
      <c r="J808" s="68"/>
      <c r="K808" s="32" t="s">
        <v>65</v>
      </c>
      <c r="L808" s="75">
        <v>808</v>
      </c>
      <c r="M808" s="75"/>
      <c r="N808" s="70"/>
      <c r="O808" s="77" t="s">
        <v>179</v>
      </c>
      <c r="P808" s="79">
        <v>45267.76325231481</v>
      </c>
      <c r="Q808" s="77" t="s">
        <v>1205</v>
      </c>
      <c r="R808" s="77">
        <v>0</v>
      </c>
      <c r="S808" s="77">
        <v>0</v>
      </c>
      <c r="T808" s="77">
        <v>0</v>
      </c>
      <c r="U808" s="77">
        <v>0</v>
      </c>
      <c r="V808" s="77">
        <v>7</v>
      </c>
      <c r="W808" s="81" t="s">
        <v>1871</v>
      </c>
      <c r="X808" s="80" t="str">
        <f>HYPERLINK("https://inovies.com")</f>
        <v>https://inovies.com</v>
      </c>
      <c r="Y808" s="77" t="s">
        <v>1982</v>
      </c>
      <c r="Z808" s="77"/>
      <c r="AA808" s="77" t="s">
        <v>2355</v>
      </c>
      <c r="AB808" s="77" t="s">
        <v>2696</v>
      </c>
      <c r="AC808" s="81" t="s">
        <v>2707</v>
      </c>
      <c r="AD808" s="77" t="s">
        <v>2752</v>
      </c>
      <c r="AE808" s="80" t="str">
        <f>HYPERLINK("https://twitter.com/inovies/status/1732827082856558894")</f>
        <v>https://twitter.com/inovies/status/1732827082856558894</v>
      </c>
      <c r="AF808" s="79">
        <v>45267.76325231481</v>
      </c>
      <c r="AG808" s="85">
        <v>45267</v>
      </c>
      <c r="AH808" s="81" t="s">
        <v>3407</v>
      </c>
      <c r="AI808" s="77" t="b">
        <v>0</v>
      </c>
      <c r="AJ808" s="77"/>
      <c r="AK808" s="77"/>
      <c r="AL808" s="77"/>
      <c r="AM808" s="77"/>
      <c r="AN808" s="77"/>
      <c r="AO808" s="77"/>
      <c r="AP808" s="77"/>
      <c r="AQ808" s="77" t="s">
        <v>4169</v>
      </c>
      <c r="AR808" s="77"/>
      <c r="AS808" s="77"/>
      <c r="AT808" s="77"/>
      <c r="AU808" s="77"/>
      <c r="AV808" s="80" t="str">
        <f>HYPERLINK("https://pbs.twimg.com/media/GAw9CixWwAAwL9-.jpg")</f>
        <v>https://pbs.twimg.com/media/GAw9CixWwAAwL9-.jpg</v>
      </c>
      <c r="AW808" s="81" t="s">
        <v>5154</v>
      </c>
      <c r="AX808" s="81" t="s">
        <v>5154</v>
      </c>
      <c r="AY808" s="77"/>
      <c r="AZ808" s="81" t="s">
        <v>5773</v>
      </c>
      <c r="BA808" s="81" t="s">
        <v>5773</v>
      </c>
      <c r="BB808" s="81" t="s">
        <v>5773</v>
      </c>
      <c r="BC808" s="81" t="s">
        <v>5154</v>
      </c>
      <c r="BD808" s="77">
        <v>297885438</v>
      </c>
      <c r="BE808" s="77"/>
      <c r="BF808" s="77"/>
      <c r="BG808" s="77"/>
      <c r="BH808" s="77"/>
      <c r="BI808" s="77"/>
    </row>
    <row r="809" spans="1:61" ht="15">
      <c r="A809" s="62" t="s">
        <v>299</v>
      </c>
      <c r="B809" s="62" t="s">
        <v>299</v>
      </c>
      <c r="C809" s="63"/>
      <c r="D809" s="64"/>
      <c r="E809" s="65"/>
      <c r="F809" s="66"/>
      <c r="G809" s="63"/>
      <c r="H809" s="67"/>
      <c r="I809" s="68"/>
      <c r="J809" s="68"/>
      <c r="K809" s="32" t="s">
        <v>65</v>
      </c>
      <c r="L809" s="75">
        <v>809</v>
      </c>
      <c r="M809" s="75"/>
      <c r="N809" s="70"/>
      <c r="O809" s="77" t="s">
        <v>179</v>
      </c>
      <c r="P809" s="79">
        <v>45267.76275462963</v>
      </c>
      <c r="Q809" s="77" t="s">
        <v>1206</v>
      </c>
      <c r="R809" s="77">
        <v>0</v>
      </c>
      <c r="S809" s="77">
        <v>0</v>
      </c>
      <c r="T809" s="77">
        <v>0</v>
      </c>
      <c r="U809" s="77">
        <v>0</v>
      </c>
      <c r="V809" s="77">
        <v>8</v>
      </c>
      <c r="W809" s="81" t="s">
        <v>1871</v>
      </c>
      <c r="X809" s="80" t="str">
        <f>HYPERLINK("https://inovies.com")</f>
        <v>https://inovies.com</v>
      </c>
      <c r="Y809" s="77" t="s">
        <v>1982</v>
      </c>
      <c r="Z809" s="77"/>
      <c r="AA809" s="77" t="s">
        <v>2356</v>
      </c>
      <c r="AB809" s="77" t="s">
        <v>2696</v>
      </c>
      <c r="AC809" s="81" t="s">
        <v>2707</v>
      </c>
      <c r="AD809" s="77" t="s">
        <v>2752</v>
      </c>
      <c r="AE809" s="80" t="str">
        <f>HYPERLINK("https://twitter.com/inovies/status/1732826904141369502")</f>
        <v>https://twitter.com/inovies/status/1732826904141369502</v>
      </c>
      <c r="AF809" s="79">
        <v>45267.76275462963</v>
      </c>
      <c r="AG809" s="85">
        <v>45267</v>
      </c>
      <c r="AH809" s="81" t="s">
        <v>3292</v>
      </c>
      <c r="AI809" s="77" t="b">
        <v>0</v>
      </c>
      <c r="AJ809" s="77"/>
      <c r="AK809" s="77"/>
      <c r="AL809" s="77"/>
      <c r="AM809" s="77"/>
      <c r="AN809" s="77"/>
      <c r="AO809" s="77"/>
      <c r="AP809" s="77"/>
      <c r="AQ809" s="77" t="s">
        <v>4170</v>
      </c>
      <c r="AR809" s="77"/>
      <c r="AS809" s="77"/>
      <c r="AT809" s="77"/>
      <c r="AU809" s="77"/>
      <c r="AV809" s="80" t="str">
        <f>HYPERLINK("https://pbs.twimg.com/media/GAw84LRWIAAqdXE.jpg")</f>
        <v>https://pbs.twimg.com/media/GAw84LRWIAAqdXE.jpg</v>
      </c>
      <c r="AW809" s="81" t="s">
        <v>5155</v>
      </c>
      <c r="AX809" s="81" t="s">
        <v>5155</v>
      </c>
      <c r="AY809" s="77"/>
      <c r="AZ809" s="81" t="s">
        <v>5773</v>
      </c>
      <c r="BA809" s="81" t="s">
        <v>5773</v>
      </c>
      <c r="BB809" s="81" t="s">
        <v>5773</v>
      </c>
      <c r="BC809" s="81" t="s">
        <v>5155</v>
      </c>
      <c r="BD809" s="77">
        <v>297885438</v>
      </c>
      <c r="BE809" s="77"/>
      <c r="BF809" s="77"/>
      <c r="BG809" s="77"/>
      <c r="BH809" s="77"/>
      <c r="BI809" s="77"/>
    </row>
    <row r="810" spans="1:61" ht="15">
      <c r="A810" s="62" t="s">
        <v>299</v>
      </c>
      <c r="B810" s="62" t="s">
        <v>299</v>
      </c>
      <c r="C810" s="63"/>
      <c r="D810" s="64"/>
      <c r="E810" s="65"/>
      <c r="F810" s="66"/>
      <c r="G810" s="63"/>
      <c r="H810" s="67"/>
      <c r="I810" s="68"/>
      <c r="J810" s="68"/>
      <c r="K810" s="32" t="s">
        <v>65</v>
      </c>
      <c r="L810" s="75">
        <v>810</v>
      </c>
      <c r="M810" s="75"/>
      <c r="N810" s="70"/>
      <c r="O810" s="77" t="s">
        <v>179</v>
      </c>
      <c r="P810" s="79">
        <v>45267.76238425926</v>
      </c>
      <c r="Q810" s="77" t="s">
        <v>1207</v>
      </c>
      <c r="R810" s="77">
        <v>0</v>
      </c>
      <c r="S810" s="77">
        <v>0</v>
      </c>
      <c r="T810" s="77">
        <v>0</v>
      </c>
      <c r="U810" s="77">
        <v>0</v>
      </c>
      <c r="V810" s="77">
        <v>6</v>
      </c>
      <c r="W810" s="81" t="s">
        <v>1871</v>
      </c>
      <c r="X810" s="80" t="str">
        <f>HYPERLINK("https://inovies.com")</f>
        <v>https://inovies.com</v>
      </c>
      <c r="Y810" s="77" t="s">
        <v>1982</v>
      </c>
      <c r="Z810" s="77"/>
      <c r="AA810" s="77" t="s">
        <v>2357</v>
      </c>
      <c r="AB810" s="77" t="s">
        <v>2696</v>
      </c>
      <c r="AC810" s="81" t="s">
        <v>2707</v>
      </c>
      <c r="AD810" s="77" t="s">
        <v>2752</v>
      </c>
      <c r="AE810" s="80" t="str">
        <f>HYPERLINK("https://twitter.com/inovies/status/1732826766228459687")</f>
        <v>https://twitter.com/inovies/status/1732826766228459687</v>
      </c>
      <c r="AF810" s="79">
        <v>45267.76238425926</v>
      </c>
      <c r="AG810" s="85">
        <v>45267</v>
      </c>
      <c r="AH810" s="81" t="s">
        <v>3408</v>
      </c>
      <c r="AI810" s="77" t="b">
        <v>0</v>
      </c>
      <c r="AJ810" s="77"/>
      <c r="AK810" s="77"/>
      <c r="AL810" s="77"/>
      <c r="AM810" s="77"/>
      <c r="AN810" s="77"/>
      <c r="AO810" s="77"/>
      <c r="AP810" s="77"/>
      <c r="AQ810" s="77" t="s">
        <v>4171</v>
      </c>
      <c r="AR810" s="77"/>
      <c r="AS810" s="77"/>
      <c r="AT810" s="77"/>
      <c r="AU810" s="77"/>
      <c r="AV810" s="80" t="str">
        <f>HYPERLINK("https://pbs.twimg.com/media/GAw8wIAWwAAvNIp.jpg")</f>
        <v>https://pbs.twimg.com/media/GAw8wIAWwAAvNIp.jpg</v>
      </c>
      <c r="AW810" s="81" t="s">
        <v>5156</v>
      </c>
      <c r="AX810" s="81" t="s">
        <v>5156</v>
      </c>
      <c r="AY810" s="77"/>
      <c r="AZ810" s="81" t="s">
        <v>5773</v>
      </c>
      <c r="BA810" s="81" t="s">
        <v>5773</v>
      </c>
      <c r="BB810" s="81" t="s">
        <v>5773</v>
      </c>
      <c r="BC810" s="81" t="s">
        <v>5156</v>
      </c>
      <c r="BD810" s="77">
        <v>297885438</v>
      </c>
      <c r="BE810" s="77"/>
      <c r="BF810" s="77"/>
      <c r="BG810" s="77"/>
      <c r="BH810" s="77"/>
      <c r="BI810" s="77"/>
    </row>
    <row r="811" spans="1:61" ht="15">
      <c r="A811" s="62" t="s">
        <v>299</v>
      </c>
      <c r="B811" s="62" t="s">
        <v>299</v>
      </c>
      <c r="C811" s="63"/>
      <c r="D811" s="64"/>
      <c r="E811" s="65"/>
      <c r="F811" s="66"/>
      <c r="G811" s="63"/>
      <c r="H811" s="67"/>
      <c r="I811" s="68"/>
      <c r="J811" s="68"/>
      <c r="K811" s="32" t="s">
        <v>65</v>
      </c>
      <c r="L811" s="75">
        <v>811</v>
      </c>
      <c r="M811" s="75"/>
      <c r="N811" s="70"/>
      <c r="O811" s="77" t="s">
        <v>179</v>
      </c>
      <c r="P811" s="79">
        <v>45267.761770833335</v>
      </c>
      <c r="Q811" s="77" t="s">
        <v>1208</v>
      </c>
      <c r="R811" s="77">
        <v>0</v>
      </c>
      <c r="S811" s="77">
        <v>0</v>
      </c>
      <c r="T811" s="77">
        <v>0</v>
      </c>
      <c r="U811" s="77">
        <v>0</v>
      </c>
      <c r="V811" s="77">
        <v>6</v>
      </c>
      <c r="W811" s="81" t="s">
        <v>1871</v>
      </c>
      <c r="X811" s="80" t="str">
        <f>HYPERLINK("https://inovies.com")</f>
        <v>https://inovies.com</v>
      </c>
      <c r="Y811" s="77" t="s">
        <v>1982</v>
      </c>
      <c r="Z811" s="77"/>
      <c r="AA811" s="77" t="s">
        <v>2358</v>
      </c>
      <c r="AB811" s="77" t="s">
        <v>2696</v>
      </c>
      <c r="AC811" s="81" t="s">
        <v>2707</v>
      </c>
      <c r="AD811" s="77" t="s">
        <v>2752</v>
      </c>
      <c r="AE811" s="80" t="str">
        <f>HYPERLINK("https://twitter.com/inovies/status/1732826546367262865")</f>
        <v>https://twitter.com/inovies/status/1732826546367262865</v>
      </c>
      <c r="AF811" s="79">
        <v>45267.761770833335</v>
      </c>
      <c r="AG811" s="85">
        <v>45267</v>
      </c>
      <c r="AH811" s="81" t="s">
        <v>3409</v>
      </c>
      <c r="AI811" s="77" t="b">
        <v>0</v>
      </c>
      <c r="AJ811" s="77"/>
      <c r="AK811" s="77"/>
      <c r="AL811" s="77"/>
      <c r="AM811" s="77"/>
      <c r="AN811" s="77"/>
      <c r="AO811" s="77"/>
      <c r="AP811" s="77"/>
      <c r="AQ811" s="77" t="s">
        <v>4172</v>
      </c>
      <c r="AR811" s="77"/>
      <c r="AS811" s="77"/>
      <c r="AT811" s="77"/>
      <c r="AU811" s="77"/>
      <c r="AV811" s="80" t="str">
        <f>HYPERLINK("https://pbs.twimg.com/media/GAw8jW6WgAAtj5j.jpg")</f>
        <v>https://pbs.twimg.com/media/GAw8jW6WgAAtj5j.jpg</v>
      </c>
      <c r="AW811" s="81" t="s">
        <v>5157</v>
      </c>
      <c r="AX811" s="81" t="s">
        <v>5157</v>
      </c>
      <c r="AY811" s="77"/>
      <c r="AZ811" s="81" t="s">
        <v>5773</v>
      </c>
      <c r="BA811" s="81" t="s">
        <v>5773</v>
      </c>
      <c r="BB811" s="81" t="s">
        <v>5773</v>
      </c>
      <c r="BC811" s="81" t="s">
        <v>5157</v>
      </c>
      <c r="BD811" s="77">
        <v>297885438</v>
      </c>
      <c r="BE811" s="77"/>
      <c r="BF811" s="77"/>
      <c r="BG811" s="77"/>
      <c r="BH811" s="77"/>
      <c r="BI811" s="77"/>
    </row>
    <row r="812" spans="1:61" ht="15">
      <c r="A812" s="62" t="s">
        <v>299</v>
      </c>
      <c r="B812" s="62" t="s">
        <v>299</v>
      </c>
      <c r="C812" s="63"/>
      <c r="D812" s="64"/>
      <c r="E812" s="65"/>
      <c r="F812" s="66"/>
      <c r="G812" s="63"/>
      <c r="H812" s="67"/>
      <c r="I812" s="68"/>
      <c r="J812" s="68"/>
      <c r="K812" s="32" t="s">
        <v>65</v>
      </c>
      <c r="L812" s="75">
        <v>812</v>
      </c>
      <c r="M812" s="75"/>
      <c r="N812" s="70"/>
      <c r="O812" s="77" t="s">
        <v>179</v>
      </c>
      <c r="P812" s="79">
        <v>45267.74905092592</v>
      </c>
      <c r="Q812" s="77" t="s">
        <v>1209</v>
      </c>
      <c r="R812" s="77">
        <v>0</v>
      </c>
      <c r="S812" s="77">
        <v>0</v>
      </c>
      <c r="T812" s="77">
        <v>0</v>
      </c>
      <c r="U812" s="77">
        <v>0</v>
      </c>
      <c r="V812" s="77">
        <v>4</v>
      </c>
      <c r="W812" s="81" t="s">
        <v>1871</v>
      </c>
      <c r="X812" s="80" t="str">
        <f>HYPERLINK("https://inovies.com")</f>
        <v>https://inovies.com</v>
      </c>
      <c r="Y812" s="77" t="s">
        <v>1982</v>
      </c>
      <c r="Z812" s="77"/>
      <c r="AA812" s="77" t="s">
        <v>2359</v>
      </c>
      <c r="AB812" s="77" t="s">
        <v>2696</v>
      </c>
      <c r="AC812" s="81" t="s">
        <v>2707</v>
      </c>
      <c r="AD812" s="77" t="s">
        <v>2752</v>
      </c>
      <c r="AE812" s="80" t="str">
        <f>HYPERLINK("https://twitter.com/inovies/status/1732821935141052619")</f>
        <v>https://twitter.com/inovies/status/1732821935141052619</v>
      </c>
      <c r="AF812" s="79">
        <v>45267.74905092592</v>
      </c>
      <c r="AG812" s="85">
        <v>45267</v>
      </c>
      <c r="AH812" s="81" t="s">
        <v>3410</v>
      </c>
      <c r="AI812" s="77" t="b">
        <v>0</v>
      </c>
      <c r="AJ812" s="77"/>
      <c r="AK812" s="77"/>
      <c r="AL812" s="77"/>
      <c r="AM812" s="77"/>
      <c r="AN812" s="77"/>
      <c r="AO812" s="77"/>
      <c r="AP812" s="77"/>
      <c r="AQ812" s="77" t="s">
        <v>4173</v>
      </c>
      <c r="AR812" s="77"/>
      <c r="AS812" s="77"/>
      <c r="AT812" s="77"/>
      <c r="AU812" s="77"/>
      <c r="AV812" s="80" t="str">
        <f>HYPERLINK("https://pbs.twimg.com/media/GAw4WxtWwAACRM-.jpg")</f>
        <v>https://pbs.twimg.com/media/GAw4WxtWwAACRM-.jpg</v>
      </c>
      <c r="AW812" s="81" t="s">
        <v>5158</v>
      </c>
      <c r="AX812" s="81" t="s">
        <v>5158</v>
      </c>
      <c r="AY812" s="77"/>
      <c r="AZ812" s="81" t="s">
        <v>5773</v>
      </c>
      <c r="BA812" s="81" t="s">
        <v>5773</v>
      </c>
      <c r="BB812" s="81" t="s">
        <v>5773</v>
      </c>
      <c r="BC812" s="81" t="s">
        <v>5158</v>
      </c>
      <c r="BD812" s="77">
        <v>297885438</v>
      </c>
      <c r="BE812" s="77"/>
      <c r="BF812" s="77"/>
      <c r="BG812" s="77"/>
      <c r="BH812" s="77"/>
      <c r="BI812" s="77"/>
    </row>
    <row r="813" spans="1:61" ht="15">
      <c r="A813" s="62" t="s">
        <v>299</v>
      </c>
      <c r="B813" s="62" t="s">
        <v>299</v>
      </c>
      <c r="C813" s="63"/>
      <c r="D813" s="64"/>
      <c r="E813" s="65"/>
      <c r="F813" s="66"/>
      <c r="G813" s="63"/>
      <c r="H813" s="67"/>
      <c r="I813" s="68"/>
      <c r="J813" s="68"/>
      <c r="K813" s="32" t="s">
        <v>65</v>
      </c>
      <c r="L813" s="75">
        <v>813</v>
      </c>
      <c r="M813" s="75"/>
      <c r="N813" s="70"/>
      <c r="O813" s="77" t="s">
        <v>179</v>
      </c>
      <c r="P813" s="79">
        <v>45267.748611111114</v>
      </c>
      <c r="Q813" s="77" t="s">
        <v>1210</v>
      </c>
      <c r="R813" s="77">
        <v>0</v>
      </c>
      <c r="S813" s="77">
        <v>0</v>
      </c>
      <c r="T813" s="77">
        <v>0</v>
      </c>
      <c r="U813" s="77">
        <v>0</v>
      </c>
      <c r="V813" s="77">
        <v>4</v>
      </c>
      <c r="W813" s="81" t="s">
        <v>1871</v>
      </c>
      <c r="X813" s="80" t="str">
        <f>HYPERLINK("https://inovies.com")</f>
        <v>https://inovies.com</v>
      </c>
      <c r="Y813" s="77" t="s">
        <v>1982</v>
      </c>
      <c r="Z813" s="77"/>
      <c r="AA813" s="77" t="s">
        <v>2360</v>
      </c>
      <c r="AB813" s="77" t="s">
        <v>2696</v>
      </c>
      <c r="AC813" s="81" t="s">
        <v>2707</v>
      </c>
      <c r="AD813" s="77" t="s">
        <v>2752</v>
      </c>
      <c r="AE813" s="80" t="str">
        <f>HYPERLINK("https://twitter.com/inovies/status/1732821778668351513")</f>
        <v>https://twitter.com/inovies/status/1732821778668351513</v>
      </c>
      <c r="AF813" s="79">
        <v>45267.748611111114</v>
      </c>
      <c r="AG813" s="85">
        <v>45267</v>
      </c>
      <c r="AH813" s="81" t="s">
        <v>3411</v>
      </c>
      <c r="AI813" s="77" t="b">
        <v>0</v>
      </c>
      <c r="AJ813" s="77"/>
      <c r="AK813" s="77"/>
      <c r="AL813" s="77"/>
      <c r="AM813" s="77"/>
      <c r="AN813" s="77"/>
      <c r="AO813" s="77"/>
      <c r="AP813" s="77"/>
      <c r="AQ813" s="77" t="s">
        <v>4174</v>
      </c>
      <c r="AR813" s="77"/>
      <c r="AS813" s="77"/>
      <c r="AT813" s="77"/>
      <c r="AU813" s="77"/>
      <c r="AV813" s="80" t="str">
        <f>HYPERLINK("https://pbs.twimg.com/media/GAw4NymX0AA0csN.jpg")</f>
        <v>https://pbs.twimg.com/media/GAw4NymX0AA0csN.jpg</v>
      </c>
      <c r="AW813" s="81" t="s">
        <v>5159</v>
      </c>
      <c r="AX813" s="81" t="s">
        <v>5159</v>
      </c>
      <c r="AY813" s="77"/>
      <c r="AZ813" s="81" t="s">
        <v>5773</v>
      </c>
      <c r="BA813" s="81" t="s">
        <v>5773</v>
      </c>
      <c r="BB813" s="81" t="s">
        <v>5773</v>
      </c>
      <c r="BC813" s="81" t="s">
        <v>5159</v>
      </c>
      <c r="BD813" s="77">
        <v>297885438</v>
      </c>
      <c r="BE813" s="77"/>
      <c r="BF813" s="77"/>
      <c r="BG813" s="77"/>
      <c r="BH813" s="77"/>
      <c r="BI813" s="77"/>
    </row>
    <row r="814" spans="1:61" ht="15">
      <c r="A814" s="62" t="s">
        <v>299</v>
      </c>
      <c r="B814" s="62" t="s">
        <v>299</v>
      </c>
      <c r="C814" s="63"/>
      <c r="D814" s="64"/>
      <c r="E814" s="65"/>
      <c r="F814" s="66"/>
      <c r="G814" s="63"/>
      <c r="H814" s="67"/>
      <c r="I814" s="68"/>
      <c r="J814" s="68"/>
      <c r="K814" s="32" t="s">
        <v>65</v>
      </c>
      <c r="L814" s="75">
        <v>814</v>
      </c>
      <c r="M814" s="75"/>
      <c r="N814" s="70"/>
      <c r="O814" s="77" t="s">
        <v>179</v>
      </c>
      <c r="P814" s="79">
        <v>45267.747777777775</v>
      </c>
      <c r="Q814" s="77" t="s">
        <v>1211</v>
      </c>
      <c r="R814" s="77">
        <v>0</v>
      </c>
      <c r="S814" s="77">
        <v>0</v>
      </c>
      <c r="T814" s="77">
        <v>0</v>
      </c>
      <c r="U814" s="77">
        <v>0</v>
      </c>
      <c r="V814" s="77">
        <v>5</v>
      </c>
      <c r="W814" s="81" t="s">
        <v>1871</v>
      </c>
      <c r="X814" s="80" t="str">
        <f>HYPERLINK("https://inovies.com")</f>
        <v>https://inovies.com</v>
      </c>
      <c r="Y814" s="77" t="s">
        <v>1982</v>
      </c>
      <c r="Z814" s="77"/>
      <c r="AA814" s="77" t="s">
        <v>2361</v>
      </c>
      <c r="AB814" s="77" t="s">
        <v>2696</v>
      </c>
      <c r="AC814" s="81" t="s">
        <v>2707</v>
      </c>
      <c r="AD814" s="77" t="s">
        <v>2752</v>
      </c>
      <c r="AE814" s="80" t="str">
        <f>HYPERLINK("https://twitter.com/inovies/status/1732821475499851806")</f>
        <v>https://twitter.com/inovies/status/1732821475499851806</v>
      </c>
      <c r="AF814" s="79">
        <v>45267.747777777775</v>
      </c>
      <c r="AG814" s="85">
        <v>45267</v>
      </c>
      <c r="AH814" s="81" t="s">
        <v>3412</v>
      </c>
      <c r="AI814" s="77" t="b">
        <v>0</v>
      </c>
      <c r="AJ814" s="77"/>
      <c r="AK814" s="77"/>
      <c r="AL814" s="77"/>
      <c r="AM814" s="77"/>
      <c r="AN814" s="77"/>
      <c r="AO814" s="77"/>
      <c r="AP814" s="77"/>
      <c r="AQ814" s="77" t="s">
        <v>4175</v>
      </c>
      <c r="AR814" s="77"/>
      <c r="AS814" s="77"/>
      <c r="AT814" s="77"/>
      <c r="AU814" s="77"/>
      <c r="AV814" s="80" t="str">
        <f>HYPERLINK("https://pbs.twimg.com/media/GAw38N2XcAA7WiF.jpg")</f>
        <v>https://pbs.twimg.com/media/GAw38N2XcAA7WiF.jpg</v>
      </c>
      <c r="AW814" s="81" t="s">
        <v>5160</v>
      </c>
      <c r="AX814" s="81" t="s">
        <v>5160</v>
      </c>
      <c r="AY814" s="77"/>
      <c r="AZ814" s="81" t="s">
        <v>5773</v>
      </c>
      <c r="BA814" s="81" t="s">
        <v>5773</v>
      </c>
      <c r="BB814" s="81" t="s">
        <v>5773</v>
      </c>
      <c r="BC814" s="81" t="s">
        <v>5160</v>
      </c>
      <c r="BD814" s="77">
        <v>297885438</v>
      </c>
      <c r="BE814" s="77"/>
      <c r="BF814" s="77"/>
      <c r="BG814" s="77"/>
      <c r="BH814" s="77"/>
      <c r="BI814" s="77"/>
    </row>
    <row r="815" spans="1:61" ht="15">
      <c r="A815" s="62" t="s">
        <v>299</v>
      </c>
      <c r="B815" s="62" t="s">
        <v>299</v>
      </c>
      <c r="C815" s="63"/>
      <c r="D815" s="64"/>
      <c r="E815" s="65"/>
      <c r="F815" s="66"/>
      <c r="G815" s="63"/>
      <c r="H815" s="67"/>
      <c r="I815" s="68"/>
      <c r="J815" s="68"/>
      <c r="K815" s="32" t="s">
        <v>65</v>
      </c>
      <c r="L815" s="75">
        <v>815</v>
      </c>
      <c r="M815" s="75"/>
      <c r="N815" s="70"/>
      <c r="O815" s="77" t="s">
        <v>179</v>
      </c>
      <c r="P815" s="79">
        <v>45267.74717592593</v>
      </c>
      <c r="Q815" s="77" t="s">
        <v>1212</v>
      </c>
      <c r="R815" s="77">
        <v>0</v>
      </c>
      <c r="S815" s="77">
        <v>0</v>
      </c>
      <c r="T815" s="77">
        <v>0</v>
      </c>
      <c r="U815" s="77">
        <v>0</v>
      </c>
      <c r="V815" s="77">
        <v>4</v>
      </c>
      <c r="W815" s="81" t="s">
        <v>1871</v>
      </c>
      <c r="X815" s="80" t="str">
        <f>HYPERLINK("https://inovies.com")</f>
        <v>https://inovies.com</v>
      </c>
      <c r="Y815" s="77" t="s">
        <v>1982</v>
      </c>
      <c r="Z815" s="77"/>
      <c r="AA815" s="77" t="s">
        <v>2362</v>
      </c>
      <c r="AB815" s="77" t="s">
        <v>2696</v>
      </c>
      <c r="AC815" s="81" t="s">
        <v>2707</v>
      </c>
      <c r="AD815" s="77" t="s">
        <v>2752</v>
      </c>
      <c r="AE815" s="80" t="str">
        <f>HYPERLINK("https://twitter.com/inovies/status/1732821257060589752")</f>
        <v>https://twitter.com/inovies/status/1732821257060589752</v>
      </c>
      <c r="AF815" s="79">
        <v>45267.74717592593</v>
      </c>
      <c r="AG815" s="85">
        <v>45267</v>
      </c>
      <c r="AH815" s="81" t="s">
        <v>3413</v>
      </c>
      <c r="AI815" s="77" t="b">
        <v>0</v>
      </c>
      <c r="AJ815" s="77"/>
      <c r="AK815" s="77"/>
      <c r="AL815" s="77"/>
      <c r="AM815" s="77"/>
      <c r="AN815" s="77"/>
      <c r="AO815" s="77"/>
      <c r="AP815" s="77"/>
      <c r="AQ815" s="77" t="s">
        <v>4176</v>
      </c>
      <c r="AR815" s="77"/>
      <c r="AS815" s="77"/>
      <c r="AT815" s="77"/>
      <c r="AU815" s="77"/>
      <c r="AV815" s="80" t="str">
        <f>HYPERLINK("https://pbs.twimg.com/media/GAw3utvXYAAu9SK.jpg")</f>
        <v>https://pbs.twimg.com/media/GAw3utvXYAAu9SK.jpg</v>
      </c>
      <c r="AW815" s="81" t="s">
        <v>5161</v>
      </c>
      <c r="AX815" s="81" t="s">
        <v>5161</v>
      </c>
      <c r="AY815" s="77"/>
      <c r="AZ815" s="81" t="s">
        <v>5773</v>
      </c>
      <c r="BA815" s="81" t="s">
        <v>5773</v>
      </c>
      <c r="BB815" s="81" t="s">
        <v>5773</v>
      </c>
      <c r="BC815" s="81" t="s">
        <v>5161</v>
      </c>
      <c r="BD815" s="77">
        <v>297885438</v>
      </c>
      <c r="BE815" s="77"/>
      <c r="BF815" s="77"/>
      <c r="BG815" s="77"/>
      <c r="BH815" s="77"/>
      <c r="BI815" s="77"/>
    </row>
    <row r="816" spans="1:61" ht="15">
      <c r="A816" s="62" t="s">
        <v>299</v>
      </c>
      <c r="B816" s="62" t="s">
        <v>299</v>
      </c>
      <c r="C816" s="63"/>
      <c r="D816" s="64"/>
      <c r="E816" s="65"/>
      <c r="F816" s="66"/>
      <c r="G816" s="63"/>
      <c r="H816" s="67"/>
      <c r="I816" s="68"/>
      <c r="J816" s="68"/>
      <c r="K816" s="32" t="s">
        <v>65</v>
      </c>
      <c r="L816" s="75">
        <v>816</v>
      </c>
      <c r="M816" s="75"/>
      <c r="N816" s="70"/>
      <c r="O816" s="77" t="s">
        <v>179</v>
      </c>
      <c r="P816" s="79">
        <v>45267.74657407407</v>
      </c>
      <c r="Q816" s="77" t="s">
        <v>1213</v>
      </c>
      <c r="R816" s="77">
        <v>0</v>
      </c>
      <c r="S816" s="77">
        <v>0</v>
      </c>
      <c r="T816" s="77">
        <v>0</v>
      </c>
      <c r="U816" s="77">
        <v>0</v>
      </c>
      <c r="V816" s="77">
        <v>6</v>
      </c>
      <c r="W816" s="81" t="s">
        <v>1871</v>
      </c>
      <c r="X816" s="80" t="str">
        <f>HYPERLINK("https://inovies.com")</f>
        <v>https://inovies.com</v>
      </c>
      <c r="Y816" s="77" t="s">
        <v>1982</v>
      </c>
      <c r="Z816" s="77"/>
      <c r="AA816" s="77" t="s">
        <v>2363</v>
      </c>
      <c r="AB816" s="77" t="s">
        <v>2696</v>
      </c>
      <c r="AC816" s="81" t="s">
        <v>2707</v>
      </c>
      <c r="AD816" s="77" t="s">
        <v>2752</v>
      </c>
      <c r="AE816" s="80" t="str">
        <f>HYPERLINK("https://twitter.com/inovies/status/1732821038419870066")</f>
        <v>https://twitter.com/inovies/status/1732821038419870066</v>
      </c>
      <c r="AF816" s="79">
        <v>45267.74657407407</v>
      </c>
      <c r="AG816" s="85">
        <v>45267</v>
      </c>
      <c r="AH816" s="81" t="s">
        <v>3414</v>
      </c>
      <c r="AI816" s="77" t="b">
        <v>0</v>
      </c>
      <c r="AJ816" s="77"/>
      <c r="AK816" s="77"/>
      <c r="AL816" s="77"/>
      <c r="AM816" s="77"/>
      <c r="AN816" s="77"/>
      <c r="AO816" s="77"/>
      <c r="AP816" s="77"/>
      <c r="AQ816" s="77" t="s">
        <v>4177</v>
      </c>
      <c r="AR816" s="77"/>
      <c r="AS816" s="77"/>
      <c r="AT816" s="77"/>
      <c r="AU816" s="77"/>
      <c r="AV816" s="80" t="str">
        <f>HYPERLINK("https://pbs.twimg.com/media/GAw3iugWcAAaDSL.jpg")</f>
        <v>https://pbs.twimg.com/media/GAw3iugWcAAaDSL.jpg</v>
      </c>
      <c r="AW816" s="81" t="s">
        <v>5162</v>
      </c>
      <c r="AX816" s="81" t="s">
        <v>5162</v>
      </c>
      <c r="AY816" s="77"/>
      <c r="AZ816" s="81" t="s">
        <v>5773</v>
      </c>
      <c r="BA816" s="81" t="s">
        <v>5773</v>
      </c>
      <c r="BB816" s="81" t="s">
        <v>5773</v>
      </c>
      <c r="BC816" s="81" t="s">
        <v>5162</v>
      </c>
      <c r="BD816" s="77">
        <v>297885438</v>
      </c>
      <c r="BE816" s="77"/>
      <c r="BF816" s="77"/>
      <c r="BG816" s="77"/>
      <c r="BH816" s="77"/>
      <c r="BI816" s="77"/>
    </row>
    <row r="817" spans="1:61" ht="15">
      <c r="A817" s="62" t="s">
        <v>299</v>
      </c>
      <c r="B817" s="62" t="s">
        <v>299</v>
      </c>
      <c r="C817" s="63"/>
      <c r="D817" s="64"/>
      <c r="E817" s="65"/>
      <c r="F817" s="66"/>
      <c r="G817" s="63"/>
      <c r="H817" s="67"/>
      <c r="I817" s="68"/>
      <c r="J817" s="68"/>
      <c r="K817" s="32" t="s">
        <v>65</v>
      </c>
      <c r="L817" s="75">
        <v>817</v>
      </c>
      <c r="M817" s="75"/>
      <c r="N817" s="70"/>
      <c r="O817" s="77" t="s">
        <v>179</v>
      </c>
      <c r="P817" s="79">
        <v>45267.745983796296</v>
      </c>
      <c r="Q817" s="77" t="s">
        <v>1214</v>
      </c>
      <c r="R817" s="77">
        <v>0</v>
      </c>
      <c r="S817" s="77">
        <v>0</v>
      </c>
      <c r="T817" s="77">
        <v>0</v>
      </c>
      <c r="U817" s="77">
        <v>0</v>
      </c>
      <c r="V817" s="77">
        <v>5</v>
      </c>
      <c r="W817" s="81" t="s">
        <v>1871</v>
      </c>
      <c r="X817" s="80" t="str">
        <f>HYPERLINK("https://inovies.com")</f>
        <v>https://inovies.com</v>
      </c>
      <c r="Y817" s="77" t="s">
        <v>1982</v>
      </c>
      <c r="Z817" s="77"/>
      <c r="AA817" s="77" t="s">
        <v>2364</v>
      </c>
      <c r="AB817" s="77" t="s">
        <v>2696</v>
      </c>
      <c r="AC817" s="81" t="s">
        <v>2707</v>
      </c>
      <c r="AD817" s="77" t="s">
        <v>2752</v>
      </c>
      <c r="AE817" s="80" t="str">
        <f>HYPERLINK("https://twitter.com/inovies/status/1732820823860208078")</f>
        <v>https://twitter.com/inovies/status/1732820823860208078</v>
      </c>
      <c r="AF817" s="79">
        <v>45267.745983796296</v>
      </c>
      <c r="AG817" s="85">
        <v>45267</v>
      </c>
      <c r="AH817" s="81" t="s">
        <v>3415</v>
      </c>
      <c r="AI817" s="77" t="b">
        <v>0</v>
      </c>
      <c r="AJ817" s="77"/>
      <c r="AK817" s="77"/>
      <c r="AL817" s="77"/>
      <c r="AM817" s="77"/>
      <c r="AN817" s="77"/>
      <c r="AO817" s="77"/>
      <c r="AP817" s="77"/>
      <c r="AQ817" s="77" t="s">
        <v>4178</v>
      </c>
      <c r="AR817" s="77"/>
      <c r="AS817" s="77"/>
      <c r="AT817" s="77"/>
      <c r="AU817" s="77"/>
      <c r="AV817" s="80" t="str">
        <f>HYPERLINK("https://pbs.twimg.com/media/GAw3WTAXAAAFk2d.jpg")</f>
        <v>https://pbs.twimg.com/media/GAw3WTAXAAAFk2d.jpg</v>
      </c>
      <c r="AW817" s="81" t="s">
        <v>5163</v>
      </c>
      <c r="AX817" s="81" t="s">
        <v>5163</v>
      </c>
      <c r="AY817" s="77"/>
      <c r="AZ817" s="81" t="s">
        <v>5773</v>
      </c>
      <c r="BA817" s="81" t="s">
        <v>5773</v>
      </c>
      <c r="BB817" s="81" t="s">
        <v>5773</v>
      </c>
      <c r="BC817" s="81" t="s">
        <v>5163</v>
      </c>
      <c r="BD817" s="77">
        <v>297885438</v>
      </c>
      <c r="BE817" s="77"/>
      <c r="BF817" s="77"/>
      <c r="BG817" s="77"/>
      <c r="BH817" s="77"/>
      <c r="BI817" s="77"/>
    </row>
    <row r="818" spans="1:61" ht="15">
      <c r="A818" s="62" t="s">
        <v>299</v>
      </c>
      <c r="B818" s="62" t="s">
        <v>299</v>
      </c>
      <c r="C818" s="63"/>
      <c r="D818" s="64"/>
      <c r="E818" s="65"/>
      <c r="F818" s="66"/>
      <c r="G818" s="63"/>
      <c r="H818" s="67"/>
      <c r="I818" s="68"/>
      <c r="J818" s="68"/>
      <c r="K818" s="32" t="s">
        <v>65</v>
      </c>
      <c r="L818" s="75">
        <v>818</v>
      </c>
      <c r="M818" s="75"/>
      <c r="N818" s="70"/>
      <c r="O818" s="77" t="s">
        <v>179</v>
      </c>
      <c r="P818" s="79">
        <v>45267.74548611111</v>
      </c>
      <c r="Q818" s="77" t="s">
        <v>1215</v>
      </c>
      <c r="R818" s="77">
        <v>0</v>
      </c>
      <c r="S818" s="77">
        <v>0</v>
      </c>
      <c r="T818" s="77">
        <v>0</v>
      </c>
      <c r="U818" s="77">
        <v>0</v>
      </c>
      <c r="V818" s="77">
        <v>6</v>
      </c>
      <c r="W818" s="81" t="s">
        <v>1871</v>
      </c>
      <c r="X818" s="80" t="str">
        <f>HYPERLINK("https://inovies.com")</f>
        <v>https://inovies.com</v>
      </c>
      <c r="Y818" s="77" t="s">
        <v>1982</v>
      </c>
      <c r="Z818" s="77"/>
      <c r="AA818" s="77" t="s">
        <v>2365</v>
      </c>
      <c r="AB818" s="77" t="s">
        <v>2696</v>
      </c>
      <c r="AC818" s="81" t="s">
        <v>2707</v>
      </c>
      <c r="AD818" s="77" t="s">
        <v>2752</v>
      </c>
      <c r="AE818" s="80" t="str">
        <f>HYPERLINK("https://twitter.com/inovies/status/1732820645551935853")</f>
        <v>https://twitter.com/inovies/status/1732820645551935853</v>
      </c>
      <c r="AF818" s="79">
        <v>45267.74548611111</v>
      </c>
      <c r="AG818" s="85">
        <v>45267</v>
      </c>
      <c r="AH818" s="81" t="s">
        <v>3416</v>
      </c>
      <c r="AI818" s="77" t="b">
        <v>0</v>
      </c>
      <c r="AJ818" s="77"/>
      <c r="AK818" s="77"/>
      <c r="AL818" s="77"/>
      <c r="AM818" s="77"/>
      <c r="AN818" s="77"/>
      <c r="AO818" s="77"/>
      <c r="AP818" s="77"/>
      <c r="AQ818" s="77" t="s">
        <v>4179</v>
      </c>
      <c r="AR818" s="77"/>
      <c r="AS818" s="77"/>
      <c r="AT818" s="77"/>
      <c r="AU818" s="77"/>
      <c r="AV818" s="80" t="str">
        <f>HYPERLINK("https://pbs.twimg.com/media/GAw3L1jX0AEiF8Q.jpg")</f>
        <v>https://pbs.twimg.com/media/GAw3L1jX0AEiF8Q.jpg</v>
      </c>
      <c r="AW818" s="81" t="s">
        <v>5164</v>
      </c>
      <c r="AX818" s="81" t="s">
        <v>5164</v>
      </c>
      <c r="AY818" s="77"/>
      <c r="AZ818" s="81" t="s">
        <v>5773</v>
      </c>
      <c r="BA818" s="81" t="s">
        <v>5773</v>
      </c>
      <c r="BB818" s="81" t="s">
        <v>5773</v>
      </c>
      <c r="BC818" s="81" t="s">
        <v>5164</v>
      </c>
      <c r="BD818" s="77">
        <v>297885438</v>
      </c>
      <c r="BE818" s="77"/>
      <c r="BF818" s="77"/>
      <c r="BG818" s="77"/>
      <c r="BH818" s="77"/>
      <c r="BI818" s="77"/>
    </row>
    <row r="819" spans="1:61" ht="15">
      <c r="A819" s="62" t="s">
        <v>299</v>
      </c>
      <c r="B819" s="62" t="s">
        <v>299</v>
      </c>
      <c r="C819" s="63"/>
      <c r="D819" s="64"/>
      <c r="E819" s="65"/>
      <c r="F819" s="66"/>
      <c r="G819" s="63"/>
      <c r="H819" s="67"/>
      <c r="I819" s="68"/>
      <c r="J819" s="68"/>
      <c r="K819" s="32" t="s">
        <v>65</v>
      </c>
      <c r="L819" s="75">
        <v>819</v>
      </c>
      <c r="M819" s="75"/>
      <c r="N819" s="70"/>
      <c r="O819" s="77" t="s">
        <v>179</v>
      </c>
      <c r="P819" s="79">
        <v>45267.744988425926</v>
      </c>
      <c r="Q819" s="77" t="s">
        <v>1216</v>
      </c>
      <c r="R819" s="77">
        <v>0</v>
      </c>
      <c r="S819" s="77">
        <v>0</v>
      </c>
      <c r="T819" s="77">
        <v>0</v>
      </c>
      <c r="U819" s="77">
        <v>0</v>
      </c>
      <c r="V819" s="77">
        <v>5</v>
      </c>
      <c r="W819" s="81" t="s">
        <v>1871</v>
      </c>
      <c r="X819" s="80" t="str">
        <f>HYPERLINK("https://inovies.com")</f>
        <v>https://inovies.com</v>
      </c>
      <c r="Y819" s="77" t="s">
        <v>1982</v>
      </c>
      <c r="Z819" s="77"/>
      <c r="AA819" s="77" t="s">
        <v>2366</v>
      </c>
      <c r="AB819" s="77" t="s">
        <v>2696</v>
      </c>
      <c r="AC819" s="81" t="s">
        <v>2707</v>
      </c>
      <c r="AD819" s="77" t="s">
        <v>2752</v>
      </c>
      <c r="AE819" s="80" t="str">
        <f>HYPERLINK("https://twitter.com/inovies/status/1732820463456293191")</f>
        <v>https://twitter.com/inovies/status/1732820463456293191</v>
      </c>
      <c r="AF819" s="79">
        <v>45267.744988425926</v>
      </c>
      <c r="AG819" s="85">
        <v>45267</v>
      </c>
      <c r="AH819" s="81" t="s">
        <v>3417</v>
      </c>
      <c r="AI819" s="77" t="b">
        <v>0</v>
      </c>
      <c r="AJ819" s="77"/>
      <c r="AK819" s="77"/>
      <c r="AL819" s="77"/>
      <c r="AM819" s="77"/>
      <c r="AN819" s="77"/>
      <c r="AO819" s="77"/>
      <c r="AP819" s="77"/>
      <c r="AQ819" s="77" t="s">
        <v>4180</v>
      </c>
      <c r="AR819" s="77"/>
      <c r="AS819" s="77"/>
      <c r="AT819" s="77"/>
      <c r="AU819" s="77"/>
      <c r="AV819" s="80" t="str">
        <f>HYPERLINK("https://pbs.twimg.com/media/GAw3BVAWMAAsUlO.jpg")</f>
        <v>https://pbs.twimg.com/media/GAw3BVAWMAAsUlO.jpg</v>
      </c>
      <c r="AW819" s="81" t="s">
        <v>5165</v>
      </c>
      <c r="AX819" s="81" t="s">
        <v>5165</v>
      </c>
      <c r="AY819" s="77"/>
      <c r="AZ819" s="81" t="s">
        <v>5773</v>
      </c>
      <c r="BA819" s="81" t="s">
        <v>5773</v>
      </c>
      <c r="BB819" s="81" t="s">
        <v>5773</v>
      </c>
      <c r="BC819" s="81" t="s">
        <v>5165</v>
      </c>
      <c r="BD819" s="77">
        <v>297885438</v>
      </c>
      <c r="BE819" s="77"/>
      <c r="BF819" s="77"/>
      <c r="BG819" s="77"/>
      <c r="BH819" s="77"/>
      <c r="BI819" s="77"/>
    </row>
    <row r="820" spans="1:61" ht="15">
      <c r="A820" s="62" t="s">
        <v>299</v>
      </c>
      <c r="B820" s="62" t="s">
        <v>299</v>
      </c>
      <c r="C820" s="63"/>
      <c r="D820" s="64"/>
      <c r="E820" s="65"/>
      <c r="F820" s="66"/>
      <c r="G820" s="63"/>
      <c r="H820" s="67"/>
      <c r="I820" s="68"/>
      <c r="J820" s="68"/>
      <c r="K820" s="32" t="s">
        <v>65</v>
      </c>
      <c r="L820" s="75">
        <v>820</v>
      </c>
      <c r="M820" s="75"/>
      <c r="N820" s="70"/>
      <c r="O820" s="77" t="s">
        <v>572</v>
      </c>
      <c r="P820" s="79">
        <v>44601.75140046296</v>
      </c>
      <c r="Q820" s="77" t="s">
        <v>1217</v>
      </c>
      <c r="R820" s="77">
        <v>0</v>
      </c>
      <c r="S820" s="77">
        <v>0</v>
      </c>
      <c r="T820" s="77">
        <v>0</v>
      </c>
      <c r="U820" s="77">
        <v>0</v>
      </c>
      <c r="V820" s="77"/>
      <c r="W820" s="77"/>
      <c r="X820" s="77"/>
      <c r="Y820" s="77"/>
      <c r="Z820" s="77"/>
      <c r="AA820" s="77"/>
      <c r="AB820" s="77"/>
      <c r="AC820" s="81" t="s">
        <v>2704</v>
      </c>
      <c r="AD820" s="77" t="s">
        <v>2751</v>
      </c>
      <c r="AE820" s="80" t="str">
        <f>HYPERLINK("https://twitter.com/inovies/status/1491472469273690120")</f>
        <v>https://twitter.com/inovies/status/1491472469273690120</v>
      </c>
      <c r="AF820" s="79">
        <v>44601.75140046296</v>
      </c>
      <c r="AG820" s="85">
        <v>44601</v>
      </c>
      <c r="AH820" s="81" t="s">
        <v>3418</v>
      </c>
      <c r="AI820" s="77"/>
      <c r="AJ820" s="77"/>
      <c r="AK820" s="77"/>
      <c r="AL820" s="77"/>
      <c r="AM820" s="77"/>
      <c r="AN820" s="77"/>
      <c r="AO820" s="77"/>
      <c r="AP820" s="77"/>
      <c r="AQ820" s="77"/>
      <c r="AR820" s="77"/>
      <c r="AS820" s="77"/>
      <c r="AT820" s="77"/>
      <c r="AU820" s="77"/>
      <c r="AV820" s="80" t="str">
        <f>HYPERLINK("https://pbs.twimg.com/profile_images/833576943677214720/5ZyUgpEJ_normal.jpg")</f>
        <v>https://pbs.twimg.com/profile_images/833576943677214720/5ZyUgpEJ_normal.jpg</v>
      </c>
      <c r="AW820" s="81" t="s">
        <v>5166</v>
      </c>
      <c r="AX820" s="81" t="s">
        <v>5167</v>
      </c>
      <c r="AY820" s="81" t="s">
        <v>5721</v>
      </c>
      <c r="AZ820" s="81" t="s">
        <v>5167</v>
      </c>
      <c r="BA820" s="81" t="s">
        <v>5773</v>
      </c>
      <c r="BB820" s="81" t="s">
        <v>5773</v>
      </c>
      <c r="BC820" s="81" t="s">
        <v>5167</v>
      </c>
      <c r="BD820" s="77">
        <v>297885438</v>
      </c>
      <c r="BE820" s="77"/>
      <c r="BF820" s="77"/>
      <c r="BG820" s="77"/>
      <c r="BH820" s="77"/>
      <c r="BI820" s="77"/>
    </row>
    <row r="821" spans="1:61" ht="15">
      <c r="A821" s="62" t="s">
        <v>299</v>
      </c>
      <c r="B821" s="62" t="s">
        <v>299</v>
      </c>
      <c r="C821" s="63"/>
      <c r="D821" s="64"/>
      <c r="E821" s="65"/>
      <c r="F821" s="66"/>
      <c r="G821" s="63"/>
      <c r="H821" s="67"/>
      <c r="I821" s="68"/>
      <c r="J821" s="68"/>
      <c r="K821" s="32" t="s">
        <v>65</v>
      </c>
      <c r="L821" s="75">
        <v>821</v>
      </c>
      <c r="M821" s="75"/>
      <c r="N821" s="70"/>
      <c r="O821" s="77" t="s">
        <v>179</v>
      </c>
      <c r="P821" s="79">
        <v>44601.751388888886</v>
      </c>
      <c r="Q821" s="81" t="s">
        <v>1218</v>
      </c>
      <c r="R821" s="77">
        <v>0</v>
      </c>
      <c r="S821" s="77">
        <v>0</v>
      </c>
      <c r="T821" s="77">
        <v>1</v>
      </c>
      <c r="U821" s="77">
        <v>0</v>
      </c>
      <c r="V821" s="77"/>
      <c r="W821" s="77"/>
      <c r="X821" s="80" t="str">
        <f>HYPERLINK("https://www.hindustantimes.com/india-news/idhar-mat-dekho-in-message-to-pakistan-over-hijab-row-owaisi-mentions-malala-101644411989010-amp.html?utm_source=twitter&amp;utm_medium=social&amp;utm_campaign=ht_AMP")</f>
        <v>https://www.hindustantimes.com/india-news/idhar-mat-dekho-in-message-to-pakistan-over-hijab-row-owaisi-mentions-malala-101644411989010-amp.html?utm_source=twitter&amp;utm_medium=social&amp;utm_campaign=ht_AMP</v>
      </c>
      <c r="Y821" s="77" t="s">
        <v>2046</v>
      </c>
      <c r="Z821" s="77"/>
      <c r="AA821" s="77"/>
      <c r="AB821" s="77"/>
      <c r="AC821" s="81" t="s">
        <v>2704</v>
      </c>
      <c r="AD821" s="77" t="s">
        <v>2754</v>
      </c>
      <c r="AE821" s="80" t="str">
        <f>HYPERLINK("https://twitter.com/inovies/status/1491472465498755072")</f>
        <v>https://twitter.com/inovies/status/1491472465498755072</v>
      </c>
      <c r="AF821" s="79">
        <v>44601.751388888886</v>
      </c>
      <c r="AG821" s="85">
        <v>44601</v>
      </c>
      <c r="AH821" s="81" t="s">
        <v>3419</v>
      </c>
      <c r="AI821" s="77" t="b">
        <v>0</v>
      </c>
      <c r="AJ821" s="77"/>
      <c r="AK821" s="77"/>
      <c r="AL821" s="77"/>
      <c r="AM821" s="77"/>
      <c r="AN821" s="77"/>
      <c r="AO821" s="77"/>
      <c r="AP821" s="77"/>
      <c r="AQ821" s="77"/>
      <c r="AR821" s="77"/>
      <c r="AS821" s="77"/>
      <c r="AT821" s="77"/>
      <c r="AU821" s="77"/>
      <c r="AV821" s="80" t="str">
        <f>HYPERLINK("https://pbs.twimg.com/profile_images/833576943677214720/5ZyUgpEJ_normal.jpg")</f>
        <v>https://pbs.twimg.com/profile_images/833576943677214720/5ZyUgpEJ_normal.jpg</v>
      </c>
      <c r="AW821" s="81" t="s">
        <v>5167</v>
      </c>
      <c r="AX821" s="81" t="s">
        <v>5167</v>
      </c>
      <c r="AY821" s="77"/>
      <c r="AZ821" s="81" t="s">
        <v>5773</v>
      </c>
      <c r="BA821" s="81" t="s">
        <v>5773</v>
      </c>
      <c r="BB821" s="81" t="s">
        <v>5773</v>
      </c>
      <c r="BC821" s="81" t="s">
        <v>5167</v>
      </c>
      <c r="BD821" s="77">
        <v>297885438</v>
      </c>
      <c r="BE821" s="77"/>
      <c r="BF821" s="77"/>
      <c r="BG821" s="77"/>
      <c r="BH821" s="77"/>
      <c r="BI821" s="77"/>
    </row>
    <row r="822" spans="1:61" ht="15">
      <c r="A822" s="62" t="s">
        <v>299</v>
      </c>
      <c r="B822" s="62" t="s">
        <v>299</v>
      </c>
      <c r="C822" s="63"/>
      <c r="D822" s="64"/>
      <c r="E822" s="65"/>
      <c r="F822" s="66"/>
      <c r="G822" s="63"/>
      <c r="H822" s="67"/>
      <c r="I822" s="68"/>
      <c r="J822" s="68"/>
      <c r="K822" s="32" t="s">
        <v>65</v>
      </c>
      <c r="L822" s="75">
        <v>822</v>
      </c>
      <c r="M822" s="75"/>
      <c r="N822" s="70"/>
      <c r="O822" s="77" t="s">
        <v>179</v>
      </c>
      <c r="P822" s="79">
        <v>44356.766863425924</v>
      </c>
      <c r="Q822" s="77" t="s">
        <v>1219</v>
      </c>
      <c r="R822" s="77">
        <v>14</v>
      </c>
      <c r="S822" s="77">
        <v>210</v>
      </c>
      <c r="T822" s="77">
        <v>4</v>
      </c>
      <c r="U822" s="77">
        <v>2</v>
      </c>
      <c r="V822" s="77"/>
      <c r="W822" s="81" t="s">
        <v>1710</v>
      </c>
      <c r="X822" s="77"/>
      <c r="Y822" s="77"/>
      <c r="Z822" s="77"/>
      <c r="AA822" s="77" t="s">
        <v>2367</v>
      </c>
      <c r="AB822" s="77" t="s">
        <v>2696</v>
      </c>
      <c r="AC822" s="81" t="s">
        <v>2704</v>
      </c>
      <c r="AD822" s="77" t="s">
        <v>2752</v>
      </c>
      <c r="AE822" s="80" t="str">
        <f>HYPERLINK("https://twitter.com/inovies/status/1402693044516757504")</f>
        <v>https://twitter.com/inovies/status/1402693044516757504</v>
      </c>
      <c r="AF822" s="79">
        <v>44356.766863425924</v>
      </c>
      <c r="AG822" s="85">
        <v>44356</v>
      </c>
      <c r="AH822" s="81" t="s">
        <v>3420</v>
      </c>
      <c r="AI822" s="77" t="b">
        <v>0</v>
      </c>
      <c r="AJ822" s="77"/>
      <c r="AK822" s="77"/>
      <c r="AL822" s="77"/>
      <c r="AM822" s="77"/>
      <c r="AN822" s="77"/>
      <c r="AO822" s="77"/>
      <c r="AP822" s="77"/>
      <c r="AQ822" s="77" t="s">
        <v>4181</v>
      </c>
      <c r="AR822" s="77"/>
      <c r="AS822" s="77"/>
      <c r="AT822" s="77"/>
      <c r="AU822" s="77"/>
      <c r="AV822" s="80" t="str">
        <f>HYPERLINK("https://pbs.twimg.com/media/E3dd4wTVUAEYSg2.jpg")</f>
        <v>https://pbs.twimg.com/media/E3dd4wTVUAEYSg2.jpg</v>
      </c>
      <c r="AW822" s="81" t="s">
        <v>5168</v>
      </c>
      <c r="AX822" s="81" t="s">
        <v>5168</v>
      </c>
      <c r="AY822" s="77"/>
      <c r="AZ822" s="81" t="s">
        <v>5773</v>
      </c>
      <c r="BA822" s="81" t="s">
        <v>5773</v>
      </c>
      <c r="BB822" s="81" t="s">
        <v>5773</v>
      </c>
      <c r="BC822" s="81" t="s">
        <v>5168</v>
      </c>
      <c r="BD822" s="77">
        <v>297885438</v>
      </c>
      <c r="BE822" s="77"/>
      <c r="BF822" s="77"/>
      <c r="BG822" s="77"/>
      <c r="BH822" s="77"/>
      <c r="BI822" s="77"/>
    </row>
    <row r="823" spans="1:61" ht="15">
      <c r="A823" s="62" t="s">
        <v>299</v>
      </c>
      <c r="B823" s="62" t="s">
        <v>299</v>
      </c>
      <c r="C823" s="63"/>
      <c r="D823" s="64"/>
      <c r="E823" s="65"/>
      <c r="F823" s="66"/>
      <c r="G823" s="63"/>
      <c r="H823" s="67"/>
      <c r="I823" s="68"/>
      <c r="J823" s="68"/>
      <c r="K823" s="32" t="s">
        <v>65</v>
      </c>
      <c r="L823" s="75">
        <v>823</v>
      </c>
      <c r="M823" s="75"/>
      <c r="N823" s="70"/>
      <c r="O823" s="77" t="s">
        <v>179</v>
      </c>
      <c r="P823" s="79">
        <v>43306.30572916667</v>
      </c>
      <c r="Q823" s="77" t="s">
        <v>1220</v>
      </c>
      <c r="R823" s="77">
        <v>0</v>
      </c>
      <c r="S823" s="77">
        <v>0</v>
      </c>
      <c r="T823" s="77">
        <v>0</v>
      </c>
      <c r="U823" s="77">
        <v>0</v>
      </c>
      <c r="V823" s="77"/>
      <c r="W823" s="81" t="s">
        <v>1882</v>
      </c>
      <c r="X823" s="77"/>
      <c r="Y823" s="77"/>
      <c r="Z823" s="77"/>
      <c r="AA823" s="77" t="s">
        <v>2368</v>
      </c>
      <c r="AB823" s="77" t="s">
        <v>2696</v>
      </c>
      <c r="AC823" s="81" t="s">
        <v>2705</v>
      </c>
      <c r="AD823" s="77" t="s">
        <v>2752</v>
      </c>
      <c r="AE823" s="80" t="str">
        <f>HYPERLINK("https://twitter.com/inovies/status/1022018675275182080")</f>
        <v>https://twitter.com/inovies/status/1022018675275182080</v>
      </c>
      <c r="AF823" s="79">
        <v>43306.30572916667</v>
      </c>
      <c r="AG823" s="85">
        <v>43306</v>
      </c>
      <c r="AH823" s="81" t="s">
        <v>3421</v>
      </c>
      <c r="AI823" s="77" t="b">
        <v>0</v>
      </c>
      <c r="AJ823" s="77"/>
      <c r="AK823" s="77"/>
      <c r="AL823" s="77"/>
      <c r="AM823" s="77"/>
      <c r="AN823" s="77"/>
      <c r="AO823" s="77"/>
      <c r="AP823" s="77"/>
      <c r="AQ823" s="77" t="s">
        <v>4182</v>
      </c>
      <c r="AR823" s="77"/>
      <c r="AS823" s="77"/>
      <c r="AT823" s="77"/>
      <c r="AU823" s="77"/>
      <c r="AV823" s="80" t="str">
        <f>HYPERLINK("https://pbs.twimg.com/media/Di7wggeX4AAFKR6.jpg")</f>
        <v>https://pbs.twimg.com/media/Di7wggeX4AAFKR6.jpg</v>
      </c>
      <c r="AW823" s="81" t="s">
        <v>5169</v>
      </c>
      <c r="AX823" s="81" t="s">
        <v>5169</v>
      </c>
      <c r="AY823" s="77"/>
      <c r="AZ823" s="81" t="s">
        <v>5773</v>
      </c>
      <c r="BA823" s="81" t="s">
        <v>5773</v>
      </c>
      <c r="BB823" s="81" t="s">
        <v>5773</v>
      </c>
      <c r="BC823" s="81" t="s">
        <v>5169</v>
      </c>
      <c r="BD823" s="77">
        <v>297885438</v>
      </c>
      <c r="BE823" s="77"/>
      <c r="BF823" s="77"/>
      <c r="BG823" s="77"/>
      <c r="BH823" s="77"/>
      <c r="BI823" s="77"/>
    </row>
    <row r="824" spans="1:61" ht="15">
      <c r="A824" s="62" t="s">
        <v>299</v>
      </c>
      <c r="B824" s="62" t="s">
        <v>299</v>
      </c>
      <c r="C824" s="63"/>
      <c r="D824" s="64"/>
      <c r="E824" s="65"/>
      <c r="F824" s="66"/>
      <c r="G824" s="63"/>
      <c r="H824" s="67"/>
      <c r="I824" s="68"/>
      <c r="J824" s="68"/>
      <c r="K824" s="32" t="s">
        <v>65</v>
      </c>
      <c r="L824" s="75">
        <v>824</v>
      </c>
      <c r="M824" s="75"/>
      <c r="N824" s="70"/>
      <c r="O824" s="77" t="s">
        <v>179</v>
      </c>
      <c r="P824" s="79">
        <v>43304.20523148148</v>
      </c>
      <c r="Q824" s="77" t="s">
        <v>1221</v>
      </c>
      <c r="R824" s="77">
        <v>0</v>
      </c>
      <c r="S824" s="77">
        <v>0</v>
      </c>
      <c r="T824" s="77">
        <v>0</v>
      </c>
      <c r="U824" s="77">
        <v>0</v>
      </c>
      <c r="V824" s="77"/>
      <c r="W824" s="81" t="s">
        <v>1872</v>
      </c>
      <c r="X824" s="77"/>
      <c r="Y824" s="77"/>
      <c r="Z824" s="77"/>
      <c r="AA824" s="77" t="s">
        <v>2369</v>
      </c>
      <c r="AB824" s="77" t="s">
        <v>2696</v>
      </c>
      <c r="AC824" s="81" t="s">
        <v>2705</v>
      </c>
      <c r="AD824" s="77" t="s">
        <v>2752</v>
      </c>
      <c r="AE824" s="80" t="str">
        <f>HYPERLINK("https://twitter.com/inovies/status/1021257480695713792")</f>
        <v>https://twitter.com/inovies/status/1021257480695713792</v>
      </c>
      <c r="AF824" s="79">
        <v>43304.20523148148</v>
      </c>
      <c r="AG824" s="85">
        <v>43304</v>
      </c>
      <c r="AH824" s="81" t="s">
        <v>3422</v>
      </c>
      <c r="AI824" s="77" t="b">
        <v>0</v>
      </c>
      <c r="AJ824" s="77"/>
      <c r="AK824" s="77"/>
      <c r="AL824" s="77"/>
      <c r="AM824" s="77"/>
      <c r="AN824" s="77"/>
      <c r="AO824" s="77"/>
      <c r="AP824" s="77"/>
      <c r="AQ824" s="77" t="s">
        <v>4183</v>
      </c>
      <c r="AR824" s="77"/>
      <c r="AS824" s="77"/>
      <c r="AT824" s="77"/>
      <c r="AU824" s="77"/>
      <c r="AV824" s="80" t="str">
        <f>HYPERLINK("https://pbs.twimg.com/media/Diw8NujUYAA4_h5.jpg")</f>
        <v>https://pbs.twimg.com/media/Diw8NujUYAA4_h5.jpg</v>
      </c>
      <c r="AW824" s="81" t="s">
        <v>5170</v>
      </c>
      <c r="AX824" s="81" t="s">
        <v>5170</v>
      </c>
      <c r="AY824" s="77"/>
      <c r="AZ824" s="81" t="s">
        <v>5773</v>
      </c>
      <c r="BA824" s="81" t="s">
        <v>5773</v>
      </c>
      <c r="BB824" s="81" t="s">
        <v>5773</v>
      </c>
      <c r="BC824" s="81" t="s">
        <v>5170</v>
      </c>
      <c r="BD824" s="77">
        <v>297885438</v>
      </c>
      <c r="BE824" s="77"/>
      <c r="BF824" s="77"/>
      <c r="BG824" s="77"/>
      <c r="BH824" s="77"/>
      <c r="BI824" s="77"/>
    </row>
    <row r="825" spans="1:61" ht="15">
      <c r="A825" s="62" t="s">
        <v>299</v>
      </c>
      <c r="B825" s="62" t="s">
        <v>299</v>
      </c>
      <c r="C825" s="63"/>
      <c r="D825" s="64"/>
      <c r="E825" s="65"/>
      <c r="F825" s="66"/>
      <c r="G825" s="63"/>
      <c r="H825" s="67"/>
      <c r="I825" s="68"/>
      <c r="J825" s="68"/>
      <c r="K825" s="32" t="s">
        <v>65</v>
      </c>
      <c r="L825" s="75">
        <v>825</v>
      </c>
      <c r="M825" s="75"/>
      <c r="N825" s="70"/>
      <c r="O825" s="77" t="s">
        <v>179</v>
      </c>
      <c r="P825" s="79">
        <v>43302.25251157407</v>
      </c>
      <c r="Q825" s="77" t="s">
        <v>1222</v>
      </c>
      <c r="R825" s="77">
        <v>0</v>
      </c>
      <c r="S825" s="77">
        <v>3</v>
      </c>
      <c r="T825" s="77">
        <v>0</v>
      </c>
      <c r="U825" s="77">
        <v>0</v>
      </c>
      <c r="V825" s="77"/>
      <c r="W825" s="81" t="s">
        <v>1883</v>
      </c>
      <c r="X825" s="77"/>
      <c r="Y825" s="77"/>
      <c r="Z825" s="77"/>
      <c r="AA825" s="77" t="s">
        <v>2370</v>
      </c>
      <c r="AB825" s="77" t="s">
        <v>2696</v>
      </c>
      <c r="AC825" s="81" t="s">
        <v>2705</v>
      </c>
      <c r="AD825" s="77" t="s">
        <v>2752</v>
      </c>
      <c r="AE825" s="80" t="str">
        <f>HYPERLINK("https://twitter.com/inovies/status/1020549841435279361")</f>
        <v>https://twitter.com/inovies/status/1020549841435279361</v>
      </c>
      <c r="AF825" s="79">
        <v>43302.25251157407</v>
      </c>
      <c r="AG825" s="85">
        <v>43302</v>
      </c>
      <c r="AH825" s="81" t="s">
        <v>3423</v>
      </c>
      <c r="AI825" s="77" t="b">
        <v>0</v>
      </c>
      <c r="AJ825" s="77"/>
      <c r="AK825" s="77"/>
      <c r="AL825" s="77"/>
      <c r="AM825" s="77"/>
      <c r="AN825" s="77"/>
      <c r="AO825" s="77"/>
      <c r="AP825" s="77"/>
      <c r="AQ825" s="77" t="s">
        <v>4184</v>
      </c>
      <c r="AR825" s="77"/>
      <c r="AS825" s="77"/>
      <c r="AT825" s="77"/>
      <c r="AU825" s="77"/>
      <c r="AV825" s="80" t="str">
        <f>HYPERLINK("https://pbs.twimg.com/media/Dim4g9CXsAAJ8W9.jpg")</f>
        <v>https://pbs.twimg.com/media/Dim4g9CXsAAJ8W9.jpg</v>
      </c>
      <c r="AW825" s="81" t="s">
        <v>5171</v>
      </c>
      <c r="AX825" s="81" t="s">
        <v>5171</v>
      </c>
      <c r="AY825" s="77"/>
      <c r="AZ825" s="81" t="s">
        <v>5773</v>
      </c>
      <c r="BA825" s="81" t="s">
        <v>5773</v>
      </c>
      <c r="BB825" s="81" t="s">
        <v>5773</v>
      </c>
      <c r="BC825" s="81" t="s">
        <v>5171</v>
      </c>
      <c r="BD825" s="77">
        <v>297885438</v>
      </c>
      <c r="BE825" s="77"/>
      <c r="BF825" s="77"/>
      <c r="BG825" s="77"/>
      <c r="BH825" s="77"/>
      <c r="BI825" s="77"/>
    </row>
    <row r="826" spans="1:61" ht="15">
      <c r="A826" s="62" t="s">
        <v>299</v>
      </c>
      <c r="B826" s="62" t="s">
        <v>299</v>
      </c>
      <c r="C826" s="63"/>
      <c r="D826" s="64"/>
      <c r="E826" s="65"/>
      <c r="F826" s="66"/>
      <c r="G826" s="63"/>
      <c r="H826" s="67"/>
      <c r="I826" s="68"/>
      <c r="J826" s="68"/>
      <c r="K826" s="32" t="s">
        <v>65</v>
      </c>
      <c r="L826" s="75">
        <v>826</v>
      </c>
      <c r="M826" s="75"/>
      <c r="N826" s="70"/>
      <c r="O826" s="77" t="s">
        <v>179</v>
      </c>
      <c r="P826" s="79">
        <v>43301.20506944445</v>
      </c>
      <c r="Q826" s="80" t="str">
        <f>HYPERLINK("https://t.co/crxMitnVx2")</f>
        <v>https://t.co/crxMitnVx2</v>
      </c>
      <c r="R826" s="77">
        <v>0</v>
      </c>
      <c r="S826" s="77">
        <v>1</v>
      </c>
      <c r="T826" s="77">
        <v>0</v>
      </c>
      <c r="U826" s="77">
        <v>0</v>
      </c>
      <c r="V826" s="77"/>
      <c r="W826" s="77"/>
      <c r="X826" s="77"/>
      <c r="Y826" s="77"/>
      <c r="Z826" s="77"/>
      <c r="AA826" s="77" t="s">
        <v>2371</v>
      </c>
      <c r="AB826" s="77" t="s">
        <v>2696</v>
      </c>
      <c r="AC826" s="81" t="s">
        <v>2705</v>
      </c>
      <c r="AD826" s="77" t="s">
        <v>2756</v>
      </c>
      <c r="AE826" s="80" t="str">
        <f>HYPERLINK("https://twitter.com/inovies/status/1020170261918756865")</f>
        <v>https://twitter.com/inovies/status/1020170261918756865</v>
      </c>
      <c r="AF826" s="79">
        <v>43301.20506944445</v>
      </c>
      <c r="AG826" s="85">
        <v>43301</v>
      </c>
      <c r="AH826" s="81" t="s">
        <v>3424</v>
      </c>
      <c r="AI826" s="77" t="b">
        <v>0</v>
      </c>
      <c r="AJ826" s="77"/>
      <c r="AK826" s="77"/>
      <c r="AL826" s="77"/>
      <c r="AM826" s="77"/>
      <c r="AN826" s="77"/>
      <c r="AO826" s="77"/>
      <c r="AP826" s="77"/>
      <c r="AQ826" s="77" t="s">
        <v>4185</v>
      </c>
      <c r="AR826" s="77"/>
      <c r="AS826" s="77"/>
      <c r="AT826" s="77"/>
      <c r="AU826" s="77"/>
      <c r="AV826" s="80" t="str">
        <f>HYPERLINK("https://pbs.twimg.com/media/Dihfb3JV4AE8Sx_.jpg")</f>
        <v>https://pbs.twimg.com/media/Dihfb3JV4AE8Sx_.jpg</v>
      </c>
      <c r="AW826" s="81" t="s">
        <v>5172</v>
      </c>
      <c r="AX826" s="81" t="s">
        <v>5172</v>
      </c>
      <c r="AY826" s="77"/>
      <c r="AZ826" s="81" t="s">
        <v>5773</v>
      </c>
      <c r="BA826" s="81" t="s">
        <v>5773</v>
      </c>
      <c r="BB826" s="81" t="s">
        <v>5773</v>
      </c>
      <c r="BC826" s="81" t="s">
        <v>5172</v>
      </c>
      <c r="BD826" s="77">
        <v>297885438</v>
      </c>
      <c r="BE826" s="77"/>
      <c r="BF826" s="77"/>
      <c r="BG826" s="77"/>
      <c r="BH826" s="77"/>
      <c r="BI826" s="77"/>
    </row>
    <row r="827" spans="1:61" ht="15">
      <c r="A827" s="62" t="s">
        <v>299</v>
      </c>
      <c r="B827" s="62" t="s">
        <v>299</v>
      </c>
      <c r="C827" s="63"/>
      <c r="D827" s="64"/>
      <c r="E827" s="65"/>
      <c r="F827" s="66"/>
      <c r="G827" s="63"/>
      <c r="H827" s="67"/>
      <c r="I827" s="68"/>
      <c r="J827" s="68"/>
      <c r="K827" s="32" t="s">
        <v>65</v>
      </c>
      <c r="L827" s="75">
        <v>827</v>
      </c>
      <c r="M827" s="75"/>
      <c r="N827" s="70"/>
      <c r="O827" s="77" t="s">
        <v>179</v>
      </c>
      <c r="P827" s="79">
        <v>43300.52725694444</v>
      </c>
      <c r="Q827" s="80" t="str">
        <f>HYPERLINK("https://t.co/YvIsjJ8diQ")</f>
        <v>https://t.co/YvIsjJ8diQ</v>
      </c>
      <c r="R827" s="77">
        <v>0</v>
      </c>
      <c r="S827" s="77">
        <v>0</v>
      </c>
      <c r="T827" s="77">
        <v>0</v>
      </c>
      <c r="U827" s="77">
        <v>0</v>
      </c>
      <c r="V827" s="77"/>
      <c r="W827" s="77"/>
      <c r="X827" s="77"/>
      <c r="Y827" s="77"/>
      <c r="Z827" s="77"/>
      <c r="AA827" s="77" t="s">
        <v>2372</v>
      </c>
      <c r="AB827" s="77" t="s">
        <v>2696</v>
      </c>
      <c r="AC827" s="81" t="s">
        <v>2705</v>
      </c>
      <c r="AD827" s="77" t="s">
        <v>2756</v>
      </c>
      <c r="AE827" s="80" t="str">
        <f>HYPERLINK("https://twitter.com/inovies/status/1019924628087529473")</f>
        <v>https://twitter.com/inovies/status/1019924628087529473</v>
      </c>
      <c r="AF827" s="79">
        <v>43300.52725694444</v>
      </c>
      <c r="AG827" s="85">
        <v>43300</v>
      </c>
      <c r="AH827" s="81" t="s">
        <v>3425</v>
      </c>
      <c r="AI827" s="77" t="b">
        <v>0</v>
      </c>
      <c r="AJ827" s="77"/>
      <c r="AK827" s="77"/>
      <c r="AL827" s="77"/>
      <c r="AM827" s="77"/>
      <c r="AN827" s="77"/>
      <c r="AO827" s="77"/>
      <c r="AP827" s="77"/>
      <c r="AQ827" s="77" t="s">
        <v>4186</v>
      </c>
      <c r="AR827" s="77"/>
      <c r="AS827" s="77"/>
      <c r="AT827" s="77"/>
      <c r="AU827" s="77"/>
      <c r="AV827" s="80" t="str">
        <f>HYPERLINK("https://pbs.twimg.com/media/DieAB5mUwAAY9OJ.jpg")</f>
        <v>https://pbs.twimg.com/media/DieAB5mUwAAY9OJ.jpg</v>
      </c>
      <c r="AW827" s="81" t="s">
        <v>5173</v>
      </c>
      <c r="AX827" s="81" t="s">
        <v>5173</v>
      </c>
      <c r="AY827" s="77"/>
      <c r="AZ827" s="81" t="s">
        <v>5773</v>
      </c>
      <c r="BA827" s="81" t="s">
        <v>5773</v>
      </c>
      <c r="BB827" s="81" t="s">
        <v>5773</v>
      </c>
      <c r="BC827" s="81" t="s">
        <v>5173</v>
      </c>
      <c r="BD827" s="77">
        <v>297885438</v>
      </c>
      <c r="BE827" s="77"/>
      <c r="BF827" s="77"/>
      <c r="BG827" s="77"/>
      <c r="BH827" s="77"/>
      <c r="BI827" s="77"/>
    </row>
    <row r="828" spans="1:61" ht="15">
      <c r="A828" s="62" t="s">
        <v>299</v>
      </c>
      <c r="B828" s="62" t="s">
        <v>299</v>
      </c>
      <c r="C828" s="63"/>
      <c r="D828" s="64"/>
      <c r="E828" s="65"/>
      <c r="F828" s="66"/>
      <c r="G828" s="63"/>
      <c r="H828" s="67"/>
      <c r="I828" s="68"/>
      <c r="J828" s="68"/>
      <c r="K828" s="32" t="s">
        <v>65</v>
      </c>
      <c r="L828" s="75">
        <v>828</v>
      </c>
      <c r="M828" s="75"/>
      <c r="N828" s="70"/>
      <c r="O828" s="77" t="s">
        <v>179</v>
      </c>
      <c r="P828" s="79">
        <v>43288.196377314816</v>
      </c>
      <c r="Q828" s="77" t="s">
        <v>1223</v>
      </c>
      <c r="R828" s="77">
        <v>0</v>
      </c>
      <c r="S828" s="77">
        <v>0</v>
      </c>
      <c r="T828" s="77">
        <v>0</v>
      </c>
      <c r="U828" s="77">
        <v>0</v>
      </c>
      <c r="V828" s="77"/>
      <c r="W828" s="77"/>
      <c r="X828" s="77"/>
      <c r="Y828" s="77"/>
      <c r="Z828" s="77"/>
      <c r="AA828" s="77"/>
      <c r="AB828" s="77"/>
      <c r="AC828" s="81" t="s">
        <v>2705</v>
      </c>
      <c r="AD828" s="77" t="s">
        <v>2751</v>
      </c>
      <c r="AE828" s="80" t="str">
        <f>HYPERLINK("https://twitter.com/inovies/status/1015456067956850690")</f>
        <v>https://twitter.com/inovies/status/1015456067956850690</v>
      </c>
      <c r="AF828" s="79">
        <v>43288.196377314816</v>
      </c>
      <c r="AG828" s="85">
        <v>43288</v>
      </c>
      <c r="AH828" s="81" t="s">
        <v>3426</v>
      </c>
      <c r="AI828" s="77"/>
      <c r="AJ828" s="77" t="s">
        <v>3881</v>
      </c>
      <c r="AK828" s="77" t="s">
        <v>3889</v>
      </c>
      <c r="AL828" s="77" t="s">
        <v>3892</v>
      </c>
      <c r="AM828" s="77" t="s">
        <v>3895</v>
      </c>
      <c r="AN828" s="77" t="s">
        <v>3902</v>
      </c>
      <c r="AO828" s="77" t="s">
        <v>3910</v>
      </c>
      <c r="AP828" s="77" t="s">
        <v>3917</v>
      </c>
      <c r="AQ828" s="77"/>
      <c r="AR828" s="77"/>
      <c r="AS828" s="77"/>
      <c r="AT828" s="77"/>
      <c r="AU828" s="77"/>
      <c r="AV828" s="80" t="str">
        <f>HYPERLINK("https://pbs.twimg.com/profile_images/833576943677214720/5ZyUgpEJ_normal.jpg")</f>
        <v>https://pbs.twimg.com/profile_images/833576943677214720/5ZyUgpEJ_normal.jpg</v>
      </c>
      <c r="AW828" s="81" t="s">
        <v>5174</v>
      </c>
      <c r="AX828" s="81" t="s">
        <v>5174</v>
      </c>
      <c r="AY828" s="77"/>
      <c r="AZ828" s="81" t="s">
        <v>5773</v>
      </c>
      <c r="BA828" s="81" t="s">
        <v>5773</v>
      </c>
      <c r="BB828" s="81" t="s">
        <v>5773</v>
      </c>
      <c r="BC828" s="81" t="s">
        <v>5174</v>
      </c>
      <c r="BD828" s="77">
        <v>297885438</v>
      </c>
      <c r="BE828" s="77"/>
      <c r="BF828" s="77"/>
      <c r="BG828" s="77"/>
      <c r="BH828" s="77"/>
      <c r="BI828" s="77"/>
    </row>
    <row r="829" spans="1:61" ht="15">
      <c r="A829" s="62" t="s">
        <v>299</v>
      </c>
      <c r="B829" s="62" t="s">
        <v>299</v>
      </c>
      <c r="C829" s="63"/>
      <c r="D829" s="64"/>
      <c r="E829" s="65"/>
      <c r="F829" s="66"/>
      <c r="G829" s="63"/>
      <c r="H829" s="67"/>
      <c r="I829" s="68"/>
      <c r="J829" s="68"/>
      <c r="K829" s="32" t="s">
        <v>65</v>
      </c>
      <c r="L829" s="75">
        <v>829</v>
      </c>
      <c r="M829" s="75"/>
      <c r="N829" s="70"/>
      <c r="O829" s="77" t="s">
        <v>179</v>
      </c>
      <c r="P829" s="79">
        <v>43284.60425925926</v>
      </c>
      <c r="Q829" s="77" t="s">
        <v>1224</v>
      </c>
      <c r="R829" s="77">
        <v>1</v>
      </c>
      <c r="S829" s="77">
        <v>1</v>
      </c>
      <c r="T829" s="77">
        <v>0</v>
      </c>
      <c r="U829" s="77">
        <v>0</v>
      </c>
      <c r="V829" s="77"/>
      <c r="W829" s="77"/>
      <c r="X829" s="77"/>
      <c r="Y829" s="77"/>
      <c r="Z829" s="77"/>
      <c r="AA829" s="77" t="s">
        <v>2373</v>
      </c>
      <c r="AB829" s="77" t="s">
        <v>2698</v>
      </c>
      <c r="AC829" s="81" t="s">
        <v>2747</v>
      </c>
      <c r="AD829" s="77" t="s">
        <v>2751</v>
      </c>
      <c r="AE829" s="80" t="str">
        <f>HYPERLINK("https://twitter.com/inovies/status/1014154328486146049")</f>
        <v>https://twitter.com/inovies/status/1014154328486146049</v>
      </c>
      <c r="AF829" s="79">
        <v>43284.60425925926</v>
      </c>
      <c r="AG829" s="85">
        <v>43284</v>
      </c>
      <c r="AH829" s="81" t="s">
        <v>3427</v>
      </c>
      <c r="AI829" s="77" t="b">
        <v>0</v>
      </c>
      <c r="AJ829" s="77"/>
      <c r="AK829" s="77"/>
      <c r="AL829" s="77"/>
      <c r="AM829" s="77"/>
      <c r="AN829" s="77"/>
      <c r="AO829" s="77"/>
      <c r="AP829" s="77"/>
      <c r="AQ829" s="77" t="s">
        <v>4187</v>
      </c>
      <c r="AR829" s="77"/>
      <c r="AS829" s="77"/>
      <c r="AT829" s="77"/>
      <c r="AU829" s="77"/>
      <c r="AV829" s="80" t="str">
        <f>HYPERLINK("https://pbs.twimg.com/tweet_video_thumb/DhLyOiiU8AEMu7w.jpg")</f>
        <v>https://pbs.twimg.com/tweet_video_thumb/DhLyOiiU8AEMu7w.jpg</v>
      </c>
      <c r="AW829" s="81" t="s">
        <v>5175</v>
      </c>
      <c r="AX829" s="81" t="s">
        <v>5175</v>
      </c>
      <c r="AY829" s="77"/>
      <c r="AZ829" s="81" t="s">
        <v>5773</v>
      </c>
      <c r="BA829" s="81" t="s">
        <v>5773</v>
      </c>
      <c r="BB829" s="81" t="s">
        <v>5773</v>
      </c>
      <c r="BC829" s="81" t="s">
        <v>5175</v>
      </c>
      <c r="BD829" s="77">
        <v>297885438</v>
      </c>
      <c r="BE829" s="77"/>
      <c r="BF829" s="77"/>
      <c r="BG829" s="77"/>
      <c r="BH829" s="77"/>
      <c r="BI829" s="77"/>
    </row>
    <row r="830" spans="1:61" ht="15">
      <c r="A830" s="62" t="s">
        <v>299</v>
      </c>
      <c r="B830" s="62" t="s">
        <v>299</v>
      </c>
      <c r="C830" s="63"/>
      <c r="D830" s="64"/>
      <c r="E830" s="65"/>
      <c r="F830" s="66"/>
      <c r="G830" s="63"/>
      <c r="H830" s="67"/>
      <c r="I830" s="68"/>
      <c r="J830" s="68"/>
      <c r="K830" s="32" t="s">
        <v>65</v>
      </c>
      <c r="L830" s="75">
        <v>830</v>
      </c>
      <c r="M830" s="75"/>
      <c r="N830" s="70"/>
      <c r="O830" s="77" t="s">
        <v>179</v>
      </c>
      <c r="P830" s="79">
        <v>43283.681597222225</v>
      </c>
      <c r="Q830" s="77" t="s">
        <v>1225</v>
      </c>
      <c r="R830" s="77">
        <v>0</v>
      </c>
      <c r="S830" s="77">
        <v>0</v>
      </c>
      <c r="T830" s="77">
        <v>0</v>
      </c>
      <c r="U830" s="77">
        <v>0</v>
      </c>
      <c r="V830" s="77"/>
      <c r="W830" s="77"/>
      <c r="X830" s="77"/>
      <c r="Y830" s="77"/>
      <c r="Z830" s="77"/>
      <c r="AA830" s="77"/>
      <c r="AB830" s="77"/>
      <c r="AC830" s="81" t="s">
        <v>2747</v>
      </c>
      <c r="AD830" s="77" t="s">
        <v>2751</v>
      </c>
      <c r="AE830" s="80" t="str">
        <f>HYPERLINK("https://twitter.com/inovies/status/1013819964959154177")</f>
        <v>https://twitter.com/inovies/status/1013819964959154177</v>
      </c>
      <c r="AF830" s="79">
        <v>43283.681597222225</v>
      </c>
      <c r="AG830" s="85">
        <v>43283</v>
      </c>
      <c r="AH830" s="81" t="s">
        <v>3428</v>
      </c>
      <c r="AI830" s="77"/>
      <c r="AJ830" s="77"/>
      <c r="AK830" s="77"/>
      <c r="AL830" s="77"/>
      <c r="AM830" s="77"/>
      <c r="AN830" s="77"/>
      <c r="AO830" s="77"/>
      <c r="AP830" s="77"/>
      <c r="AQ830" s="77"/>
      <c r="AR830" s="77"/>
      <c r="AS830" s="77"/>
      <c r="AT830" s="77"/>
      <c r="AU830" s="77"/>
      <c r="AV830" s="80" t="str">
        <f>HYPERLINK("https://pbs.twimg.com/profile_images/833576943677214720/5ZyUgpEJ_normal.jpg")</f>
        <v>https://pbs.twimg.com/profile_images/833576943677214720/5ZyUgpEJ_normal.jpg</v>
      </c>
      <c r="AW830" s="81" t="s">
        <v>5176</v>
      </c>
      <c r="AX830" s="81" t="s">
        <v>5176</v>
      </c>
      <c r="AY830" s="77"/>
      <c r="AZ830" s="81" t="s">
        <v>5773</v>
      </c>
      <c r="BA830" s="81" t="s">
        <v>5773</v>
      </c>
      <c r="BB830" s="81" t="s">
        <v>5773</v>
      </c>
      <c r="BC830" s="81" t="s">
        <v>5176</v>
      </c>
      <c r="BD830" s="77">
        <v>297885438</v>
      </c>
      <c r="BE830" s="77"/>
      <c r="BF830" s="77"/>
      <c r="BG830" s="77"/>
      <c r="BH830" s="77"/>
      <c r="BI830" s="77"/>
    </row>
    <row r="831" spans="1:61" ht="15">
      <c r="A831" s="62" t="s">
        <v>299</v>
      </c>
      <c r="B831" s="62" t="s">
        <v>299</v>
      </c>
      <c r="C831" s="63"/>
      <c r="D831" s="64"/>
      <c r="E831" s="65"/>
      <c r="F831" s="66"/>
      <c r="G831" s="63"/>
      <c r="H831" s="67"/>
      <c r="I831" s="68"/>
      <c r="J831" s="68"/>
      <c r="K831" s="32" t="s">
        <v>65</v>
      </c>
      <c r="L831" s="75">
        <v>831</v>
      </c>
      <c r="M831" s="75"/>
      <c r="N831" s="70"/>
      <c r="O831" s="77" t="s">
        <v>179</v>
      </c>
      <c r="P831" s="79">
        <v>43282.54704861111</v>
      </c>
      <c r="Q831" s="80" t="str">
        <f>HYPERLINK("https://t.co/U68hzFD2x7")</f>
        <v>https://t.co/U68hzFD2x7</v>
      </c>
      <c r="R831" s="77">
        <v>0</v>
      </c>
      <c r="S831" s="77">
        <v>1</v>
      </c>
      <c r="T831" s="77">
        <v>0</v>
      </c>
      <c r="U831" s="77">
        <v>0</v>
      </c>
      <c r="V831" s="77"/>
      <c r="W831" s="77"/>
      <c r="X831" s="77"/>
      <c r="Y831" s="77"/>
      <c r="Z831" s="77"/>
      <c r="AA831" s="77" t="s">
        <v>2374</v>
      </c>
      <c r="AB831" s="77" t="s">
        <v>2696</v>
      </c>
      <c r="AC831" s="81" t="s">
        <v>2705</v>
      </c>
      <c r="AD831" s="77" t="s">
        <v>2756</v>
      </c>
      <c r="AE831" s="80" t="str">
        <f>HYPERLINK("https://twitter.com/inovies/status/1013408820830171137")</f>
        <v>https://twitter.com/inovies/status/1013408820830171137</v>
      </c>
      <c r="AF831" s="79">
        <v>43282.54704861111</v>
      </c>
      <c r="AG831" s="85">
        <v>43282</v>
      </c>
      <c r="AH831" s="81" t="s">
        <v>3429</v>
      </c>
      <c r="AI831" s="77" t="b">
        <v>0</v>
      </c>
      <c r="AJ831" s="77"/>
      <c r="AK831" s="77"/>
      <c r="AL831" s="77"/>
      <c r="AM831" s="77"/>
      <c r="AN831" s="77"/>
      <c r="AO831" s="77"/>
      <c r="AP831" s="77"/>
      <c r="AQ831" s="77" t="s">
        <v>4188</v>
      </c>
      <c r="AR831" s="77"/>
      <c r="AS831" s="77"/>
      <c r="AT831" s="77"/>
      <c r="AU831" s="77"/>
      <c r="AV831" s="80" t="str">
        <f>HYPERLINK("https://pbs.twimg.com/media/DhBZ8WgU8AI7Alq.jpg")</f>
        <v>https://pbs.twimg.com/media/DhBZ8WgU8AI7Alq.jpg</v>
      </c>
      <c r="AW831" s="81" t="s">
        <v>5177</v>
      </c>
      <c r="AX831" s="81" t="s">
        <v>5177</v>
      </c>
      <c r="AY831" s="77"/>
      <c r="AZ831" s="81" t="s">
        <v>5773</v>
      </c>
      <c r="BA831" s="81" t="s">
        <v>5773</v>
      </c>
      <c r="BB831" s="81" t="s">
        <v>5773</v>
      </c>
      <c r="BC831" s="81" t="s">
        <v>5177</v>
      </c>
      <c r="BD831" s="77">
        <v>297885438</v>
      </c>
      <c r="BE831" s="77"/>
      <c r="BF831" s="77"/>
      <c r="BG831" s="77"/>
      <c r="BH831" s="77"/>
      <c r="BI831" s="77"/>
    </row>
    <row r="832" spans="1:61" ht="15">
      <c r="A832" s="62" t="s">
        <v>299</v>
      </c>
      <c r="B832" s="62" t="s">
        <v>299</v>
      </c>
      <c r="C832" s="63"/>
      <c r="D832" s="64"/>
      <c r="E832" s="65"/>
      <c r="F832" s="66"/>
      <c r="G832" s="63"/>
      <c r="H832" s="67"/>
      <c r="I832" s="68"/>
      <c r="J832" s="68"/>
      <c r="K832" s="32" t="s">
        <v>65</v>
      </c>
      <c r="L832" s="75">
        <v>832</v>
      </c>
      <c r="M832" s="75"/>
      <c r="N832" s="70"/>
      <c r="O832" s="77" t="s">
        <v>179</v>
      </c>
      <c r="P832" s="79">
        <v>43280.43456018518</v>
      </c>
      <c r="Q832" s="80" t="str">
        <f>HYPERLINK("https://t.co/2mDusC3A0V")</f>
        <v>https://t.co/2mDusC3A0V</v>
      </c>
      <c r="R832" s="77">
        <v>1</v>
      </c>
      <c r="S832" s="77">
        <v>2</v>
      </c>
      <c r="T832" s="77">
        <v>0</v>
      </c>
      <c r="U832" s="77">
        <v>0</v>
      </c>
      <c r="V832" s="77"/>
      <c r="W832" s="77"/>
      <c r="X832" s="77"/>
      <c r="Y832" s="77"/>
      <c r="Z832" s="77"/>
      <c r="AA832" s="77" t="s">
        <v>2375</v>
      </c>
      <c r="AB832" s="77" t="s">
        <v>2696</v>
      </c>
      <c r="AC832" s="81" t="s">
        <v>2705</v>
      </c>
      <c r="AD832" s="77" t="s">
        <v>2756</v>
      </c>
      <c r="AE832" s="80" t="str">
        <f>HYPERLINK("https://twitter.com/inovies/status/1012643280788512769")</f>
        <v>https://twitter.com/inovies/status/1012643280788512769</v>
      </c>
      <c r="AF832" s="79">
        <v>43280.43456018518</v>
      </c>
      <c r="AG832" s="85">
        <v>43280</v>
      </c>
      <c r="AH832" s="81" t="s">
        <v>3430</v>
      </c>
      <c r="AI832" s="77" t="b">
        <v>0</v>
      </c>
      <c r="AJ832" s="77"/>
      <c r="AK832" s="77"/>
      <c r="AL832" s="77"/>
      <c r="AM832" s="77"/>
      <c r="AN832" s="77"/>
      <c r="AO832" s="77"/>
      <c r="AP832" s="77"/>
      <c r="AQ832" s="77" t="s">
        <v>4189</v>
      </c>
      <c r="AR832" s="77"/>
      <c r="AS832" s="77"/>
      <c r="AT832" s="77"/>
      <c r="AU832" s="77"/>
      <c r="AV832" s="80" t="str">
        <f>HYPERLINK("https://pbs.twimg.com/media/Dg2hrV1UcAAcsy4.jpg")</f>
        <v>https://pbs.twimg.com/media/Dg2hrV1UcAAcsy4.jpg</v>
      </c>
      <c r="AW832" s="81" t="s">
        <v>5178</v>
      </c>
      <c r="AX832" s="81" t="s">
        <v>5178</v>
      </c>
      <c r="AY832" s="77"/>
      <c r="AZ832" s="81" t="s">
        <v>5773</v>
      </c>
      <c r="BA832" s="81" t="s">
        <v>5773</v>
      </c>
      <c r="BB832" s="81" t="s">
        <v>5773</v>
      </c>
      <c r="BC832" s="81" t="s">
        <v>5178</v>
      </c>
      <c r="BD832" s="77">
        <v>297885438</v>
      </c>
      <c r="BE832" s="77"/>
      <c r="BF832" s="77"/>
      <c r="BG832" s="77"/>
      <c r="BH832" s="77"/>
      <c r="BI832" s="77"/>
    </row>
    <row r="833" spans="1:61" ht="15">
      <c r="A833" s="62" t="s">
        <v>299</v>
      </c>
      <c r="B833" s="62" t="s">
        <v>299</v>
      </c>
      <c r="C833" s="63"/>
      <c r="D833" s="64"/>
      <c r="E833" s="65"/>
      <c r="F833" s="66"/>
      <c r="G833" s="63"/>
      <c r="H833" s="67"/>
      <c r="I833" s="68"/>
      <c r="J833" s="68"/>
      <c r="K833" s="32" t="s">
        <v>65</v>
      </c>
      <c r="L833" s="75">
        <v>833</v>
      </c>
      <c r="M833" s="75"/>
      <c r="N833" s="70"/>
      <c r="O833" s="77" t="s">
        <v>179</v>
      </c>
      <c r="P833" s="79">
        <v>43280.43318287037</v>
      </c>
      <c r="Q833" s="77" t="s">
        <v>1226</v>
      </c>
      <c r="R833" s="77">
        <v>0</v>
      </c>
      <c r="S833" s="77">
        <v>0</v>
      </c>
      <c r="T833" s="77">
        <v>0</v>
      </c>
      <c r="U833" s="77">
        <v>0</v>
      </c>
      <c r="V833" s="77"/>
      <c r="W833" s="77"/>
      <c r="X833" s="77"/>
      <c r="Y833" s="77"/>
      <c r="Z833" s="77"/>
      <c r="AA833" s="77"/>
      <c r="AB833" s="77"/>
      <c r="AC833" s="81" t="s">
        <v>2705</v>
      </c>
      <c r="AD833" s="77" t="s">
        <v>2751</v>
      </c>
      <c r="AE833" s="80" t="str">
        <f>HYPERLINK("https://twitter.com/inovies/status/1012642780366028800")</f>
        <v>https://twitter.com/inovies/status/1012642780366028800</v>
      </c>
      <c r="AF833" s="79">
        <v>43280.43318287037</v>
      </c>
      <c r="AG833" s="85">
        <v>43280</v>
      </c>
      <c r="AH833" s="81" t="s">
        <v>3431</v>
      </c>
      <c r="AI833" s="77"/>
      <c r="AJ833" s="77"/>
      <c r="AK833" s="77"/>
      <c r="AL833" s="77"/>
      <c r="AM833" s="77"/>
      <c r="AN833" s="77"/>
      <c r="AO833" s="77"/>
      <c r="AP833" s="77"/>
      <c r="AQ833" s="77"/>
      <c r="AR833" s="77"/>
      <c r="AS833" s="77"/>
      <c r="AT833" s="77"/>
      <c r="AU833" s="77"/>
      <c r="AV833" s="80" t="str">
        <f>HYPERLINK("https://pbs.twimg.com/profile_images/833576943677214720/5ZyUgpEJ_normal.jpg")</f>
        <v>https://pbs.twimg.com/profile_images/833576943677214720/5ZyUgpEJ_normal.jpg</v>
      </c>
      <c r="AW833" s="81" t="s">
        <v>5179</v>
      </c>
      <c r="AX833" s="81" t="s">
        <v>5179</v>
      </c>
      <c r="AY833" s="77"/>
      <c r="AZ833" s="81" t="s">
        <v>5773</v>
      </c>
      <c r="BA833" s="81" t="s">
        <v>5773</v>
      </c>
      <c r="BB833" s="81" t="s">
        <v>5773</v>
      </c>
      <c r="BC833" s="81" t="s">
        <v>5179</v>
      </c>
      <c r="BD833" s="77">
        <v>297885438</v>
      </c>
      <c r="BE833" s="77"/>
      <c r="BF833" s="77"/>
      <c r="BG833" s="77"/>
      <c r="BH833" s="77"/>
      <c r="BI833" s="77"/>
    </row>
    <row r="834" spans="1:61" ht="15">
      <c r="A834" s="62" t="s">
        <v>299</v>
      </c>
      <c r="B834" s="62" t="s">
        <v>299</v>
      </c>
      <c r="C834" s="63"/>
      <c r="D834" s="64"/>
      <c r="E834" s="65"/>
      <c r="F834" s="66"/>
      <c r="G834" s="63"/>
      <c r="H834" s="67"/>
      <c r="I834" s="68"/>
      <c r="J834" s="68"/>
      <c r="K834" s="32" t="s">
        <v>65</v>
      </c>
      <c r="L834" s="75">
        <v>834</v>
      </c>
      <c r="M834" s="75"/>
      <c r="N834" s="70"/>
      <c r="O834" s="77" t="s">
        <v>179</v>
      </c>
      <c r="P834" s="79">
        <v>43270.18707175926</v>
      </c>
      <c r="Q834" s="77" t="s">
        <v>1227</v>
      </c>
      <c r="R834" s="77">
        <v>0</v>
      </c>
      <c r="S834" s="77">
        <v>0</v>
      </c>
      <c r="T834" s="77">
        <v>0</v>
      </c>
      <c r="U834" s="77">
        <v>0</v>
      </c>
      <c r="V834" s="77"/>
      <c r="W834" s="77"/>
      <c r="X834" s="77"/>
      <c r="Y834" s="77"/>
      <c r="Z834" s="77"/>
      <c r="AA834" s="77"/>
      <c r="AB834" s="77"/>
      <c r="AC834" s="81" t="s">
        <v>2705</v>
      </c>
      <c r="AD834" s="77" t="s">
        <v>2751</v>
      </c>
      <c r="AE834" s="80" t="str">
        <f>HYPERLINK("https://twitter.com/inovies/status/1008929715871145984")</f>
        <v>https://twitter.com/inovies/status/1008929715871145984</v>
      </c>
      <c r="AF834" s="79">
        <v>43270.18707175926</v>
      </c>
      <c r="AG834" s="85">
        <v>43270</v>
      </c>
      <c r="AH834" s="81" t="s">
        <v>3432</v>
      </c>
      <c r="AI834" s="77"/>
      <c r="AJ834" s="77"/>
      <c r="AK834" s="77"/>
      <c r="AL834" s="77"/>
      <c r="AM834" s="77"/>
      <c r="AN834" s="77"/>
      <c r="AO834" s="77"/>
      <c r="AP834" s="77"/>
      <c r="AQ834" s="77"/>
      <c r="AR834" s="77"/>
      <c r="AS834" s="77"/>
      <c r="AT834" s="77"/>
      <c r="AU834" s="77"/>
      <c r="AV834" s="80" t="str">
        <f>HYPERLINK("https://pbs.twimg.com/profile_images/833576943677214720/5ZyUgpEJ_normal.jpg")</f>
        <v>https://pbs.twimg.com/profile_images/833576943677214720/5ZyUgpEJ_normal.jpg</v>
      </c>
      <c r="AW834" s="81" t="s">
        <v>5180</v>
      </c>
      <c r="AX834" s="81" t="s">
        <v>5180</v>
      </c>
      <c r="AY834" s="77"/>
      <c r="AZ834" s="81" t="s">
        <v>5773</v>
      </c>
      <c r="BA834" s="81" t="s">
        <v>5773</v>
      </c>
      <c r="BB834" s="81" t="s">
        <v>5773</v>
      </c>
      <c r="BC834" s="81" t="s">
        <v>5180</v>
      </c>
      <c r="BD834" s="77">
        <v>297885438</v>
      </c>
      <c r="BE834" s="77"/>
      <c r="BF834" s="77"/>
      <c r="BG834" s="77"/>
      <c r="BH834" s="77"/>
      <c r="BI834" s="77"/>
    </row>
    <row r="835" spans="1:61" ht="15">
      <c r="A835" s="62" t="s">
        <v>299</v>
      </c>
      <c r="B835" s="62" t="s">
        <v>299</v>
      </c>
      <c r="C835" s="63"/>
      <c r="D835" s="64"/>
      <c r="E835" s="65"/>
      <c r="F835" s="66"/>
      <c r="G835" s="63"/>
      <c r="H835" s="67"/>
      <c r="I835" s="68"/>
      <c r="J835" s="68"/>
      <c r="K835" s="32" t="s">
        <v>65</v>
      </c>
      <c r="L835" s="75">
        <v>835</v>
      </c>
      <c r="M835" s="75"/>
      <c r="N835" s="70"/>
      <c r="O835" s="77" t="s">
        <v>571</v>
      </c>
      <c r="P835" s="79">
        <v>43242.176030092596</v>
      </c>
      <c r="Q835" s="77" t="s">
        <v>805</v>
      </c>
      <c r="R835" s="77">
        <v>0</v>
      </c>
      <c r="S835" s="77">
        <v>1</v>
      </c>
      <c r="T835" s="77">
        <v>0</v>
      </c>
      <c r="U835" s="77">
        <v>0</v>
      </c>
      <c r="V835" s="77"/>
      <c r="W835" s="77"/>
      <c r="X835" s="77"/>
      <c r="Y835" s="77"/>
      <c r="Z835" s="77" t="s">
        <v>2072</v>
      </c>
      <c r="AA835" s="77" t="s">
        <v>2198</v>
      </c>
      <c r="AB835" s="77" t="s">
        <v>2696</v>
      </c>
      <c r="AC835" s="81" t="s">
        <v>2705</v>
      </c>
      <c r="AD835" s="77" t="s">
        <v>2752</v>
      </c>
      <c r="AE835" s="80" t="str">
        <f>HYPERLINK("https://twitter.com/inovies/status/998778853408436224")</f>
        <v>https://twitter.com/inovies/status/998778853408436224</v>
      </c>
      <c r="AF835" s="79">
        <v>43242.176030092596</v>
      </c>
      <c r="AG835" s="85">
        <v>43242</v>
      </c>
      <c r="AH835" s="81" t="s">
        <v>2994</v>
      </c>
      <c r="AI835" s="77" t="b">
        <v>0</v>
      </c>
      <c r="AJ835" s="77"/>
      <c r="AK835" s="77"/>
      <c r="AL835" s="77"/>
      <c r="AM835" s="77"/>
      <c r="AN835" s="77"/>
      <c r="AO835" s="77"/>
      <c r="AP835" s="77"/>
      <c r="AQ835" s="77" t="s">
        <v>4016</v>
      </c>
      <c r="AR835" s="77"/>
      <c r="AS835" s="77"/>
      <c r="AT835" s="77"/>
      <c r="AU835" s="77"/>
      <c r="AV835" s="80" t="str">
        <f>HYPERLINK("https://pbs.twimg.com/media/Ddxf9C7V0AA4csq.jpg")</f>
        <v>https://pbs.twimg.com/media/Ddxf9C7V0AA4csq.jpg</v>
      </c>
      <c r="AW835" s="81" t="s">
        <v>4740</v>
      </c>
      <c r="AX835" s="81" t="s">
        <v>4740</v>
      </c>
      <c r="AY835" s="81" t="s">
        <v>5738</v>
      </c>
      <c r="AZ835" s="81" t="s">
        <v>5773</v>
      </c>
      <c r="BA835" s="81" t="s">
        <v>5773</v>
      </c>
      <c r="BB835" s="81" t="s">
        <v>5773</v>
      </c>
      <c r="BC835" s="81" t="s">
        <v>4740</v>
      </c>
      <c r="BD835" s="77">
        <v>297885438</v>
      </c>
      <c r="BE835" s="77"/>
      <c r="BF835" s="77"/>
      <c r="BG835" s="77"/>
      <c r="BH835" s="77"/>
      <c r="BI835" s="77"/>
    </row>
    <row r="836" spans="1:61" ht="15">
      <c r="A836" s="62" t="s">
        <v>299</v>
      </c>
      <c r="B836" s="62" t="s">
        <v>299</v>
      </c>
      <c r="C836" s="63"/>
      <c r="D836" s="64"/>
      <c r="E836" s="65"/>
      <c r="F836" s="66"/>
      <c r="G836" s="63"/>
      <c r="H836" s="67"/>
      <c r="I836" s="68"/>
      <c r="J836" s="68"/>
      <c r="K836" s="32" t="s">
        <v>65</v>
      </c>
      <c r="L836" s="75">
        <v>836</v>
      </c>
      <c r="M836" s="75"/>
      <c r="N836" s="70"/>
      <c r="O836" s="77" t="s">
        <v>571</v>
      </c>
      <c r="P836" s="79">
        <v>45281.0890625</v>
      </c>
      <c r="Q836" s="77" t="s">
        <v>1228</v>
      </c>
      <c r="R836" s="77">
        <v>1</v>
      </c>
      <c r="S836" s="77">
        <v>1</v>
      </c>
      <c r="T836" s="77">
        <v>0</v>
      </c>
      <c r="U836" s="77">
        <v>0</v>
      </c>
      <c r="V836" s="77">
        <v>209</v>
      </c>
      <c r="W836" s="81" t="s">
        <v>1884</v>
      </c>
      <c r="X836" s="80" t="str">
        <f>HYPERLINK("https://www.inovies.com")</f>
        <v>https://www.inovies.com</v>
      </c>
      <c r="Y836" s="77" t="s">
        <v>1982</v>
      </c>
      <c r="Z836" s="77" t="s">
        <v>299</v>
      </c>
      <c r="AA836" s="77" t="s">
        <v>2376</v>
      </c>
      <c r="AB836" s="77" t="s">
        <v>2695</v>
      </c>
      <c r="AC836" s="81" t="s">
        <v>2707</v>
      </c>
      <c r="AD836" s="77" t="s">
        <v>2751</v>
      </c>
      <c r="AE836" s="80" t="str">
        <f>HYPERLINK("https://twitter.com/inovies/status/1737656196172075284")</f>
        <v>https://twitter.com/inovies/status/1737656196172075284</v>
      </c>
      <c r="AF836" s="79">
        <v>45281.0890625</v>
      </c>
      <c r="AG836" s="85">
        <v>45281</v>
      </c>
      <c r="AH836" s="81" t="s">
        <v>3433</v>
      </c>
      <c r="AI836" s="77" t="b">
        <v>0</v>
      </c>
      <c r="AJ836" s="77"/>
      <c r="AK836" s="77"/>
      <c r="AL836" s="77"/>
      <c r="AM836" s="77"/>
      <c r="AN836" s="77"/>
      <c r="AO836" s="77"/>
      <c r="AP836" s="77"/>
      <c r="AQ836" s="77" t="s">
        <v>4190</v>
      </c>
      <c r="AR836" s="77">
        <v>35062</v>
      </c>
      <c r="AS836" s="77"/>
      <c r="AT836" s="77"/>
      <c r="AU836" s="77"/>
      <c r="AV836" s="80" t="str">
        <f>HYPERLINK("https://pbs.twimg.com/ext_tw_video_thumb/1737654409847250944/pu/img/9Qr8AB3QcfdYzOMC.jpg")</f>
        <v>https://pbs.twimg.com/ext_tw_video_thumb/1737654409847250944/pu/img/9Qr8AB3QcfdYzOMC.jpg</v>
      </c>
      <c r="AW836" s="81" t="s">
        <v>5181</v>
      </c>
      <c r="AX836" s="81" t="s">
        <v>5181</v>
      </c>
      <c r="AY836" s="77"/>
      <c r="AZ836" s="81" t="s">
        <v>5773</v>
      </c>
      <c r="BA836" s="81" t="s">
        <v>5773</v>
      </c>
      <c r="BB836" s="81" t="s">
        <v>5773</v>
      </c>
      <c r="BC836" s="81" t="s">
        <v>5181</v>
      </c>
      <c r="BD836" s="77">
        <v>297885438</v>
      </c>
      <c r="BE836" s="77"/>
      <c r="BF836" s="77"/>
      <c r="BG836" s="77"/>
      <c r="BH836" s="77"/>
      <c r="BI836" s="77"/>
    </row>
    <row r="837" spans="1:61" ht="15">
      <c r="A837" s="62" t="s">
        <v>299</v>
      </c>
      <c r="B837" s="62" t="s">
        <v>299</v>
      </c>
      <c r="C837" s="63"/>
      <c r="D837" s="64"/>
      <c r="E837" s="65"/>
      <c r="F837" s="66"/>
      <c r="G837" s="63"/>
      <c r="H837" s="67"/>
      <c r="I837" s="68"/>
      <c r="J837" s="68"/>
      <c r="K837" s="32" t="s">
        <v>65</v>
      </c>
      <c r="L837" s="75">
        <v>837</v>
      </c>
      <c r="M837" s="75"/>
      <c r="N837" s="70"/>
      <c r="O837" s="77" t="s">
        <v>179</v>
      </c>
      <c r="P837" s="79">
        <v>45278.88146990741</v>
      </c>
      <c r="Q837" s="77" t="s">
        <v>1229</v>
      </c>
      <c r="R837" s="77">
        <v>0</v>
      </c>
      <c r="S837" s="77">
        <v>0</v>
      </c>
      <c r="T837" s="77">
        <v>0</v>
      </c>
      <c r="U837" s="77">
        <v>0</v>
      </c>
      <c r="V837" s="77">
        <v>60</v>
      </c>
      <c r="W837" s="81" t="s">
        <v>1885</v>
      </c>
      <c r="X837" s="77" t="s">
        <v>1972</v>
      </c>
      <c r="Y837" s="77" t="s">
        <v>2047</v>
      </c>
      <c r="Z837" s="77"/>
      <c r="AA837" s="77" t="s">
        <v>2377</v>
      </c>
      <c r="AB837" s="77" t="s">
        <v>2696</v>
      </c>
      <c r="AC837" s="81" t="s">
        <v>2707</v>
      </c>
      <c r="AD837" s="77" t="s">
        <v>2751</v>
      </c>
      <c r="AE837" s="80" t="str">
        <f>HYPERLINK("https://twitter.com/inovies/status/1736856190561263928")</f>
        <v>https://twitter.com/inovies/status/1736856190561263928</v>
      </c>
      <c r="AF837" s="79">
        <v>45278.88146990741</v>
      </c>
      <c r="AG837" s="85">
        <v>45278</v>
      </c>
      <c r="AH837" s="81" t="s">
        <v>3434</v>
      </c>
      <c r="AI837" s="77" t="b">
        <v>0</v>
      </c>
      <c r="AJ837" s="77"/>
      <c r="AK837" s="77"/>
      <c r="AL837" s="77"/>
      <c r="AM837" s="77"/>
      <c r="AN837" s="77"/>
      <c r="AO837" s="77"/>
      <c r="AP837" s="77"/>
      <c r="AQ837" s="77" t="s">
        <v>4191</v>
      </c>
      <c r="AR837" s="77"/>
      <c r="AS837" s="77"/>
      <c r="AT837" s="77"/>
      <c r="AU837" s="77"/>
      <c r="AV837" s="80" t="str">
        <f>HYPERLINK("https://pbs.twimg.com/media/GBqM4vYXAAAKRLx.jpg")</f>
        <v>https://pbs.twimg.com/media/GBqM4vYXAAAKRLx.jpg</v>
      </c>
      <c r="AW837" s="81" t="s">
        <v>5182</v>
      </c>
      <c r="AX837" s="81" t="s">
        <v>5182</v>
      </c>
      <c r="AY837" s="77"/>
      <c r="AZ837" s="81" t="s">
        <v>5773</v>
      </c>
      <c r="BA837" s="81" t="s">
        <v>5773</v>
      </c>
      <c r="BB837" s="81" t="s">
        <v>5773</v>
      </c>
      <c r="BC837" s="81" t="s">
        <v>5182</v>
      </c>
      <c r="BD837" s="77">
        <v>297885438</v>
      </c>
      <c r="BE837" s="77"/>
      <c r="BF837" s="77"/>
      <c r="BG837" s="77"/>
      <c r="BH837" s="77"/>
      <c r="BI837" s="77"/>
    </row>
    <row r="838" spans="1:61" ht="15">
      <c r="A838" s="62" t="s">
        <v>299</v>
      </c>
      <c r="B838" s="62" t="s">
        <v>299</v>
      </c>
      <c r="C838" s="63"/>
      <c r="D838" s="64"/>
      <c r="E838" s="65"/>
      <c r="F838" s="66"/>
      <c r="G838" s="63"/>
      <c r="H838" s="67"/>
      <c r="I838" s="68"/>
      <c r="J838" s="68"/>
      <c r="K838" s="32" t="s">
        <v>65</v>
      </c>
      <c r="L838" s="75">
        <v>838</v>
      </c>
      <c r="M838" s="75"/>
      <c r="N838" s="70"/>
      <c r="O838" s="77" t="s">
        <v>179</v>
      </c>
      <c r="P838" s="79">
        <v>45278.7368287037</v>
      </c>
      <c r="Q838" s="77" t="s">
        <v>1230</v>
      </c>
      <c r="R838" s="77">
        <v>0</v>
      </c>
      <c r="S838" s="77">
        <v>0</v>
      </c>
      <c r="T838" s="77">
        <v>0</v>
      </c>
      <c r="U838" s="77">
        <v>0</v>
      </c>
      <c r="V838" s="77">
        <v>77</v>
      </c>
      <c r="W838" s="81" t="s">
        <v>1886</v>
      </c>
      <c r="X838" s="77"/>
      <c r="Y838" s="77"/>
      <c r="Z838" s="77"/>
      <c r="AA838" s="77" t="s">
        <v>2378</v>
      </c>
      <c r="AB838" s="77" t="s">
        <v>2695</v>
      </c>
      <c r="AC838" s="81" t="s">
        <v>2707</v>
      </c>
      <c r="AD838" s="77" t="s">
        <v>2751</v>
      </c>
      <c r="AE838" s="80" t="str">
        <f>HYPERLINK("https://twitter.com/inovies/status/1736803772108878328")</f>
        <v>https://twitter.com/inovies/status/1736803772108878328</v>
      </c>
      <c r="AF838" s="79">
        <v>45278.7368287037</v>
      </c>
      <c r="AG838" s="85">
        <v>45278</v>
      </c>
      <c r="AH838" s="81" t="s">
        <v>3435</v>
      </c>
      <c r="AI838" s="77" t="b">
        <v>0</v>
      </c>
      <c r="AJ838" s="77"/>
      <c r="AK838" s="77"/>
      <c r="AL838" s="77"/>
      <c r="AM838" s="77"/>
      <c r="AN838" s="77"/>
      <c r="AO838" s="77"/>
      <c r="AP838" s="77"/>
      <c r="AQ838" s="77" t="s">
        <v>4192</v>
      </c>
      <c r="AR838" s="77">
        <v>33100</v>
      </c>
      <c r="AS838" s="77"/>
      <c r="AT838" s="77"/>
      <c r="AU838" s="77"/>
      <c r="AV838" s="80" t="str">
        <f>HYPERLINK("https://pbs.twimg.com/ext_tw_video_thumb/1736803502045765632/pu/img/yGYnGOoJ9nReT5Uv.jpg")</f>
        <v>https://pbs.twimg.com/ext_tw_video_thumb/1736803502045765632/pu/img/yGYnGOoJ9nReT5Uv.jpg</v>
      </c>
      <c r="AW838" s="81" t="s">
        <v>5183</v>
      </c>
      <c r="AX838" s="81" t="s">
        <v>5183</v>
      </c>
      <c r="AY838" s="77"/>
      <c r="AZ838" s="81" t="s">
        <v>5773</v>
      </c>
      <c r="BA838" s="81" t="s">
        <v>5773</v>
      </c>
      <c r="BB838" s="81" t="s">
        <v>5773</v>
      </c>
      <c r="BC838" s="81" t="s">
        <v>5183</v>
      </c>
      <c r="BD838" s="77">
        <v>297885438</v>
      </c>
      <c r="BE838" s="77"/>
      <c r="BF838" s="77"/>
      <c r="BG838" s="77"/>
      <c r="BH838" s="77"/>
      <c r="BI838" s="77"/>
    </row>
    <row r="839" spans="1:61" ht="15">
      <c r="A839" s="62" t="s">
        <v>299</v>
      </c>
      <c r="B839" s="62" t="s">
        <v>299</v>
      </c>
      <c r="C839" s="63"/>
      <c r="D839" s="64"/>
      <c r="E839" s="65"/>
      <c r="F839" s="66"/>
      <c r="G839" s="63"/>
      <c r="H839" s="67"/>
      <c r="I839" s="68"/>
      <c r="J839" s="68"/>
      <c r="K839" s="32" t="s">
        <v>65</v>
      </c>
      <c r="L839" s="75">
        <v>839</v>
      </c>
      <c r="M839" s="75"/>
      <c r="N839" s="70"/>
      <c r="O839" s="77" t="s">
        <v>179</v>
      </c>
      <c r="P839" s="79">
        <v>45275.80913194444</v>
      </c>
      <c r="Q839" s="77" t="s">
        <v>1231</v>
      </c>
      <c r="R839" s="77">
        <v>0</v>
      </c>
      <c r="S839" s="77">
        <v>1</v>
      </c>
      <c r="T839" s="77">
        <v>0</v>
      </c>
      <c r="U839" s="77">
        <v>0</v>
      </c>
      <c r="V839" s="77">
        <v>54</v>
      </c>
      <c r="W839" s="81" t="s">
        <v>1887</v>
      </c>
      <c r="X839" s="80" t="str">
        <f>HYPERLINK("https://www.inovies.com/digital-marketing/")</f>
        <v>https://www.inovies.com/digital-marketing/</v>
      </c>
      <c r="Y839" s="77" t="s">
        <v>1982</v>
      </c>
      <c r="Z839" s="77"/>
      <c r="AA839" s="77"/>
      <c r="AB839" s="77"/>
      <c r="AC839" s="81" t="s">
        <v>2707</v>
      </c>
      <c r="AD839" s="77" t="s">
        <v>2751</v>
      </c>
      <c r="AE839" s="80" t="str">
        <f>HYPERLINK("https://twitter.com/inovies/status/1735742811520037248")</f>
        <v>https://twitter.com/inovies/status/1735742811520037248</v>
      </c>
      <c r="AF839" s="79">
        <v>45275.80913194444</v>
      </c>
      <c r="AG839" s="85">
        <v>45275</v>
      </c>
      <c r="AH839" s="81" t="s">
        <v>3436</v>
      </c>
      <c r="AI839" s="77" t="b">
        <v>0</v>
      </c>
      <c r="AJ839" s="77"/>
      <c r="AK839" s="77"/>
      <c r="AL839" s="77"/>
      <c r="AM839" s="77"/>
      <c r="AN839" s="77"/>
      <c r="AO839" s="77"/>
      <c r="AP839" s="77"/>
      <c r="AQ839" s="77"/>
      <c r="AR839" s="77"/>
      <c r="AS839" s="77"/>
      <c r="AT839" s="77"/>
      <c r="AU839" s="77"/>
      <c r="AV839" s="80" t="str">
        <f>HYPERLINK("https://pbs.twimg.com/profile_images/833576943677214720/5ZyUgpEJ_normal.jpg")</f>
        <v>https://pbs.twimg.com/profile_images/833576943677214720/5ZyUgpEJ_normal.jpg</v>
      </c>
      <c r="AW839" s="81" t="s">
        <v>5184</v>
      </c>
      <c r="AX839" s="81" t="s">
        <v>5184</v>
      </c>
      <c r="AY839" s="77"/>
      <c r="AZ839" s="81" t="s">
        <v>5773</v>
      </c>
      <c r="BA839" s="81" t="s">
        <v>5773</v>
      </c>
      <c r="BB839" s="81" t="s">
        <v>5773</v>
      </c>
      <c r="BC839" s="81" t="s">
        <v>5184</v>
      </c>
      <c r="BD839" s="77">
        <v>297885438</v>
      </c>
      <c r="BE839" s="77"/>
      <c r="BF839" s="77"/>
      <c r="BG839" s="77"/>
      <c r="BH839" s="77"/>
      <c r="BI839" s="77"/>
    </row>
    <row r="840" spans="1:61" ht="15">
      <c r="A840" s="62" t="s">
        <v>299</v>
      </c>
      <c r="B840" s="62" t="s">
        <v>299</v>
      </c>
      <c r="C840" s="63"/>
      <c r="D840" s="64"/>
      <c r="E840" s="65"/>
      <c r="F840" s="66"/>
      <c r="G840" s="63"/>
      <c r="H840" s="67"/>
      <c r="I840" s="68"/>
      <c r="J840" s="68"/>
      <c r="K840" s="32" t="s">
        <v>65</v>
      </c>
      <c r="L840" s="75">
        <v>840</v>
      </c>
      <c r="M840" s="75"/>
      <c r="N840" s="70"/>
      <c r="O840" s="77" t="s">
        <v>179</v>
      </c>
      <c r="P840" s="79">
        <v>45272.4581712963</v>
      </c>
      <c r="Q840" s="77" t="s">
        <v>1232</v>
      </c>
      <c r="R840" s="77">
        <v>0</v>
      </c>
      <c r="S840" s="77">
        <v>0</v>
      </c>
      <c r="T840" s="77">
        <v>0</v>
      </c>
      <c r="U840" s="77">
        <v>0</v>
      </c>
      <c r="V840" s="77">
        <v>22</v>
      </c>
      <c r="W840" s="81" t="s">
        <v>1888</v>
      </c>
      <c r="X840" s="80" t="str">
        <f>HYPERLINK("https://www.inovies.com/digital-marketing/")</f>
        <v>https://www.inovies.com/digital-marketing/</v>
      </c>
      <c r="Y840" s="77" t="s">
        <v>1982</v>
      </c>
      <c r="Z840" s="77"/>
      <c r="AA840" s="77" t="s">
        <v>2379</v>
      </c>
      <c r="AB840" s="77" t="s">
        <v>2698</v>
      </c>
      <c r="AC840" s="81" t="s">
        <v>2707</v>
      </c>
      <c r="AD840" s="77" t="s">
        <v>2752</v>
      </c>
      <c r="AE840" s="80" t="str">
        <f>HYPERLINK("https://twitter.com/inovies/status/1734528464647041129")</f>
        <v>https://twitter.com/inovies/status/1734528464647041129</v>
      </c>
      <c r="AF840" s="79">
        <v>45272.4581712963</v>
      </c>
      <c r="AG840" s="85">
        <v>45272</v>
      </c>
      <c r="AH840" s="81" t="s">
        <v>3437</v>
      </c>
      <c r="AI840" s="77" t="b">
        <v>0</v>
      </c>
      <c r="AJ840" s="77"/>
      <c r="AK840" s="77"/>
      <c r="AL840" s="77"/>
      <c r="AM840" s="77"/>
      <c r="AN840" s="77"/>
      <c r="AO840" s="77"/>
      <c r="AP840" s="77"/>
      <c r="AQ840" s="77" t="s">
        <v>4193</v>
      </c>
      <c r="AR840" s="77"/>
      <c r="AS840" s="77"/>
      <c r="AT840" s="77"/>
      <c r="AU840" s="77"/>
      <c r="AV840" s="80" t="str">
        <f>HYPERLINK("https://pbs.twimg.com/tweet_video_thumb/GBJIbjka8AAeKnL.jpg")</f>
        <v>https://pbs.twimg.com/tweet_video_thumb/GBJIbjka8AAeKnL.jpg</v>
      </c>
      <c r="AW840" s="81" t="s">
        <v>5185</v>
      </c>
      <c r="AX840" s="81" t="s">
        <v>5185</v>
      </c>
      <c r="AY840" s="77"/>
      <c r="AZ840" s="81" t="s">
        <v>5773</v>
      </c>
      <c r="BA840" s="81" t="s">
        <v>5773</v>
      </c>
      <c r="BB840" s="81" t="s">
        <v>5773</v>
      </c>
      <c r="BC840" s="81" t="s">
        <v>5185</v>
      </c>
      <c r="BD840" s="77">
        <v>297885438</v>
      </c>
      <c r="BE840" s="77"/>
      <c r="BF840" s="77"/>
      <c r="BG840" s="77"/>
      <c r="BH840" s="77"/>
      <c r="BI840" s="77"/>
    </row>
    <row r="841" spans="1:61" ht="15">
      <c r="A841" s="62" t="s">
        <v>299</v>
      </c>
      <c r="B841" s="62" t="s">
        <v>299</v>
      </c>
      <c r="C841" s="63"/>
      <c r="D841" s="64"/>
      <c r="E841" s="65"/>
      <c r="F841" s="66"/>
      <c r="G841" s="63"/>
      <c r="H841" s="67"/>
      <c r="I841" s="68"/>
      <c r="J841" s="68"/>
      <c r="K841" s="32" t="s">
        <v>65</v>
      </c>
      <c r="L841" s="75">
        <v>841</v>
      </c>
      <c r="M841" s="75"/>
      <c r="N841" s="70"/>
      <c r="O841" s="77" t="s">
        <v>179</v>
      </c>
      <c r="P841" s="79">
        <v>45272.45780092593</v>
      </c>
      <c r="Q841" s="77" t="s">
        <v>1233</v>
      </c>
      <c r="R841" s="77">
        <v>0</v>
      </c>
      <c r="S841" s="77">
        <v>0</v>
      </c>
      <c r="T841" s="77">
        <v>0</v>
      </c>
      <c r="U841" s="77">
        <v>0</v>
      </c>
      <c r="V841" s="77">
        <v>18</v>
      </c>
      <c r="W841" s="81" t="s">
        <v>1888</v>
      </c>
      <c r="X841" s="80" t="str">
        <f>HYPERLINK("https://www.inovies.com/digital-marketing/")</f>
        <v>https://www.inovies.com/digital-marketing/</v>
      </c>
      <c r="Y841" s="77" t="s">
        <v>1982</v>
      </c>
      <c r="Z841" s="77"/>
      <c r="AA841" s="77" t="s">
        <v>2380</v>
      </c>
      <c r="AB841" s="77" t="s">
        <v>2698</v>
      </c>
      <c r="AC841" s="81" t="s">
        <v>2707</v>
      </c>
      <c r="AD841" s="77" t="s">
        <v>2752</v>
      </c>
      <c r="AE841" s="80" t="str">
        <f>HYPERLINK("https://twitter.com/inovies/status/1734528328927719594")</f>
        <v>https://twitter.com/inovies/status/1734528328927719594</v>
      </c>
      <c r="AF841" s="79">
        <v>45272.45780092593</v>
      </c>
      <c r="AG841" s="85">
        <v>45272</v>
      </c>
      <c r="AH841" s="81" t="s">
        <v>3438</v>
      </c>
      <c r="AI841" s="77" t="b">
        <v>0</v>
      </c>
      <c r="AJ841" s="77"/>
      <c r="AK841" s="77"/>
      <c r="AL841" s="77"/>
      <c r="AM841" s="77"/>
      <c r="AN841" s="77"/>
      <c r="AO841" s="77"/>
      <c r="AP841" s="77"/>
      <c r="AQ841" s="77" t="s">
        <v>4194</v>
      </c>
      <c r="AR841" s="77"/>
      <c r="AS841" s="77"/>
      <c r="AT841" s="77"/>
      <c r="AU841" s="77"/>
      <c r="AV841" s="80" t="str">
        <f>HYPERLINK("https://pbs.twimg.com/tweet_video_thumb/GBJIUQAbcAA3Rek.jpg")</f>
        <v>https://pbs.twimg.com/tweet_video_thumb/GBJIUQAbcAA3Rek.jpg</v>
      </c>
      <c r="AW841" s="81" t="s">
        <v>5186</v>
      </c>
      <c r="AX841" s="81" t="s">
        <v>5186</v>
      </c>
      <c r="AY841" s="77"/>
      <c r="AZ841" s="81" t="s">
        <v>5773</v>
      </c>
      <c r="BA841" s="81" t="s">
        <v>5773</v>
      </c>
      <c r="BB841" s="81" t="s">
        <v>5773</v>
      </c>
      <c r="BC841" s="81" t="s">
        <v>5186</v>
      </c>
      <c r="BD841" s="77">
        <v>297885438</v>
      </c>
      <c r="BE841" s="77"/>
      <c r="BF841" s="77"/>
      <c r="BG841" s="77"/>
      <c r="BH841" s="77"/>
      <c r="BI841" s="77"/>
    </row>
    <row r="842" spans="1:61" ht="15">
      <c r="A842" s="62" t="s">
        <v>299</v>
      </c>
      <c r="B842" s="62" t="s">
        <v>299</v>
      </c>
      <c r="C842" s="63"/>
      <c r="D842" s="64"/>
      <c r="E842" s="65"/>
      <c r="F842" s="66"/>
      <c r="G842" s="63"/>
      <c r="H842" s="67"/>
      <c r="I842" s="68"/>
      <c r="J842" s="68"/>
      <c r="K842" s="32" t="s">
        <v>65</v>
      </c>
      <c r="L842" s="75">
        <v>842</v>
      </c>
      <c r="M842" s="75"/>
      <c r="N842" s="70"/>
      <c r="O842" s="77" t="s">
        <v>179</v>
      </c>
      <c r="P842" s="79">
        <v>45272.45748842593</v>
      </c>
      <c r="Q842" s="77" t="s">
        <v>1234</v>
      </c>
      <c r="R842" s="77">
        <v>0</v>
      </c>
      <c r="S842" s="77">
        <v>0</v>
      </c>
      <c r="T842" s="77">
        <v>0</v>
      </c>
      <c r="U842" s="77">
        <v>0</v>
      </c>
      <c r="V842" s="77">
        <v>16</v>
      </c>
      <c r="W842" s="81" t="s">
        <v>1888</v>
      </c>
      <c r="X842" s="80" t="str">
        <f>HYPERLINK("https://www.inovies.com/digital-marketing/")</f>
        <v>https://www.inovies.com/digital-marketing/</v>
      </c>
      <c r="Y842" s="77" t="s">
        <v>1982</v>
      </c>
      <c r="Z842" s="77"/>
      <c r="AA842" s="77" t="s">
        <v>2381</v>
      </c>
      <c r="AB842" s="77" t="s">
        <v>2698</v>
      </c>
      <c r="AC842" s="81" t="s">
        <v>2707</v>
      </c>
      <c r="AD842" s="77" t="s">
        <v>2752</v>
      </c>
      <c r="AE842" s="80" t="str">
        <f>HYPERLINK("https://twitter.com/inovies/status/1734528215312437295")</f>
        <v>https://twitter.com/inovies/status/1734528215312437295</v>
      </c>
      <c r="AF842" s="79">
        <v>45272.45748842593</v>
      </c>
      <c r="AG842" s="85">
        <v>45272</v>
      </c>
      <c r="AH842" s="81" t="s">
        <v>3439</v>
      </c>
      <c r="AI842" s="77" t="b">
        <v>0</v>
      </c>
      <c r="AJ842" s="77"/>
      <c r="AK842" s="77"/>
      <c r="AL842" s="77"/>
      <c r="AM842" s="77"/>
      <c r="AN842" s="77"/>
      <c r="AO842" s="77"/>
      <c r="AP842" s="77"/>
      <c r="AQ842" s="77" t="s">
        <v>4195</v>
      </c>
      <c r="AR842" s="77"/>
      <c r="AS842" s="77"/>
      <c r="AT842" s="77"/>
      <c r="AU842" s="77"/>
      <c r="AV842" s="80" t="str">
        <f>HYPERLINK("https://pbs.twimg.com/tweet_video_thumb/GBJINsaakAAO075.jpg")</f>
        <v>https://pbs.twimg.com/tweet_video_thumb/GBJINsaakAAO075.jpg</v>
      </c>
      <c r="AW842" s="81" t="s">
        <v>5187</v>
      </c>
      <c r="AX842" s="81" t="s">
        <v>5187</v>
      </c>
      <c r="AY842" s="77"/>
      <c r="AZ842" s="81" t="s">
        <v>5773</v>
      </c>
      <c r="BA842" s="81" t="s">
        <v>5773</v>
      </c>
      <c r="BB842" s="81" t="s">
        <v>5773</v>
      </c>
      <c r="BC842" s="81" t="s">
        <v>5187</v>
      </c>
      <c r="BD842" s="77">
        <v>297885438</v>
      </c>
      <c r="BE842" s="77"/>
      <c r="BF842" s="77"/>
      <c r="BG842" s="77"/>
      <c r="BH842" s="77"/>
      <c r="BI842" s="77"/>
    </row>
    <row r="843" spans="1:61" ht="15">
      <c r="A843" s="62" t="s">
        <v>299</v>
      </c>
      <c r="B843" s="62" t="s">
        <v>299</v>
      </c>
      <c r="C843" s="63"/>
      <c r="D843" s="64"/>
      <c r="E843" s="65"/>
      <c r="F843" s="66"/>
      <c r="G843" s="63"/>
      <c r="H843" s="67"/>
      <c r="I843" s="68"/>
      <c r="J843" s="68"/>
      <c r="K843" s="32" t="s">
        <v>65</v>
      </c>
      <c r="L843" s="75">
        <v>843</v>
      </c>
      <c r="M843" s="75"/>
      <c r="N843" s="70"/>
      <c r="O843" s="77" t="s">
        <v>179</v>
      </c>
      <c r="P843" s="79">
        <v>45272.45527777778</v>
      </c>
      <c r="Q843" s="77" t="s">
        <v>1235</v>
      </c>
      <c r="R843" s="77">
        <v>0</v>
      </c>
      <c r="S843" s="77">
        <v>0</v>
      </c>
      <c r="T843" s="77">
        <v>0</v>
      </c>
      <c r="U843" s="77">
        <v>0</v>
      </c>
      <c r="V843" s="77">
        <v>13</v>
      </c>
      <c r="W843" s="81" t="s">
        <v>1888</v>
      </c>
      <c r="X843" s="80" t="str">
        <f>HYPERLINK("https://www.inovies.com/digital-marketing/")</f>
        <v>https://www.inovies.com/digital-marketing/</v>
      </c>
      <c r="Y843" s="77" t="s">
        <v>1982</v>
      </c>
      <c r="Z843" s="77"/>
      <c r="AA843" s="77" t="s">
        <v>2382</v>
      </c>
      <c r="AB843" s="77" t="s">
        <v>2698</v>
      </c>
      <c r="AC843" s="81" t="s">
        <v>2707</v>
      </c>
      <c r="AD843" s="77" t="s">
        <v>2752</v>
      </c>
      <c r="AE843" s="80" t="str">
        <f>HYPERLINK("https://twitter.com/inovies/status/1734527415408336947")</f>
        <v>https://twitter.com/inovies/status/1734527415408336947</v>
      </c>
      <c r="AF843" s="79">
        <v>45272.45527777778</v>
      </c>
      <c r="AG843" s="85">
        <v>45272</v>
      </c>
      <c r="AH843" s="81" t="s">
        <v>3440</v>
      </c>
      <c r="AI843" s="77" t="b">
        <v>0</v>
      </c>
      <c r="AJ843" s="77"/>
      <c r="AK843" s="77"/>
      <c r="AL843" s="77"/>
      <c r="AM843" s="77"/>
      <c r="AN843" s="77"/>
      <c r="AO843" s="77"/>
      <c r="AP843" s="77"/>
      <c r="AQ843" s="77" t="s">
        <v>4196</v>
      </c>
      <c r="AR843" s="77"/>
      <c r="AS843" s="77"/>
      <c r="AT843" s="77"/>
      <c r="AU843" s="77"/>
      <c r="AV843" s="80" t="str">
        <f>HYPERLINK("https://pbs.twimg.com/tweet_video_thumb/GBJHfIZbEAAbupv.jpg")</f>
        <v>https://pbs.twimg.com/tweet_video_thumb/GBJHfIZbEAAbupv.jpg</v>
      </c>
      <c r="AW843" s="81" t="s">
        <v>5188</v>
      </c>
      <c r="AX843" s="81" t="s">
        <v>5188</v>
      </c>
      <c r="AY843" s="77"/>
      <c r="AZ843" s="81" t="s">
        <v>5773</v>
      </c>
      <c r="BA843" s="81" t="s">
        <v>5773</v>
      </c>
      <c r="BB843" s="81" t="s">
        <v>5773</v>
      </c>
      <c r="BC843" s="81" t="s">
        <v>5188</v>
      </c>
      <c r="BD843" s="77">
        <v>297885438</v>
      </c>
      <c r="BE843" s="77"/>
      <c r="BF843" s="77"/>
      <c r="BG843" s="77"/>
      <c r="BH843" s="77"/>
      <c r="BI843" s="77"/>
    </row>
    <row r="844" spans="1:61" ht="15">
      <c r="A844" s="62" t="s">
        <v>299</v>
      </c>
      <c r="B844" s="62" t="s">
        <v>299</v>
      </c>
      <c r="C844" s="63"/>
      <c r="D844" s="64"/>
      <c r="E844" s="65"/>
      <c r="F844" s="66"/>
      <c r="G844" s="63"/>
      <c r="H844" s="67"/>
      <c r="I844" s="68"/>
      <c r="J844" s="68"/>
      <c r="K844" s="32" t="s">
        <v>65</v>
      </c>
      <c r="L844" s="75">
        <v>844</v>
      </c>
      <c r="M844" s="75"/>
      <c r="N844" s="70"/>
      <c r="O844" s="77" t="s">
        <v>179</v>
      </c>
      <c r="P844" s="79">
        <v>45272.45490740741</v>
      </c>
      <c r="Q844" s="77" t="s">
        <v>1236</v>
      </c>
      <c r="R844" s="77">
        <v>0</v>
      </c>
      <c r="S844" s="77">
        <v>0</v>
      </c>
      <c r="T844" s="77">
        <v>0</v>
      </c>
      <c r="U844" s="77">
        <v>0</v>
      </c>
      <c r="V844" s="77">
        <v>11</v>
      </c>
      <c r="W844" s="81" t="s">
        <v>1888</v>
      </c>
      <c r="X844" s="80" t="str">
        <f>HYPERLINK("https://www.inovies.com/digital-marketing/")</f>
        <v>https://www.inovies.com/digital-marketing/</v>
      </c>
      <c r="Y844" s="77" t="s">
        <v>1982</v>
      </c>
      <c r="Z844" s="77"/>
      <c r="AA844" s="77" t="s">
        <v>2383</v>
      </c>
      <c r="AB844" s="77" t="s">
        <v>2698</v>
      </c>
      <c r="AC844" s="81" t="s">
        <v>2707</v>
      </c>
      <c r="AD844" s="77" t="s">
        <v>2752</v>
      </c>
      <c r="AE844" s="80" t="str">
        <f>HYPERLINK("https://twitter.com/inovies/status/1734527279861023178")</f>
        <v>https://twitter.com/inovies/status/1734527279861023178</v>
      </c>
      <c r="AF844" s="79">
        <v>45272.45490740741</v>
      </c>
      <c r="AG844" s="85">
        <v>45272</v>
      </c>
      <c r="AH844" s="81" t="s">
        <v>3441</v>
      </c>
      <c r="AI844" s="77" t="b">
        <v>0</v>
      </c>
      <c r="AJ844" s="77"/>
      <c r="AK844" s="77"/>
      <c r="AL844" s="77"/>
      <c r="AM844" s="77"/>
      <c r="AN844" s="77"/>
      <c r="AO844" s="77"/>
      <c r="AP844" s="77"/>
      <c r="AQ844" s="77" t="s">
        <v>4197</v>
      </c>
      <c r="AR844" s="77"/>
      <c r="AS844" s="77"/>
      <c r="AT844" s="77"/>
      <c r="AU844" s="77"/>
      <c r="AV844" s="80" t="str">
        <f>HYPERLINK("https://pbs.twimg.com/tweet_video_thumb/GBJHW6AbEAA5190.jpg")</f>
        <v>https://pbs.twimg.com/tweet_video_thumb/GBJHW6AbEAA5190.jpg</v>
      </c>
      <c r="AW844" s="81" t="s">
        <v>5189</v>
      </c>
      <c r="AX844" s="81" t="s">
        <v>5189</v>
      </c>
      <c r="AY844" s="77"/>
      <c r="AZ844" s="81" t="s">
        <v>5773</v>
      </c>
      <c r="BA844" s="81" t="s">
        <v>5773</v>
      </c>
      <c r="BB844" s="81" t="s">
        <v>5773</v>
      </c>
      <c r="BC844" s="81" t="s">
        <v>5189</v>
      </c>
      <c r="BD844" s="77">
        <v>297885438</v>
      </c>
      <c r="BE844" s="77"/>
      <c r="BF844" s="77"/>
      <c r="BG844" s="77"/>
      <c r="BH844" s="77"/>
      <c r="BI844" s="77"/>
    </row>
    <row r="845" spans="1:61" ht="15">
      <c r="A845" s="62" t="s">
        <v>299</v>
      </c>
      <c r="B845" s="62" t="s">
        <v>299</v>
      </c>
      <c r="C845" s="63"/>
      <c r="D845" s="64"/>
      <c r="E845" s="65"/>
      <c r="F845" s="66"/>
      <c r="G845" s="63"/>
      <c r="H845" s="67"/>
      <c r="I845" s="68"/>
      <c r="J845" s="68"/>
      <c r="K845" s="32" t="s">
        <v>65</v>
      </c>
      <c r="L845" s="75">
        <v>845</v>
      </c>
      <c r="M845" s="75"/>
      <c r="N845" s="70"/>
      <c r="O845" s="77" t="s">
        <v>179</v>
      </c>
      <c r="P845" s="79">
        <v>45272.45469907407</v>
      </c>
      <c r="Q845" s="77" t="s">
        <v>1237</v>
      </c>
      <c r="R845" s="77">
        <v>0</v>
      </c>
      <c r="S845" s="77">
        <v>0</v>
      </c>
      <c r="T845" s="77">
        <v>0</v>
      </c>
      <c r="U845" s="77">
        <v>0</v>
      </c>
      <c r="V845" s="77">
        <v>9</v>
      </c>
      <c r="W845" s="81" t="s">
        <v>1888</v>
      </c>
      <c r="X845" s="80" t="str">
        <f>HYPERLINK("https://www.inovies.com/digital-marketing/")</f>
        <v>https://www.inovies.com/digital-marketing/</v>
      </c>
      <c r="Y845" s="77" t="s">
        <v>1982</v>
      </c>
      <c r="Z845" s="77"/>
      <c r="AA845" s="77" t="s">
        <v>2384</v>
      </c>
      <c r="AB845" s="77" t="s">
        <v>2698</v>
      </c>
      <c r="AC845" s="81" t="s">
        <v>2707</v>
      </c>
      <c r="AD845" s="77" t="s">
        <v>2752</v>
      </c>
      <c r="AE845" s="80" t="str">
        <f>HYPERLINK("https://twitter.com/inovies/status/1734527206234214694")</f>
        <v>https://twitter.com/inovies/status/1734527206234214694</v>
      </c>
      <c r="AF845" s="79">
        <v>45272.45469907407</v>
      </c>
      <c r="AG845" s="85">
        <v>45272</v>
      </c>
      <c r="AH845" s="81" t="s">
        <v>3442</v>
      </c>
      <c r="AI845" s="77" t="b">
        <v>0</v>
      </c>
      <c r="AJ845" s="77"/>
      <c r="AK845" s="77"/>
      <c r="AL845" s="77"/>
      <c r="AM845" s="77"/>
      <c r="AN845" s="77"/>
      <c r="AO845" s="77"/>
      <c r="AP845" s="77"/>
      <c r="AQ845" s="77" t="s">
        <v>4198</v>
      </c>
      <c r="AR845" s="77"/>
      <c r="AS845" s="77"/>
      <c r="AT845" s="77"/>
      <c r="AU845" s="77"/>
      <c r="AV845" s="80" t="str">
        <f>HYPERLINK("https://pbs.twimg.com/tweet_video_thumb/GBJHS8iaYAAevQ0.jpg")</f>
        <v>https://pbs.twimg.com/tweet_video_thumb/GBJHS8iaYAAevQ0.jpg</v>
      </c>
      <c r="AW845" s="81" t="s">
        <v>5190</v>
      </c>
      <c r="AX845" s="81" t="s">
        <v>5190</v>
      </c>
      <c r="AY845" s="77"/>
      <c r="AZ845" s="81" t="s">
        <v>5773</v>
      </c>
      <c r="BA845" s="81" t="s">
        <v>5773</v>
      </c>
      <c r="BB845" s="81" t="s">
        <v>5773</v>
      </c>
      <c r="BC845" s="81" t="s">
        <v>5190</v>
      </c>
      <c r="BD845" s="77">
        <v>297885438</v>
      </c>
      <c r="BE845" s="77"/>
      <c r="BF845" s="77"/>
      <c r="BG845" s="77"/>
      <c r="BH845" s="77"/>
      <c r="BI845" s="77"/>
    </row>
    <row r="846" spans="1:61" ht="15">
      <c r="A846" s="62" t="s">
        <v>299</v>
      </c>
      <c r="B846" s="62" t="s">
        <v>299</v>
      </c>
      <c r="C846" s="63"/>
      <c r="D846" s="64"/>
      <c r="E846" s="65"/>
      <c r="F846" s="66"/>
      <c r="G846" s="63"/>
      <c r="H846" s="67"/>
      <c r="I846" s="68"/>
      <c r="J846" s="68"/>
      <c r="K846" s="32" t="s">
        <v>65</v>
      </c>
      <c r="L846" s="75">
        <v>846</v>
      </c>
      <c r="M846" s="75"/>
      <c r="N846" s="70"/>
      <c r="O846" s="77" t="s">
        <v>179</v>
      </c>
      <c r="P846" s="79">
        <v>45272.45447916666</v>
      </c>
      <c r="Q846" s="77" t="s">
        <v>1238</v>
      </c>
      <c r="R846" s="77">
        <v>0</v>
      </c>
      <c r="S846" s="77">
        <v>0</v>
      </c>
      <c r="T846" s="77">
        <v>0</v>
      </c>
      <c r="U846" s="77">
        <v>0</v>
      </c>
      <c r="V846" s="77">
        <v>8</v>
      </c>
      <c r="W846" s="81" t="s">
        <v>1888</v>
      </c>
      <c r="X846" s="80" t="str">
        <f>HYPERLINK("https://www.inovies.com/digital-marketing/")</f>
        <v>https://www.inovies.com/digital-marketing/</v>
      </c>
      <c r="Y846" s="77" t="s">
        <v>1982</v>
      </c>
      <c r="Z846" s="77"/>
      <c r="AA846" s="77" t="s">
        <v>2385</v>
      </c>
      <c r="AB846" s="77" t="s">
        <v>2698</v>
      </c>
      <c r="AC846" s="81" t="s">
        <v>2707</v>
      </c>
      <c r="AD846" s="77" t="s">
        <v>2752</v>
      </c>
      <c r="AE846" s="80" t="str">
        <f>HYPERLINK("https://twitter.com/inovies/status/1734527125808394298")</f>
        <v>https://twitter.com/inovies/status/1734527125808394298</v>
      </c>
      <c r="AF846" s="79">
        <v>45272.45447916666</v>
      </c>
      <c r="AG846" s="85">
        <v>45272</v>
      </c>
      <c r="AH846" s="81" t="s">
        <v>3443</v>
      </c>
      <c r="AI846" s="77" t="b">
        <v>0</v>
      </c>
      <c r="AJ846" s="77"/>
      <c r="AK846" s="77"/>
      <c r="AL846" s="77"/>
      <c r="AM846" s="77"/>
      <c r="AN846" s="77"/>
      <c r="AO846" s="77"/>
      <c r="AP846" s="77"/>
      <c r="AQ846" s="77" t="s">
        <v>4199</v>
      </c>
      <c r="AR846" s="77"/>
      <c r="AS846" s="77"/>
      <c r="AT846" s="77"/>
      <c r="AU846" s="77"/>
      <c r="AV846" s="80" t="str">
        <f>HYPERLINK("https://pbs.twimg.com/tweet_video_thumb/GBJHORNbAAA8RqI.jpg")</f>
        <v>https://pbs.twimg.com/tweet_video_thumb/GBJHORNbAAA8RqI.jpg</v>
      </c>
      <c r="AW846" s="81" t="s">
        <v>5191</v>
      </c>
      <c r="AX846" s="81" t="s">
        <v>5191</v>
      </c>
      <c r="AY846" s="77"/>
      <c r="AZ846" s="81" t="s">
        <v>5773</v>
      </c>
      <c r="BA846" s="81" t="s">
        <v>5773</v>
      </c>
      <c r="BB846" s="81" t="s">
        <v>5773</v>
      </c>
      <c r="BC846" s="81" t="s">
        <v>5191</v>
      </c>
      <c r="BD846" s="77">
        <v>297885438</v>
      </c>
      <c r="BE846" s="77"/>
      <c r="BF846" s="77"/>
      <c r="BG846" s="77"/>
      <c r="BH846" s="77"/>
      <c r="BI846" s="77"/>
    </row>
    <row r="847" spans="1:61" ht="15">
      <c r="A847" s="62" t="s">
        <v>299</v>
      </c>
      <c r="B847" s="62" t="s">
        <v>299</v>
      </c>
      <c r="C847" s="63"/>
      <c r="D847" s="64"/>
      <c r="E847" s="65"/>
      <c r="F847" s="66"/>
      <c r="G847" s="63"/>
      <c r="H847" s="67"/>
      <c r="I847" s="68"/>
      <c r="J847" s="68"/>
      <c r="K847" s="32" t="s">
        <v>65</v>
      </c>
      <c r="L847" s="75">
        <v>847</v>
      </c>
      <c r="M847" s="75"/>
      <c r="N847" s="70"/>
      <c r="O847" s="77" t="s">
        <v>179</v>
      </c>
      <c r="P847" s="79">
        <v>45272.454305555555</v>
      </c>
      <c r="Q847" s="77" t="s">
        <v>1239</v>
      </c>
      <c r="R847" s="77">
        <v>0</v>
      </c>
      <c r="S847" s="77">
        <v>0</v>
      </c>
      <c r="T847" s="77">
        <v>0</v>
      </c>
      <c r="U847" s="77">
        <v>0</v>
      </c>
      <c r="V847" s="77">
        <v>7</v>
      </c>
      <c r="W847" s="81" t="s">
        <v>1888</v>
      </c>
      <c r="X847" s="80" t="str">
        <f>HYPERLINK("https://www.inovies.com/digital-marketing/")</f>
        <v>https://www.inovies.com/digital-marketing/</v>
      </c>
      <c r="Y847" s="77" t="s">
        <v>1982</v>
      </c>
      <c r="Z847" s="77"/>
      <c r="AA847" s="77" t="s">
        <v>2386</v>
      </c>
      <c r="AB847" s="77" t="s">
        <v>2698</v>
      </c>
      <c r="AC847" s="81" t="s">
        <v>2707</v>
      </c>
      <c r="AD847" s="77" t="s">
        <v>2752</v>
      </c>
      <c r="AE847" s="80" t="str">
        <f>HYPERLINK("https://twitter.com/inovies/status/1734527061388353846")</f>
        <v>https://twitter.com/inovies/status/1734527061388353846</v>
      </c>
      <c r="AF847" s="79">
        <v>45272.454305555555</v>
      </c>
      <c r="AG847" s="85">
        <v>45272</v>
      </c>
      <c r="AH847" s="81" t="s">
        <v>3444</v>
      </c>
      <c r="AI847" s="77" t="b">
        <v>0</v>
      </c>
      <c r="AJ847" s="77"/>
      <c r="AK847" s="77"/>
      <c r="AL847" s="77"/>
      <c r="AM847" s="77"/>
      <c r="AN847" s="77"/>
      <c r="AO847" s="77"/>
      <c r="AP847" s="77"/>
      <c r="AQ847" s="77" t="s">
        <v>4200</v>
      </c>
      <c r="AR847" s="77"/>
      <c r="AS847" s="77"/>
      <c r="AT847" s="77"/>
      <c r="AU847" s="77"/>
      <c r="AV847" s="80" t="str">
        <f>HYPERLINK("https://pbs.twimg.com/tweet_video_thumb/GBJHKhubAAAnOd3.jpg")</f>
        <v>https://pbs.twimg.com/tweet_video_thumb/GBJHKhubAAAnOd3.jpg</v>
      </c>
      <c r="AW847" s="81" t="s">
        <v>5192</v>
      </c>
      <c r="AX847" s="81" t="s">
        <v>5192</v>
      </c>
      <c r="AY847" s="77"/>
      <c r="AZ847" s="81" t="s">
        <v>5773</v>
      </c>
      <c r="BA847" s="81" t="s">
        <v>5773</v>
      </c>
      <c r="BB847" s="81" t="s">
        <v>5773</v>
      </c>
      <c r="BC847" s="81" t="s">
        <v>5192</v>
      </c>
      <c r="BD847" s="77">
        <v>297885438</v>
      </c>
      <c r="BE847" s="77"/>
      <c r="BF847" s="77"/>
      <c r="BG847" s="77"/>
      <c r="BH847" s="77"/>
      <c r="BI847" s="77"/>
    </row>
    <row r="848" spans="1:61" ht="15">
      <c r="A848" s="62" t="s">
        <v>299</v>
      </c>
      <c r="B848" s="62" t="s">
        <v>299</v>
      </c>
      <c r="C848" s="63"/>
      <c r="D848" s="64"/>
      <c r="E848" s="65"/>
      <c r="F848" s="66"/>
      <c r="G848" s="63"/>
      <c r="H848" s="67"/>
      <c r="I848" s="68"/>
      <c r="J848" s="68"/>
      <c r="K848" s="32" t="s">
        <v>65</v>
      </c>
      <c r="L848" s="75">
        <v>848</v>
      </c>
      <c r="M848" s="75"/>
      <c r="N848" s="70"/>
      <c r="O848" s="77" t="s">
        <v>179</v>
      </c>
      <c r="P848" s="79">
        <v>45272.451828703706</v>
      </c>
      <c r="Q848" s="77" t="s">
        <v>1240</v>
      </c>
      <c r="R848" s="77">
        <v>0</v>
      </c>
      <c r="S848" s="77">
        <v>0</v>
      </c>
      <c r="T848" s="77">
        <v>0</v>
      </c>
      <c r="U848" s="77">
        <v>0</v>
      </c>
      <c r="V848" s="77">
        <v>5</v>
      </c>
      <c r="W848" s="81" t="s">
        <v>1888</v>
      </c>
      <c r="X848" s="80" t="str">
        <f>HYPERLINK("https://www.inovies.com/digital-marketing/")</f>
        <v>https://www.inovies.com/digital-marketing/</v>
      </c>
      <c r="Y848" s="77" t="s">
        <v>1982</v>
      </c>
      <c r="Z848" s="77"/>
      <c r="AA848" s="77" t="s">
        <v>2387</v>
      </c>
      <c r="AB848" s="77" t="s">
        <v>2698</v>
      </c>
      <c r="AC848" s="81" t="s">
        <v>2707</v>
      </c>
      <c r="AD848" s="77" t="s">
        <v>2752</v>
      </c>
      <c r="AE848" s="80" t="str">
        <f>HYPERLINK("https://twitter.com/inovies/status/1734526166885634057")</f>
        <v>https://twitter.com/inovies/status/1734526166885634057</v>
      </c>
      <c r="AF848" s="79">
        <v>45272.451828703706</v>
      </c>
      <c r="AG848" s="85">
        <v>45272</v>
      </c>
      <c r="AH848" s="81" t="s">
        <v>3445</v>
      </c>
      <c r="AI848" s="77" t="b">
        <v>0</v>
      </c>
      <c r="AJ848" s="77"/>
      <c r="AK848" s="77"/>
      <c r="AL848" s="77"/>
      <c r="AM848" s="77"/>
      <c r="AN848" s="77"/>
      <c r="AO848" s="77"/>
      <c r="AP848" s="77"/>
      <c r="AQ848" s="77" t="s">
        <v>4201</v>
      </c>
      <c r="AR848" s="77"/>
      <c r="AS848" s="77"/>
      <c r="AT848" s="77"/>
      <c r="AU848" s="77"/>
      <c r="AV848" s="80" t="str">
        <f>HYPERLINK("https://pbs.twimg.com/tweet_video_thumb/GBJGWbNaUAAv9pO.jpg")</f>
        <v>https://pbs.twimg.com/tweet_video_thumb/GBJGWbNaUAAv9pO.jpg</v>
      </c>
      <c r="AW848" s="81" t="s">
        <v>5193</v>
      </c>
      <c r="AX848" s="81" t="s">
        <v>5193</v>
      </c>
      <c r="AY848" s="77"/>
      <c r="AZ848" s="81" t="s">
        <v>5773</v>
      </c>
      <c r="BA848" s="81" t="s">
        <v>5773</v>
      </c>
      <c r="BB848" s="81" t="s">
        <v>5773</v>
      </c>
      <c r="BC848" s="81" t="s">
        <v>5193</v>
      </c>
      <c r="BD848" s="77">
        <v>297885438</v>
      </c>
      <c r="BE848" s="77"/>
      <c r="BF848" s="77"/>
      <c r="BG848" s="77"/>
      <c r="BH848" s="77"/>
      <c r="BI848" s="77"/>
    </row>
    <row r="849" spans="1:61" ht="15">
      <c r="A849" s="62" t="s">
        <v>299</v>
      </c>
      <c r="B849" s="62" t="s">
        <v>299</v>
      </c>
      <c r="C849" s="63"/>
      <c r="D849" s="64"/>
      <c r="E849" s="65"/>
      <c r="F849" s="66"/>
      <c r="G849" s="63"/>
      <c r="H849" s="67"/>
      <c r="I849" s="68"/>
      <c r="J849" s="68"/>
      <c r="K849" s="32" t="s">
        <v>65</v>
      </c>
      <c r="L849" s="75">
        <v>849</v>
      </c>
      <c r="M849" s="75"/>
      <c r="N849" s="70"/>
      <c r="O849" s="77" t="s">
        <v>179</v>
      </c>
      <c r="P849" s="79">
        <v>45272.451261574075</v>
      </c>
      <c r="Q849" s="77" t="s">
        <v>1241</v>
      </c>
      <c r="R849" s="77">
        <v>0</v>
      </c>
      <c r="S849" s="77">
        <v>0</v>
      </c>
      <c r="T849" s="77">
        <v>0</v>
      </c>
      <c r="U849" s="77">
        <v>0</v>
      </c>
      <c r="V849" s="77">
        <v>5</v>
      </c>
      <c r="W849" s="81" t="s">
        <v>1888</v>
      </c>
      <c r="X849" s="80" t="str">
        <f>HYPERLINK("https://www.inovies.com/digital-marketing/")</f>
        <v>https://www.inovies.com/digital-marketing/</v>
      </c>
      <c r="Y849" s="77" t="s">
        <v>1982</v>
      </c>
      <c r="Z849" s="77"/>
      <c r="AA849" s="77" t="s">
        <v>2388</v>
      </c>
      <c r="AB849" s="77" t="s">
        <v>2698</v>
      </c>
      <c r="AC849" s="81" t="s">
        <v>2707</v>
      </c>
      <c r="AD849" s="77" t="s">
        <v>2752</v>
      </c>
      <c r="AE849" s="80" t="str">
        <f>HYPERLINK("https://twitter.com/inovies/status/1734525959779610782")</f>
        <v>https://twitter.com/inovies/status/1734525959779610782</v>
      </c>
      <c r="AF849" s="79">
        <v>45272.451261574075</v>
      </c>
      <c r="AG849" s="85">
        <v>45272</v>
      </c>
      <c r="AH849" s="81" t="s">
        <v>3446</v>
      </c>
      <c r="AI849" s="77" t="b">
        <v>0</v>
      </c>
      <c r="AJ849" s="77"/>
      <c r="AK849" s="77"/>
      <c r="AL849" s="77"/>
      <c r="AM849" s="77"/>
      <c r="AN849" s="77"/>
      <c r="AO849" s="77"/>
      <c r="AP849" s="77"/>
      <c r="AQ849" s="77" t="s">
        <v>4202</v>
      </c>
      <c r="AR849" s="77"/>
      <c r="AS849" s="77"/>
      <c r="AT849" s="77"/>
      <c r="AU849" s="77"/>
      <c r="AV849" s="80" t="str">
        <f>HYPERLINK("https://pbs.twimg.com/tweet_video_thumb/GBJGKaKaIAAHAzm.jpg")</f>
        <v>https://pbs.twimg.com/tweet_video_thumb/GBJGKaKaIAAHAzm.jpg</v>
      </c>
      <c r="AW849" s="81" t="s">
        <v>5194</v>
      </c>
      <c r="AX849" s="81" t="s">
        <v>5194</v>
      </c>
      <c r="AY849" s="77"/>
      <c r="AZ849" s="81" t="s">
        <v>5773</v>
      </c>
      <c r="BA849" s="81" t="s">
        <v>5773</v>
      </c>
      <c r="BB849" s="81" t="s">
        <v>5773</v>
      </c>
      <c r="BC849" s="81" t="s">
        <v>5194</v>
      </c>
      <c r="BD849" s="77">
        <v>297885438</v>
      </c>
      <c r="BE849" s="77"/>
      <c r="BF849" s="77"/>
      <c r="BG849" s="77"/>
      <c r="BH849" s="77"/>
      <c r="BI849" s="77"/>
    </row>
    <row r="850" spans="1:61" ht="15">
      <c r="A850" s="62" t="s">
        <v>299</v>
      </c>
      <c r="B850" s="62" t="s">
        <v>299</v>
      </c>
      <c r="C850" s="63"/>
      <c r="D850" s="64"/>
      <c r="E850" s="65"/>
      <c r="F850" s="66"/>
      <c r="G850" s="63"/>
      <c r="H850" s="67"/>
      <c r="I850" s="68"/>
      <c r="J850" s="68"/>
      <c r="K850" s="32" t="s">
        <v>65</v>
      </c>
      <c r="L850" s="75">
        <v>850</v>
      </c>
      <c r="M850" s="75"/>
      <c r="N850" s="70"/>
      <c r="O850" s="77" t="s">
        <v>179</v>
      </c>
      <c r="P850" s="79">
        <v>45272.44936342593</v>
      </c>
      <c r="Q850" s="77" t="s">
        <v>1242</v>
      </c>
      <c r="R850" s="77">
        <v>0</v>
      </c>
      <c r="S850" s="77">
        <v>0</v>
      </c>
      <c r="T850" s="77">
        <v>0</v>
      </c>
      <c r="U850" s="77">
        <v>0</v>
      </c>
      <c r="V850" s="77">
        <v>5</v>
      </c>
      <c r="W850" s="81" t="s">
        <v>1888</v>
      </c>
      <c r="X850" s="80" t="str">
        <f>HYPERLINK("https://www.inovies.com/digital-marketing/")</f>
        <v>https://www.inovies.com/digital-marketing/</v>
      </c>
      <c r="Y850" s="77" t="s">
        <v>1982</v>
      </c>
      <c r="Z850" s="77"/>
      <c r="AA850" s="77" t="s">
        <v>2389</v>
      </c>
      <c r="AB850" s="77" t="s">
        <v>2698</v>
      </c>
      <c r="AC850" s="81" t="s">
        <v>2707</v>
      </c>
      <c r="AD850" s="77" t="s">
        <v>2752</v>
      </c>
      <c r="AE850" s="80" t="str">
        <f>HYPERLINK("https://twitter.com/inovies/status/1734525272051818756")</f>
        <v>https://twitter.com/inovies/status/1734525272051818756</v>
      </c>
      <c r="AF850" s="79">
        <v>45272.44936342593</v>
      </c>
      <c r="AG850" s="85">
        <v>45272</v>
      </c>
      <c r="AH850" s="81" t="s">
        <v>3447</v>
      </c>
      <c r="AI850" s="77" t="b">
        <v>0</v>
      </c>
      <c r="AJ850" s="77"/>
      <c r="AK850" s="77"/>
      <c r="AL850" s="77"/>
      <c r="AM850" s="77"/>
      <c r="AN850" s="77"/>
      <c r="AO850" s="77"/>
      <c r="AP850" s="77"/>
      <c r="AQ850" s="77" t="s">
        <v>4203</v>
      </c>
      <c r="AR850" s="77"/>
      <c r="AS850" s="77"/>
      <c r="AT850" s="77"/>
      <c r="AU850" s="77"/>
      <c r="AV850" s="80" t="str">
        <f>HYPERLINK("https://pbs.twimg.com/tweet_video_thumb/GBJFiUnawAAeX3d.jpg")</f>
        <v>https://pbs.twimg.com/tweet_video_thumb/GBJFiUnawAAeX3d.jpg</v>
      </c>
      <c r="AW850" s="81" t="s">
        <v>5195</v>
      </c>
      <c r="AX850" s="81" t="s">
        <v>5195</v>
      </c>
      <c r="AY850" s="77"/>
      <c r="AZ850" s="81" t="s">
        <v>5773</v>
      </c>
      <c r="BA850" s="81" t="s">
        <v>5773</v>
      </c>
      <c r="BB850" s="81" t="s">
        <v>5773</v>
      </c>
      <c r="BC850" s="81" t="s">
        <v>5195</v>
      </c>
      <c r="BD850" s="77">
        <v>297885438</v>
      </c>
      <c r="BE850" s="77"/>
      <c r="BF850" s="77"/>
      <c r="BG850" s="77"/>
      <c r="BH850" s="77"/>
      <c r="BI850" s="77"/>
    </row>
    <row r="851" spans="1:61" ht="15">
      <c r="A851" s="62" t="s">
        <v>299</v>
      </c>
      <c r="B851" s="62" t="s">
        <v>299</v>
      </c>
      <c r="C851" s="63"/>
      <c r="D851" s="64"/>
      <c r="E851" s="65"/>
      <c r="F851" s="66"/>
      <c r="G851" s="63"/>
      <c r="H851" s="67"/>
      <c r="I851" s="68"/>
      <c r="J851" s="68"/>
      <c r="K851" s="32" t="s">
        <v>65</v>
      </c>
      <c r="L851" s="75">
        <v>851</v>
      </c>
      <c r="M851" s="75"/>
      <c r="N851" s="70"/>
      <c r="O851" s="77" t="s">
        <v>179</v>
      </c>
      <c r="P851" s="79">
        <v>45272.448969907404</v>
      </c>
      <c r="Q851" s="77" t="s">
        <v>1243</v>
      </c>
      <c r="R851" s="77">
        <v>0</v>
      </c>
      <c r="S851" s="77">
        <v>0</v>
      </c>
      <c r="T851" s="77">
        <v>0</v>
      </c>
      <c r="U851" s="77">
        <v>0</v>
      </c>
      <c r="V851" s="77">
        <v>6</v>
      </c>
      <c r="W851" s="81" t="s">
        <v>1888</v>
      </c>
      <c r="X851" s="80" t="str">
        <f>HYPERLINK("https://www.inovies.com/digital-marketing/")</f>
        <v>https://www.inovies.com/digital-marketing/</v>
      </c>
      <c r="Y851" s="77" t="s">
        <v>1982</v>
      </c>
      <c r="Z851" s="77"/>
      <c r="AA851" s="77" t="s">
        <v>2390</v>
      </c>
      <c r="AB851" s="77" t="s">
        <v>2698</v>
      </c>
      <c r="AC851" s="81" t="s">
        <v>2707</v>
      </c>
      <c r="AD851" s="77" t="s">
        <v>2752</v>
      </c>
      <c r="AE851" s="80" t="str">
        <f>HYPERLINK("https://twitter.com/inovies/status/1734525129592578280")</f>
        <v>https://twitter.com/inovies/status/1734525129592578280</v>
      </c>
      <c r="AF851" s="79">
        <v>45272.448969907404</v>
      </c>
      <c r="AG851" s="85">
        <v>45272</v>
      </c>
      <c r="AH851" s="81" t="s">
        <v>3448</v>
      </c>
      <c r="AI851" s="77" t="b">
        <v>0</v>
      </c>
      <c r="AJ851" s="77"/>
      <c r="AK851" s="77"/>
      <c r="AL851" s="77"/>
      <c r="AM851" s="77"/>
      <c r="AN851" s="77"/>
      <c r="AO851" s="77"/>
      <c r="AP851" s="77"/>
      <c r="AQ851" s="77" t="s">
        <v>4204</v>
      </c>
      <c r="AR851" s="77"/>
      <c r="AS851" s="77"/>
      <c r="AT851" s="77"/>
      <c r="AU851" s="77"/>
      <c r="AV851" s="80" t="str">
        <f>HYPERLINK("https://pbs.twimg.com/tweet_video_thumb/GBJFaFSa0AA8dQs.jpg")</f>
        <v>https://pbs.twimg.com/tweet_video_thumb/GBJFaFSa0AA8dQs.jpg</v>
      </c>
      <c r="AW851" s="81" t="s">
        <v>5196</v>
      </c>
      <c r="AX851" s="81" t="s">
        <v>5196</v>
      </c>
      <c r="AY851" s="77"/>
      <c r="AZ851" s="81" t="s">
        <v>5773</v>
      </c>
      <c r="BA851" s="81" t="s">
        <v>5773</v>
      </c>
      <c r="BB851" s="81" t="s">
        <v>5773</v>
      </c>
      <c r="BC851" s="81" t="s">
        <v>5196</v>
      </c>
      <c r="BD851" s="77">
        <v>297885438</v>
      </c>
      <c r="BE851" s="77"/>
      <c r="BF851" s="77"/>
      <c r="BG851" s="77"/>
      <c r="BH851" s="77"/>
      <c r="BI851" s="77"/>
    </row>
    <row r="852" spans="1:61" ht="15">
      <c r="A852" s="62" t="s">
        <v>299</v>
      </c>
      <c r="B852" s="62" t="s">
        <v>299</v>
      </c>
      <c r="C852" s="63"/>
      <c r="D852" s="64"/>
      <c r="E852" s="65"/>
      <c r="F852" s="66"/>
      <c r="G852" s="63"/>
      <c r="H852" s="67"/>
      <c r="I852" s="68"/>
      <c r="J852" s="68"/>
      <c r="K852" s="32" t="s">
        <v>65</v>
      </c>
      <c r="L852" s="75">
        <v>852</v>
      </c>
      <c r="M852" s="75"/>
      <c r="N852" s="70"/>
      <c r="O852" s="77" t="s">
        <v>179</v>
      </c>
      <c r="P852" s="79">
        <v>45272.44342592593</v>
      </c>
      <c r="Q852" s="77" t="s">
        <v>1244</v>
      </c>
      <c r="R852" s="77">
        <v>0</v>
      </c>
      <c r="S852" s="77">
        <v>0</v>
      </c>
      <c r="T852" s="77">
        <v>0</v>
      </c>
      <c r="U852" s="77">
        <v>0</v>
      </c>
      <c r="V852" s="77">
        <v>6</v>
      </c>
      <c r="W852" s="81" t="s">
        <v>1888</v>
      </c>
      <c r="X852" s="80" t="str">
        <f>HYPERLINK("https://www.inovies.com/digital-marketing/")</f>
        <v>https://www.inovies.com/digital-marketing/</v>
      </c>
      <c r="Y852" s="77" t="s">
        <v>1982</v>
      </c>
      <c r="Z852" s="77"/>
      <c r="AA852" s="77" t="s">
        <v>2391</v>
      </c>
      <c r="AB852" s="77" t="s">
        <v>2698</v>
      </c>
      <c r="AC852" s="81" t="s">
        <v>2707</v>
      </c>
      <c r="AD852" s="77" t="s">
        <v>2752</v>
      </c>
      <c r="AE852" s="80" t="str">
        <f>HYPERLINK("https://twitter.com/inovies/status/1734523121565118602")</f>
        <v>https://twitter.com/inovies/status/1734523121565118602</v>
      </c>
      <c r="AF852" s="79">
        <v>45272.44342592593</v>
      </c>
      <c r="AG852" s="85">
        <v>45272</v>
      </c>
      <c r="AH852" s="81" t="s">
        <v>3449</v>
      </c>
      <c r="AI852" s="77" t="b">
        <v>0</v>
      </c>
      <c r="AJ852" s="77"/>
      <c r="AK852" s="77"/>
      <c r="AL852" s="77"/>
      <c r="AM852" s="77"/>
      <c r="AN852" s="77"/>
      <c r="AO852" s="77"/>
      <c r="AP852" s="77"/>
      <c r="AQ852" s="77" t="s">
        <v>4205</v>
      </c>
      <c r="AR852" s="77"/>
      <c r="AS852" s="77"/>
      <c r="AT852" s="77"/>
      <c r="AU852" s="77"/>
      <c r="AV852" s="80" t="str">
        <f>HYPERLINK("https://pbs.twimg.com/tweet_video_thumb/GBJDlJqa8AAJLRN.jpg")</f>
        <v>https://pbs.twimg.com/tweet_video_thumb/GBJDlJqa8AAJLRN.jpg</v>
      </c>
      <c r="AW852" s="81" t="s">
        <v>5197</v>
      </c>
      <c r="AX852" s="81" t="s">
        <v>5197</v>
      </c>
      <c r="AY852" s="77"/>
      <c r="AZ852" s="81" t="s">
        <v>5773</v>
      </c>
      <c r="BA852" s="81" t="s">
        <v>5773</v>
      </c>
      <c r="BB852" s="81" t="s">
        <v>5773</v>
      </c>
      <c r="BC852" s="81" t="s">
        <v>5197</v>
      </c>
      <c r="BD852" s="77">
        <v>297885438</v>
      </c>
      <c r="BE852" s="77"/>
      <c r="BF852" s="77"/>
      <c r="BG852" s="77"/>
      <c r="BH852" s="77"/>
      <c r="BI852" s="77"/>
    </row>
    <row r="853" spans="1:61" ht="15">
      <c r="A853" s="62" t="s">
        <v>299</v>
      </c>
      <c r="B853" s="62" t="s">
        <v>299</v>
      </c>
      <c r="C853" s="63"/>
      <c r="D853" s="64"/>
      <c r="E853" s="65"/>
      <c r="F853" s="66"/>
      <c r="G853" s="63"/>
      <c r="H853" s="67"/>
      <c r="I853" s="68"/>
      <c r="J853" s="68"/>
      <c r="K853" s="32" t="s">
        <v>65</v>
      </c>
      <c r="L853" s="75">
        <v>853</v>
      </c>
      <c r="M853" s="75"/>
      <c r="N853" s="70"/>
      <c r="O853" s="77" t="s">
        <v>179</v>
      </c>
      <c r="P853" s="79">
        <v>45272.44315972222</v>
      </c>
      <c r="Q853" s="77" t="s">
        <v>1245</v>
      </c>
      <c r="R853" s="77">
        <v>0</v>
      </c>
      <c r="S853" s="77">
        <v>0</v>
      </c>
      <c r="T853" s="77">
        <v>0</v>
      </c>
      <c r="U853" s="77">
        <v>0</v>
      </c>
      <c r="V853" s="77">
        <v>6</v>
      </c>
      <c r="W853" s="81" t="s">
        <v>1888</v>
      </c>
      <c r="X853" s="80" t="str">
        <f>HYPERLINK("https://www.inovies.com/digital-marketing/")</f>
        <v>https://www.inovies.com/digital-marketing/</v>
      </c>
      <c r="Y853" s="77" t="s">
        <v>1982</v>
      </c>
      <c r="Z853" s="77"/>
      <c r="AA853" s="77" t="s">
        <v>2392</v>
      </c>
      <c r="AB853" s="77" t="s">
        <v>2698</v>
      </c>
      <c r="AC853" s="81" t="s">
        <v>2707</v>
      </c>
      <c r="AD853" s="77" t="s">
        <v>2752</v>
      </c>
      <c r="AE853" s="80" t="str">
        <f>HYPERLINK("https://twitter.com/inovies/status/1734523024290787447")</f>
        <v>https://twitter.com/inovies/status/1734523024290787447</v>
      </c>
      <c r="AF853" s="79">
        <v>45272.44315972222</v>
      </c>
      <c r="AG853" s="85">
        <v>45272</v>
      </c>
      <c r="AH853" s="81" t="s">
        <v>2959</v>
      </c>
      <c r="AI853" s="77" t="b">
        <v>0</v>
      </c>
      <c r="AJ853" s="77"/>
      <c r="AK853" s="77"/>
      <c r="AL853" s="77"/>
      <c r="AM853" s="77"/>
      <c r="AN853" s="77"/>
      <c r="AO853" s="77"/>
      <c r="AP853" s="77"/>
      <c r="AQ853" s="77" t="s">
        <v>4206</v>
      </c>
      <c r="AR853" s="77"/>
      <c r="AS853" s="77"/>
      <c r="AT853" s="77"/>
      <c r="AU853" s="77"/>
      <c r="AV853" s="80" t="str">
        <f>HYPERLINK("https://pbs.twimg.com/tweet_video_thumb/GBJDfgdbIAAyWOk.jpg")</f>
        <v>https://pbs.twimg.com/tweet_video_thumb/GBJDfgdbIAAyWOk.jpg</v>
      </c>
      <c r="AW853" s="81" t="s">
        <v>5198</v>
      </c>
      <c r="AX853" s="81" t="s">
        <v>5198</v>
      </c>
      <c r="AY853" s="77"/>
      <c r="AZ853" s="81" t="s">
        <v>5773</v>
      </c>
      <c r="BA853" s="81" t="s">
        <v>5773</v>
      </c>
      <c r="BB853" s="81" t="s">
        <v>5773</v>
      </c>
      <c r="BC853" s="81" t="s">
        <v>5198</v>
      </c>
      <c r="BD853" s="77">
        <v>297885438</v>
      </c>
      <c r="BE853" s="77"/>
      <c r="BF853" s="77"/>
      <c r="BG853" s="77"/>
      <c r="BH853" s="77"/>
      <c r="BI853" s="77"/>
    </row>
    <row r="854" spans="1:61" ht="15">
      <c r="A854" s="62" t="s">
        <v>299</v>
      </c>
      <c r="B854" s="62" t="s">
        <v>299</v>
      </c>
      <c r="C854" s="63"/>
      <c r="D854" s="64"/>
      <c r="E854" s="65"/>
      <c r="F854" s="66"/>
      <c r="G854" s="63"/>
      <c r="H854" s="67"/>
      <c r="I854" s="68"/>
      <c r="J854" s="68"/>
      <c r="K854" s="32" t="s">
        <v>65</v>
      </c>
      <c r="L854" s="75">
        <v>854</v>
      </c>
      <c r="M854" s="75"/>
      <c r="N854" s="70"/>
      <c r="O854" s="77" t="s">
        <v>179</v>
      </c>
      <c r="P854" s="79">
        <v>45272.44298611111</v>
      </c>
      <c r="Q854" s="77" t="s">
        <v>1246</v>
      </c>
      <c r="R854" s="77">
        <v>0</v>
      </c>
      <c r="S854" s="77">
        <v>0</v>
      </c>
      <c r="T854" s="77">
        <v>0</v>
      </c>
      <c r="U854" s="77">
        <v>0</v>
      </c>
      <c r="V854" s="77">
        <v>6</v>
      </c>
      <c r="W854" s="81" t="s">
        <v>1888</v>
      </c>
      <c r="X854" s="80" t="str">
        <f>HYPERLINK("https://www.inovies.com/digital-marketing/")</f>
        <v>https://www.inovies.com/digital-marketing/</v>
      </c>
      <c r="Y854" s="77" t="s">
        <v>1982</v>
      </c>
      <c r="Z854" s="77"/>
      <c r="AA854" s="77" t="s">
        <v>2393</v>
      </c>
      <c r="AB854" s="77" t="s">
        <v>2698</v>
      </c>
      <c r="AC854" s="81" t="s">
        <v>2707</v>
      </c>
      <c r="AD854" s="77" t="s">
        <v>2752</v>
      </c>
      <c r="AE854" s="80" t="str">
        <f>HYPERLINK("https://twitter.com/inovies/status/1734522962391216158")</f>
        <v>https://twitter.com/inovies/status/1734522962391216158</v>
      </c>
      <c r="AF854" s="79">
        <v>45272.44298611111</v>
      </c>
      <c r="AG854" s="85">
        <v>45272</v>
      </c>
      <c r="AH854" s="81" t="s">
        <v>3450</v>
      </c>
      <c r="AI854" s="77" t="b">
        <v>0</v>
      </c>
      <c r="AJ854" s="77"/>
      <c r="AK854" s="77"/>
      <c r="AL854" s="77"/>
      <c r="AM854" s="77"/>
      <c r="AN854" s="77"/>
      <c r="AO854" s="77"/>
      <c r="AP854" s="77"/>
      <c r="AQ854" s="77" t="s">
        <v>4207</v>
      </c>
      <c r="AR854" s="77"/>
      <c r="AS854" s="77"/>
      <c r="AT854" s="77"/>
      <c r="AU854" s="77"/>
      <c r="AV854" s="80" t="str">
        <f>HYPERLINK("https://pbs.twimg.com/tweet_video_thumb/GBJDb7sbQAA3zRk.jpg")</f>
        <v>https://pbs.twimg.com/tweet_video_thumb/GBJDb7sbQAA3zRk.jpg</v>
      </c>
      <c r="AW854" s="81" t="s">
        <v>5199</v>
      </c>
      <c r="AX854" s="81" t="s">
        <v>5199</v>
      </c>
      <c r="AY854" s="77"/>
      <c r="AZ854" s="81" t="s">
        <v>5773</v>
      </c>
      <c r="BA854" s="81" t="s">
        <v>5773</v>
      </c>
      <c r="BB854" s="81" t="s">
        <v>5773</v>
      </c>
      <c r="BC854" s="81" t="s">
        <v>5199</v>
      </c>
      <c r="BD854" s="77">
        <v>297885438</v>
      </c>
      <c r="BE854" s="77"/>
      <c r="BF854" s="77"/>
      <c r="BG854" s="77"/>
      <c r="BH854" s="77"/>
      <c r="BI854" s="77"/>
    </row>
    <row r="855" spans="1:61" ht="15">
      <c r="A855" s="62" t="s">
        <v>299</v>
      </c>
      <c r="B855" s="62" t="s">
        <v>299</v>
      </c>
      <c r="C855" s="63"/>
      <c r="D855" s="64"/>
      <c r="E855" s="65"/>
      <c r="F855" s="66"/>
      <c r="G855" s="63"/>
      <c r="H855" s="67"/>
      <c r="I855" s="68"/>
      <c r="J855" s="68"/>
      <c r="K855" s="32" t="s">
        <v>65</v>
      </c>
      <c r="L855" s="75">
        <v>855</v>
      </c>
      <c r="M855" s="75"/>
      <c r="N855" s="70"/>
      <c r="O855" s="77" t="s">
        <v>179</v>
      </c>
      <c r="P855" s="79">
        <v>45272.44283564815</v>
      </c>
      <c r="Q855" s="77" t="s">
        <v>1247</v>
      </c>
      <c r="R855" s="77">
        <v>0</v>
      </c>
      <c r="S855" s="77">
        <v>0</v>
      </c>
      <c r="T855" s="77">
        <v>0</v>
      </c>
      <c r="U855" s="77">
        <v>0</v>
      </c>
      <c r="V855" s="77">
        <v>6</v>
      </c>
      <c r="W855" s="81" t="s">
        <v>1888</v>
      </c>
      <c r="X855" s="80" t="str">
        <f>HYPERLINK("https://www.inovies.com/digital-marketing/")</f>
        <v>https://www.inovies.com/digital-marketing/</v>
      </c>
      <c r="Y855" s="77" t="s">
        <v>1982</v>
      </c>
      <c r="Z855" s="77"/>
      <c r="AA855" s="77" t="s">
        <v>2394</v>
      </c>
      <c r="AB855" s="77" t="s">
        <v>2698</v>
      </c>
      <c r="AC855" s="81" t="s">
        <v>2707</v>
      </c>
      <c r="AD855" s="77" t="s">
        <v>2752</v>
      </c>
      <c r="AE855" s="80" t="str">
        <f>HYPERLINK("https://twitter.com/inovies/status/1734522905109897220")</f>
        <v>https://twitter.com/inovies/status/1734522905109897220</v>
      </c>
      <c r="AF855" s="79">
        <v>45272.44283564815</v>
      </c>
      <c r="AG855" s="85">
        <v>45272</v>
      </c>
      <c r="AH855" s="81" t="s">
        <v>3451</v>
      </c>
      <c r="AI855" s="77" t="b">
        <v>0</v>
      </c>
      <c r="AJ855" s="77"/>
      <c r="AK855" s="77"/>
      <c r="AL855" s="77"/>
      <c r="AM855" s="77"/>
      <c r="AN855" s="77"/>
      <c r="AO855" s="77"/>
      <c r="AP855" s="77"/>
      <c r="AQ855" s="77" t="s">
        <v>4208</v>
      </c>
      <c r="AR855" s="77"/>
      <c r="AS855" s="77"/>
      <c r="AT855" s="77"/>
      <c r="AU855" s="77"/>
      <c r="AV855" s="80" t="str">
        <f>HYPERLINK("https://pbs.twimg.com/tweet_video_thumb/GBJDYTEaEAASM7q.jpg")</f>
        <v>https://pbs.twimg.com/tweet_video_thumb/GBJDYTEaEAASM7q.jpg</v>
      </c>
      <c r="AW855" s="81" t="s">
        <v>5200</v>
      </c>
      <c r="AX855" s="81" t="s">
        <v>5200</v>
      </c>
      <c r="AY855" s="77"/>
      <c r="AZ855" s="81" t="s">
        <v>5773</v>
      </c>
      <c r="BA855" s="81" t="s">
        <v>5773</v>
      </c>
      <c r="BB855" s="81" t="s">
        <v>5773</v>
      </c>
      <c r="BC855" s="81" t="s">
        <v>5200</v>
      </c>
      <c r="BD855" s="77">
        <v>297885438</v>
      </c>
      <c r="BE855" s="77"/>
      <c r="BF855" s="77"/>
      <c r="BG855" s="77"/>
      <c r="BH855" s="77"/>
      <c r="BI855" s="77"/>
    </row>
    <row r="856" spans="1:61" ht="15">
      <c r="A856" s="62" t="s">
        <v>299</v>
      </c>
      <c r="B856" s="62" t="s">
        <v>299</v>
      </c>
      <c r="C856" s="63"/>
      <c r="D856" s="64"/>
      <c r="E856" s="65"/>
      <c r="F856" s="66"/>
      <c r="G856" s="63"/>
      <c r="H856" s="67"/>
      <c r="I856" s="68"/>
      <c r="J856" s="68"/>
      <c r="K856" s="32" t="s">
        <v>65</v>
      </c>
      <c r="L856" s="75">
        <v>856</v>
      </c>
      <c r="M856" s="75"/>
      <c r="N856" s="70"/>
      <c r="O856" s="77" t="s">
        <v>179</v>
      </c>
      <c r="P856" s="79">
        <v>45272.44260416667</v>
      </c>
      <c r="Q856" s="77" t="s">
        <v>1248</v>
      </c>
      <c r="R856" s="77">
        <v>0</v>
      </c>
      <c r="S856" s="77">
        <v>0</v>
      </c>
      <c r="T856" s="77">
        <v>0</v>
      </c>
      <c r="U856" s="77">
        <v>0</v>
      </c>
      <c r="V856" s="77">
        <v>6</v>
      </c>
      <c r="W856" s="81" t="s">
        <v>1888</v>
      </c>
      <c r="X856" s="80" t="str">
        <f>HYPERLINK("https://www.inovies.com/digital-marketing/")</f>
        <v>https://www.inovies.com/digital-marketing/</v>
      </c>
      <c r="Y856" s="77" t="s">
        <v>1982</v>
      </c>
      <c r="Z856" s="77"/>
      <c r="AA856" s="77" t="s">
        <v>2395</v>
      </c>
      <c r="AB856" s="77" t="s">
        <v>2698</v>
      </c>
      <c r="AC856" s="81" t="s">
        <v>2707</v>
      </c>
      <c r="AD856" s="77" t="s">
        <v>2752</v>
      </c>
      <c r="AE856" s="80" t="str">
        <f>HYPERLINK("https://twitter.com/inovies/status/1734522824600224131")</f>
        <v>https://twitter.com/inovies/status/1734522824600224131</v>
      </c>
      <c r="AF856" s="79">
        <v>45272.44260416667</v>
      </c>
      <c r="AG856" s="85">
        <v>45272</v>
      </c>
      <c r="AH856" s="81" t="s">
        <v>3452</v>
      </c>
      <c r="AI856" s="77" t="b">
        <v>0</v>
      </c>
      <c r="AJ856" s="77"/>
      <c r="AK856" s="77"/>
      <c r="AL856" s="77"/>
      <c r="AM856" s="77"/>
      <c r="AN856" s="77"/>
      <c r="AO856" s="77"/>
      <c r="AP856" s="77"/>
      <c r="AQ856" s="77" t="s">
        <v>4209</v>
      </c>
      <c r="AR856" s="77"/>
      <c r="AS856" s="77"/>
      <c r="AT856" s="77"/>
      <c r="AU856" s="77"/>
      <c r="AV856" s="80" t="str">
        <f>HYPERLINK("https://pbs.twimg.com/tweet_video_thumb/GBJDTRya8AAIIMw.jpg")</f>
        <v>https://pbs.twimg.com/tweet_video_thumb/GBJDTRya8AAIIMw.jpg</v>
      </c>
      <c r="AW856" s="81" t="s">
        <v>5201</v>
      </c>
      <c r="AX856" s="81" t="s">
        <v>5201</v>
      </c>
      <c r="AY856" s="77"/>
      <c r="AZ856" s="81" t="s">
        <v>5773</v>
      </c>
      <c r="BA856" s="81" t="s">
        <v>5773</v>
      </c>
      <c r="BB856" s="81" t="s">
        <v>5773</v>
      </c>
      <c r="BC856" s="81" t="s">
        <v>5201</v>
      </c>
      <c r="BD856" s="77">
        <v>297885438</v>
      </c>
      <c r="BE856" s="77"/>
      <c r="BF856" s="77"/>
      <c r="BG856" s="77"/>
      <c r="BH856" s="77"/>
      <c r="BI856" s="77"/>
    </row>
    <row r="857" spans="1:61" ht="15">
      <c r="A857" s="62" t="s">
        <v>299</v>
      </c>
      <c r="B857" s="62" t="s">
        <v>299</v>
      </c>
      <c r="C857" s="63"/>
      <c r="D857" s="64"/>
      <c r="E857" s="65"/>
      <c r="F857" s="66"/>
      <c r="G857" s="63"/>
      <c r="H857" s="67"/>
      <c r="I857" s="68"/>
      <c r="J857" s="68"/>
      <c r="K857" s="32" t="s">
        <v>65</v>
      </c>
      <c r="L857" s="75">
        <v>857</v>
      </c>
      <c r="M857" s="75"/>
      <c r="N857" s="70"/>
      <c r="O857" s="77" t="s">
        <v>179</v>
      </c>
      <c r="P857" s="79">
        <v>45272.442337962966</v>
      </c>
      <c r="Q857" s="77" t="s">
        <v>1249</v>
      </c>
      <c r="R857" s="77">
        <v>0</v>
      </c>
      <c r="S857" s="77">
        <v>0</v>
      </c>
      <c r="T857" s="77">
        <v>0</v>
      </c>
      <c r="U857" s="77">
        <v>0</v>
      </c>
      <c r="V857" s="77">
        <v>6</v>
      </c>
      <c r="W857" s="81" t="s">
        <v>1888</v>
      </c>
      <c r="X857" s="80" t="str">
        <f>HYPERLINK("https://www.inovies.com/digital-marketing/")</f>
        <v>https://www.inovies.com/digital-marketing/</v>
      </c>
      <c r="Y857" s="77" t="s">
        <v>1982</v>
      </c>
      <c r="Z857" s="77"/>
      <c r="AA857" s="77" t="s">
        <v>2396</v>
      </c>
      <c r="AB857" s="77" t="s">
        <v>2698</v>
      </c>
      <c r="AC857" s="81" t="s">
        <v>2707</v>
      </c>
      <c r="AD857" s="77" t="s">
        <v>2752</v>
      </c>
      <c r="AE857" s="80" t="str">
        <f>HYPERLINK("https://twitter.com/inovies/status/1734522728416215086")</f>
        <v>https://twitter.com/inovies/status/1734522728416215086</v>
      </c>
      <c r="AF857" s="79">
        <v>45272.442337962966</v>
      </c>
      <c r="AG857" s="85">
        <v>45272</v>
      </c>
      <c r="AH857" s="81" t="s">
        <v>3453</v>
      </c>
      <c r="AI857" s="77" t="b">
        <v>0</v>
      </c>
      <c r="AJ857" s="77"/>
      <c r="AK857" s="77"/>
      <c r="AL857" s="77"/>
      <c r="AM857" s="77"/>
      <c r="AN857" s="77"/>
      <c r="AO857" s="77"/>
      <c r="AP857" s="77"/>
      <c r="AQ857" s="77" t="s">
        <v>4210</v>
      </c>
      <c r="AR857" s="77"/>
      <c r="AS857" s="77"/>
      <c r="AT857" s="77"/>
      <c r="AU857" s="77"/>
      <c r="AV857" s="80" t="str">
        <f>HYPERLINK("https://pbs.twimg.com/tweet_video_thumb/GBJDOQma8AALadr.jpg")</f>
        <v>https://pbs.twimg.com/tweet_video_thumb/GBJDOQma8AALadr.jpg</v>
      </c>
      <c r="AW857" s="81" t="s">
        <v>5202</v>
      </c>
      <c r="AX857" s="81" t="s">
        <v>5202</v>
      </c>
      <c r="AY857" s="77"/>
      <c r="AZ857" s="81" t="s">
        <v>5773</v>
      </c>
      <c r="BA857" s="81" t="s">
        <v>5773</v>
      </c>
      <c r="BB857" s="81" t="s">
        <v>5773</v>
      </c>
      <c r="BC857" s="81" t="s">
        <v>5202</v>
      </c>
      <c r="BD857" s="77">
        <v>297885438</v>
      </c>
      <c r="BE857" s="77"/>
      <c r="BF857" s="77"/>
      <c r="BG857" s="77"/>
      <c r="BH857" s="77"/>
      <c r="BI857" s="77"/>
    </row>
    <row r="858" spans="1:61" ht="15">
      <c r="A858" s="62" t="s">
        <v>299</v>
      </c>
      <c r="B858" s="62" t="s">
        <v>299</v>
      </c>
      <c r="C858" s="63"/>
      <c r="D858" s="64"/>
      <c r="E858" s="65"/>
      <c r="F858" s="66"/>
      <c r="G858" s="63"/>
      <c r="H858" s="67"/>
      <c r="I858" s="68"/>
      <c r="J858" s="68"/>
      <c r="K858" s="32" t="s">
        <v>65</v>
      </c>
      <c r="L858" s="75">
        <v>858</v>
      </c>
      <c r="M858" s="75"/>
      <c r="N858" s="70"/>
      <c r="O858" s="77" t="s">
        <v>179</v>
      </c>
      <c r="P858" s="79">
        <v>45272.44212962963</v>
      </c>
      <c r="Q858" s="77" t="s">
        <v>1250</v>
      </c>
      <c r="R858" s="77">
        <v>0</v>
      </c>
      <c r="S858" s="77">
        <v>0</v>
      </c>
      <c r="T858" s="77">
        <v>0</v>
      </c>
      <c r="U858" s="77">
        <v>0</v>
      </c>
      <c r="V858" s="77">
        <v>6</v>
      </c>
      <c r="W858" s="81" t="s">
        <v>1888</v>
      </c>
      <c r="X858" s="80" t="str">
        <f>HYPERLINK("https://www.inovies.com/digital-marketing/")</f>
        <v>https://www.inovies.com/digital-marketing/</v>
      </c>
      <c r="Y858" s="77" t="s">
        <v>1982</v>
      </c>
      <c r="Z858" s="77"/>
      <c r="AA858" s="77" t="s">
        <v>2397</v>
      </c>
      <c r="AB858" s="77" t="s">
        <v>2698</v>
      </c>
      <c r="AC858" s="81" t="s">
        <v>2707</v>
      </c>
      <c r="AD858" s="77" t="s">
        <v>2752</v>
      </c>
      <c r="AE858" s="80" t="str">
        <f>HYPERLINK("https://twitter.com/inovies/status/1734522652591640897")</f>
        <v>https://twitter.com/inovies/status/1734522652591640897</v>
      </c>
      <c r="AF858" s="79">
        <v>45272.44212962963</v>
      </c>
      <c r="AG858" s="85">
        <v>45272</v>
      </c>
      <c r="AH858" s="81" t="s">
        <v>3454</v>
      </c>
      <c r="AI858" s="77" t="b">
        <v>0</v>
      </c>
      <c r="AJ858" s="77"/>
      <c r="AK858" s="77"/>
      <c r="AL858" s="77"/>
      <c r="AM858" s="77"/>
      <c r="AN858" s="77"/>
      <c r="AO858" s="77"/>
      <c r="AP858" s="77"/>
      <c r="AQ858" s="77" t="s">
        <v>4211</v>
      </c>
      <c r="AR858" s="77"/>
      <c r="AS858" s="77"/>
      <c r="AT858" s="77"/>
      <c r="AU858" s="77"/>
      <c r="AV858" s="80" t="str">
        <f>HYPERLINK("https://pbs.twimg.com/tweet_video_thumb/GBJDJ1dbAAAyRe7.jpg")</f>
        <v>https://pbs.twimg.com/tweet_video_thumb/GBJDJ1dbAAAyRe7.jpg</v>
      </c>
      <c r="AW858" s="81" t="s">
        <v>5203</v>
      </c>
      <c r="AX858" s="81" t="s">
        <v>5203</v>
      </c>
      <c r="AY858" s="77"/>
      <c r="AZ858" s="81" t="s">
        <v>5773</v>
      </c>
      <c r="BA858" s="81" t="s">
        <v>5773</v>
      </c>
      <c r="BB858" s="81" t="s">
        <v>5773</v>
      </c>
      <c r="BC858" s="81" t="s">
        <v>5203</v>
      </c>
      <c r="BD858" s="77">
        <v>297885438</v>
      </c>
      <c r="BE858" s="77"/>
      <c r="BF858" s="77"/>
      <c r="BG858" s="77"/>
      <c r="BH858" s="77"/>
      <c r="BI858" s="77"/>
    </row>
    <row r="859" spans="1:61" ht="15">
      <c r="A859" s="62" t="s">
        <v>299</v>
      </c>
      <c r="B859" s="62" t="s">
        <v>299</v>
      </c>
      <c r="C859" s="63"/>
      <c r="D859" s="64"/>
      <c r="E859" s="65"/>
      <c r="F859" s="66"/>
      <c r="G859" s="63"/>
      <c r="H859" s="67"/>
      <c r="I859" s="68"/>
      <c r="J859" s="68"/>
      <c r="K859" s="32" t="s">
        <v>65</v>
      </c>
      <c r="L859" s="75">
        <v>859</v>
      </c>
      <c r="M859" s="75"/>
      <c r="N859" s="70"/>
      <c r="O859" s="77" t="s">
        <v>179</v>
      </c>
      <c r="P859" s="79">
        <v>45272.44168981481</v>
      </c>
      <c r="Q859" s="77" t="s">
        <v>1251</v>
      </c>
      <c r="R859" s="77">
        <v>0</v>
      </c>
      <c r="S859" s="77">
        <v>0</v>
      </c>
      <c r="T859" s="77">
        <v>0</v>
      </c>
      <c r="U859" s="77">
        <v>0</v>
      </c>
      <c r="V859" s="77">
        <v>6</v>
      </c>
      <c r="W859" s="81" t="s">
        <v>1888</v>
      </c>
      <c r="X859" s="80" t="str">
        <f>HYPERLINK("https://www.inovies.com/digital-marketing/")</f>
        <v>https://www.inovies.com/digital-marketing/</v>
      </c>
      <c r="Y859" s="77" t="s">
        <v>1982</v>
      </c>
      <c r="Z859" s="77"/>
      <c r="AA859" s="77" t="s">
        <v>2398</v>
      </c>
      <c r="AB859" s="77" t="s">
        <v>2698</v>
      </c>
      <c r="AC859" s="81" t="s">
        <v>2707</v>
      </c>
      <c r="AD859" s="77" t="s">
        <v>2752</v>
      </c>
      <c r="AE859" s="80" t="str">
        <f>HYPERLINK("https://twitter.com/inovies/status/1734522490301366321")</f>
        <v>https://twitter.com/inovies/status/1734522490301366321</v>
      </c>
      <c r="AF859" s="79">
        <v>45272.44168981481</v>
      </c>
      <c r="AG859" s="85">
        <v>45272</v>
      </c>
      <c r="AH859" s="81" t="s">
        <v>3455</v>
      </c>
      <c r="AI859" s="77" t="b">
        <v>0</v>
      </c>
      <c r="AJ859" s="77"/>
      <c r="AK859" s="77"/>
      <c r="AL859" s="77"/>
      <c r="AM859" s="77"/>
      <c r="AN859" s="77"/>
      <c r="AO859" s="77"/>
      <c r="AP859" s="77"/>
      <c r="AQ859" s="77" t="s">
        <v>4212</v>
      </c>
      <c r="AR859" s="77"/>
      <c r="AS859" s="77"/>
      <c r="AT859" s="77"/>
      <c r="AU859" s="77"/>
      <c r="AV859" s="80" t="str">
        <f>HYPERLINK("https://pbs.twimg.com/tweet_video_thumb/GBJDAZraQAAhXVr.jpg")</f>
        <v>https://pbs.twimg.com/tweet_video_thumb/GBJDAZraQAAhXVr.jpg</v>
      </c>
      <c r="AW859" s="81" t="s">
        <v>5204</v>
      </c>
      <c r="AX859" s="81" t="s">
        <v>5204</v>
      </c>
      <c r="AY859" s="77"/>
      <c r="AZ859" s="81" t="s">
        <v>5773</v>
      </c>
      <c r="BA859" s="81" t="s">
        <v>5773</v>
      </c>
      <c r="BB859" s="81" t="s">
        <v>5773</v>
      </c>
      <c r="BC859" s="81" t="s">
        <v>5204</v>
      </c>
      <c r="BD859" s="77">
        <v>297885438</v>
      </c>
      <c r="BE859" s="77"/>
      <c r="BF859" s="77"/>
      <c r="BG859" s="77"/>
      <c r="BH859" s="77"/>
      <c r="BI859" s="77"/>
    </row>
    <row r="860" spans="1:61" ht="15">
      <c r="A860" s="62" t="s">
        <v>299</v>
      </c>
      <c r="B860" s="62" t="s">
        <v>299</v>
      </c>
      <c r="C860" s="63"/>
      <c r="D860" s="64"/>
      <c r="E860" s="65"/>
      <c r="F860" s="66"/>
      <c r="G860" s="63"/>
      <c r="H860" s="67"/>
      <c r="I860" s="68"/>
      <c r="J860" s="68"/>
      <c r="K860" s="32" t="s">
        <v>65</v>
      </c>
      <c r="L860" s="75">
        <v>860</v>
      </c>
      <c r="M860" s="75"/>
      <c r="N860" s="70"/>
      <c r="O860" s="77" t="s">
        <v>179</v>
      </c>
      <c r="P860" s="79">
        <v>45272.43861111111</v>
      </c>
      <c r="Q860" s="77" t="s">
        <v>1252</v>
      </c>
      <c r="R860" s="77">
        <v>0</v>
      </c>
      <c r="S860" s="77">
        <v>0</v>
      </c>
      <c r="T860" s="77">
        <v>0</v>
      </c>
      <c r="U860" s="77">
        <v>0</v>
      </c>
      <c r="V860" s="77">
        <v>7</v>
      </c>
      <c r="W860" s="81" t="s">
        <v>1888</v>
      </c>
      <c r="X860" s="80" t="str">
        <f>HYPERLINK("https://www.inovies.com/digital-marketing/")</f>
        <v>https://www.inovies.com/digital-marketing/</v>
      </c>
      <c r="Y860" s="77" t="s">
        <v>1982</v>
      </c>
      <c r="Z860" s="77"/>
      <c r="AA860" s="77" t="s">
        <v>2399</v>
      </c>
      <c r="AB860" s="77" t="s">
        <v>2698</v>
      </c>
      <c r="AC860" s="81" t="s">
        <v>2707</v>
      </c>
      <c r="AD860" s="77" t="s">
        <v>2752</v>
      </c>
      <c r="AE860" s="80" t="str">
        <f>HYPERLINK("https://twitter.com/inovies/status/1734521376491577569")</f>
        <v>https://twitter.com/inovies/status/1734521376491577569</v>
      </c>
      <c r="AF860" s="79">
        <v>45272.43861111111</v>
      </c>
      <c r="AG860" s="85">
        <v>45272</v>
      </c>
      <c r="AH860" s="81" t="s">
        <v>3456</v>
      </c>
      <c r="AI860" s="77" t="b">
        <v>0</v>
      </c>
      <c r="AJ860" s="77"/>
      <c r="AK860" s="77"/>
      <c r="AL860" s="77"/>
      <c r="AM860" s="77"/>
      <c r="AN860" s="77"/>
      <c r="AO860" s="77"/>
      <c r="AP860" s="77"/>
      <c r="AQ860" s="77" t="s">
        <v>4213</v>
      </c>
      <c r="AR860" s="77"/>
      <c r="AS860" s="77"/>
      <c r="AT860" s="77"/>
      <c r="AU860" s="77"/>
      <c r="AV860" s="80" t="str">
        <f>HYPERLINK("https://pbs.twimg.com/tweet_video_thumb/GBJB_UIaIAAfSHj.jpg")</f>
        <v>https://pbs.twimg.com/tweet_video_thumb/GBJB_UIaIAAfSHj.jpg</v>
      </c>
      <c r="AW860" s="81" t="s">
        <v>5205</v>
      </c>
      <c r="AX860" s="81" t="s">
        <v>5205</v>
      </c>
      <c r="AY860" s="77"/>
      <c r="AZ860" s="81" t="s">
        <v>5773</v>
      </c>
      <c r="BA860" s="81" t="s">
        <v>5773</v>
      </c>
      <c r="BB860" s="81" t="s">
        <v>5773</v>
      </c>
      <c r="BC860" s="81" t="s">
        <v>5205</v>
      </c>
      <c r="BD860" s="77">
        <v>297885438</v>
      </c>
      <c r="BE860" s="77"/>
      <c r="BF860" s="77"/>
      <c r="BG860" s="77"/>
      <c r="BH860" s="77"/>
      <c r="BI860" s="77"/>
    </row>
    <row r="861" spans="1:61" ht="15">
      <c r="A861" s="62" t="s">
        <v>299</v>
      </c>
      <c r="B861" s="62" t="s">
        <v>299</v>
      </c>
      <c r="C861" s="63"/>
      <c r="D861" s="64"/>
      <c r="E861" s="65"/>
      <c r="F861" s="66"/>
      <c r="G861" s="63"/>
      <c r="H861" s="67"/>
      <c r="I861" s="68"/>
      <c r="J861" s="68"/>
      <c r="K861" s="32" t="s">
        <v>65</v>
      </c>
      <c r="L861" s="75">
        <v>861</v>
      </c>
      <c r="M861" s="75"/>
      <c r="N861" s="70"/>
      <c r="O861" s="77" t="s">
        <v>179</v>
      </c>
      <c r="P861" s="79">
        <v>45272.43833333333</v>
      </c>
      <c r="Q861" s="77" t="s">
        <v>1253</v>
      </c>
      <c r="R861" s="77">
        <v>0</v>
      </c>
      <c r="S861" s="77">
        <v>0</v>
      </c>
      <c r="T861" s="77">
        <v>0</v>
      </c>
      <c r="U861" s="77">
        <v>0</v>
      </c>
      <c r="V861" s="77">
        <v>7</v>
      </c>
      <c r="W861" s="81" t="s">
        <v>1888</v>
      </c>
      <c r="X861" s="80" t="str">
        <f>HYPERLINK("https://www.inovies.com/digital-marketing/")</f>
        <v>https://www.inovies.com/digital-marketing/</v>
      </c>
      <c r="Y861" s="77" t="s">
        <v>1982</v>
      </c>
      <c r="Z861" s="77"/>
      <c r="AA861" s="77" t="s">
        <v>2400</v>
      </c>
      <c r="AB861" s="77" t="s">
        <v>2698</v>
      </c>
      <c r="AC861" s="81" t="s">
        <v>2707</v>
      </c>
      <c r="AD861" s="77" t="s">
        <v>2752</v>
      </c>
      <c r="AE861" s="80" t="str">
        <f>HYPERLINK("https://twitter.com/inovies/status/1734521273236308014")</f>
        <v>https://twitter.com/inovies/status/1734521273236308014</v>
      </c>
      <c r="AF861" s="79">
        <v>45272.43833333333</v>
      </c>
      <c r="AG861" s="85">
        <v>45272</v>
      </c>
      <c r="AH861" s="81" t="s">
        <v>3457</v>
      </c>
      <c r="AI861" s="77" t="b">
        <v>0</v>
      </c>
      <c r="AJ861" s="77"/>
      <c r="AK861" s="77"/>
      <c r="AL861" s="77"/>
      <c r="AM861" s="77"/>
      <c r="AN861" s="77"/>
      <c r="AO861" s="77"/>
      <c r="AP861" s="77"/>
      <c r="AQ861" s="77" t="s">
        <v>4214</v>
      </c>
      <c r="AR861" s="77"/>
      <c r="AS861" s="77"/>
      <c r="AT861" s="77"/>
      <c r="AU861" s="77"/>
      <c r="AV861" s="80" t="str">
        <f>HYPERLINK("https://pbs.twimg.com/tweet_video_thumb/GBJB5TIawAAPdGi.jpg")</f>
        <v>https://pbs.twimg.com/tweet_video_thumb/GBJB5TIawAAPdGi.jpg</v>
      </c>
      <c r="AW861" s="81" t="s">
        <v>5206</v>
      </c>
      <c r="AX861" s="81" t="s">
        <v>5206</v>
      </c>
      <c r="AY861" s="77"/>
      <c r="AZ861" s="81" t="s">
        <v>5773</v>
      </c>
      <c r="BA861" s="81" t="s">
        <v>5773</v>
      </c>
      <c r="BB861" s="81" t="s">
        <v>5773</v>
      </c>
      <c r="BC861" s="81" t="s">
        <v>5206</v>
      </c>
      <c r="BD861" s="77">
        <v>297885438</v>
      </c>
      <c r="BE861" s="77"/>
      <c r="BF861" s="77"/>
      <c r="BG861" s="77"/>
      <c r="BH861" s="77"/>
      <c r="BI861" s="77"/>
    </row>
    <row r="862" spans="1:61" ht="15">
      <c r="A862" s="62" t="s">
        <v>299</v>
      </c>
      <c r="B862" s="62" t="s">
        <v>299</v>
      </c>
      <c r="C862" s="63"/>
      <c r="D862" s="64"/>
      <c r="E862" s="65"/>
      <c r="F862" s="66"/>
      <c r="G862" s="63"/>
      <c r="H862" s="67"/>
      <c r="I862" s="68"/>
      <c r="J862" s="68"/>
      <c r="K862" s="32" t="s">
        <v>65</v>
      </c>
      <c r="L862" s="75">
        <v>862</v>
      </c>
      <c r="M862" s="75"/>
      <c r="N862" s="70"/>
      <c r="O862" s="77" t="s">
        <v>179</v>
      </c>
      <c r="P862" s="79">
        <v>45272.43809027778</v>
      </c>
      <c r="Q862" s="77" t="s">
        <v>1254</v>
      </c>
      <c r="R862" s="77">
        <v>0</v>
      </c>
      <c r="S862" s="77">
        <v>0</v>
      </c>
      <c r="T862" s="77">
        <v>0</v>
      </c>
      <c r="U862" s="77">
        <v>0</v>
      </c>
      <c r="V862" s="77">
        <v>7</v>
      </c>
      <c r="W862" s="81" t="s">
        <v>1888</v>
      </c>
      <c r="X862" s="80" t="str">
        <f>HYPERLINK("https://www.inovies.com/digital-marketing/")</f>
        <v>https://www.inovies.com/digital-marketing/</v>
      </c>
      <c r="Y862" s="77" t="s">
        <v>1982</v>
      </c>
      <c r="Z862" s="77"/>
      <c r="AA862" s="77" t="s">
        <v>2401</v>
      </c>
      <c r="AB862" s="77" t="s">
        <v>2698</v>
      </c>
      <c r="AC862" s="81" t="s">
        <v>2707</v>
      </c>
      <c r="AD862" s="77" t="s">
        <v>2752</v>
      </c>
      <c r="AE862" s="80" t="str">
        <f>HYPERLINK("https://twitter.com/inovies/status/1734521188653928712")</f>
        <v>https://twitter.com/inovies/status/1734521188653928712</v>
      </c>
      <c r="AF862" s="79">
        <v>45272.43809027778</v>
      </c>
      <c r="AG862" s="85">
        <v>45272</v>
      </c>
      <c r="AH862" s="81" t="s">
        <v>3458</v>
      </c>
      <c r="AI862" s="77" t="b">
        <v>0</v>
      </c>
      <c r="AJ862" s="77"/>
      <c r="AK862" s="77"/>
      <c r="AL862" s="77"/>
      <c r="AM862" s="77"/>
      <c r="AN862" s="77"/>
      <c r="AO862" s="77"/>
      <c r="AP862" s="77"/>
      <c r="AQ862" s="77" t="s">
        <v>4215</v>
      </c>
      <c r="AR862" s="77"/>
      <c r="AS862" s="77"/>
      <c r="AT862" s="77"/>
      <c r="AU862" s="77"/>
      <c r="AV862" s="80" t="str">
        <f>HYPERLINK("https://pbs.twimg.com/tweet_video_thumb/GBJB0D1b0AAm_E0.jpg")</f>
        <v>https://pbs.twimg.com/tweet_video_thumb/GBJB0D1b0AAm_E0.jpg</v>
      </c>
      <c r="AW862" s="81" t="s">
        <v>5207</v>
      </c>
      <c r="AX862" s="81" t="s">
        <v>5207</v>
      </c>
      <c r="AY862" s="77"/>
      <c r="AZ862" s="81" t="s">
        <v>5773</v>
      </c>
      <c r="BA862" s="81" t="s">
        <v>5773</v>
      </c>
      <c r="BB862" s="81" t="s">
        <v>5773</v>
      </c>
      <c r="BC862" s="81" t="s">
        <v>5207</v>
      </c>
      <c r="BD862" s="77">
        <v>297885438</v>
      </c>
      <c r="BE862" s="77"/>
      <c r="BF862" s="77"/>
      <c r="BG862" s="77"/>
      <c r="BH862" s="77"/>
      <c r="BI862" s="77"/>
    </row>
    <row r="863" spans="1:61" ht="15">
      <c r="A863" s="62" t="s">
        <v>299</v>
      </c>
      <c r="B863" s="62" t="s">
        <v>299</v>
      </c>
      <c r="C863" s="63"/>
      <c r="D863" s="64"/>
      <c r="E863" s="65"/>
      <c r="F863" s="66"/>
      <c r="G863" s="63"/>
      <c r="H863" s="67"/>
      <c r="I863" s="68"/>
      <c r="J863" s="68"/>
      <c r="K863" s="32" t="s">
        <v>65</v>
      </c>
      <c r="L863" s="75">
        <v>863</v>
      </c>
      <c r="M863" s="75"/>
      <c r="N863" s="70"/>
      <c r="O863" s="77" t="s">
        <v>179</v>
      </c>
      <c r="P863" s="79">
        <v>45272.437685185185</v>
      </c>
      <c r="Q863" s="77" t="s">
        <v>1255</v>
      </c>
      <c r="R863" s="77">
        <v>0</v>
      </c>
      <c r="S863" s="77">
        <v>0</v>
      </c>
      <c r="T863" s="77">
        <v>0</v>
      </c>
      <c r="U863" s="77">
        <v>0</v>
      </c>
      <c r="V863" s="77">
        <v>7</v>
      </c>
      <c r="W863" s="81" t="s">
        <v>1888</v>
      </c>
      <c r="X863" s="80" t="str">
        <f>HYPERLINK("https://www.inovies.com/digital-marketing/")</f>
        <v>https://www.inovies.com/digital-marketing/</v>
      </c>
      <c r="Y863" s="77" t="s">
        <v>1982</v>
      </c>
      <c r="Z863" s="77"/>
      <c r="AA863" s="77" t="s">
        <v>2402</v>
      </c>
      <c r="AB863" s="77" t="s">
        <v>2698</v>
      </c>
      <c r="AC863" s="81" t="s">
        <v>2707</v>
      </c>
      <c r="AD863" s="77" t="s">
        <v>2752</v>
      </c>
      <c r="AE863" s="80" t="str">
        <f>HYPERLINK("https://twitter.com/inovies/status/1734521038501970245")</f>
        <v>https://twitter.com/inovies/status/1734521038501970245</v>
      </c>
      <c r="AF863" s="79">
        <v>45272.437685185185</v>
      </c>
      <c r="AG863" s="85">
        <v>45272</v>
      </c>
      <c r="AH863" s="81" t="s">
        <v>2828</v>
      </c>
      <c r="AI863" s="77" t="b">
        <v>0</v>
      </c>
      <c r="AJ863" s="77"/>
      <c r="AK863" s="77"/>
      <c r="AL863" s="77"/>
      <c r="AM863" s="77"/>
      <c r="AN863" s="77"/>
      <c r="AO863" s="77"/>
      <c r="AP863" s="77"/>
      <c r="AQ863" s="77" t="s">
        <v>4216</v>
      </c>
      <c r="AR863" s="77"/>
      <c r="AS863" s="77"/>
      <c r="AT863" s="77"/>
      <c r="AU863" s="77"/>
      <c r="AV863" s="80" t="str">
        <f>HYPERLINK("https://pbs.twimg.com/tweet_video_thumb/GBJBr89bsAAIVCv.jpg")</f>
        <v>https://pbs.twimg.com/tweet_video_thumb/GBJBr89bsAAIVCv.jpg</v>
      </c>
      <c r="AW863" s="81" t="s">
        <v>5208</v>
      </c>
      <c r="AX863" s="81" t="s">
        <v>5208</v>
      </c>
      <c r="AY863" s="77"/>
      <c r="AZ863" s="81" t="s">
        <v>5773</v>
      </c>
      <c r="BA863" s="81" t="s">
        <v>5773</v>
      </c>
      <c r="BB863" s="81" t="s">
        <v>5773</v>
      </c>
      <c r="BC863" s="81" t="s">
        <v>5208</v>
      </c>
      <c r="BD863" s="77">
        <v>297885438</v>
      </c>
      <c r="BE863" s="77"/>
      <c r="BF863" s="77"/>
      <c r="BG863" s="77"/>
      <c r="BH863" s="77"/>
      <c r="BI863" s="77"/>
    </row>
    <row r="864" spans="1:61" ht="15">
      <c r="A864" s="62" t="s">
        <v>299</v>
      </c>
      <c r="B864" s="62" t="s">
        <v>299</v>
      </c>
      <c r="C864" s="63"/>
      <c r="D864" s="64"/>
      <c r="E864" s="65"/>
      <c r="F864" s="66"/>
      <c r="G864" s="63"/>
      <c r="H864" s="67"/>
      <c r="I864" s="68"/>
      <c r="J864" s="68"/>
      <c r="K864" s="32" t="s">
        <v>65</v>
      </c>
      <c r="L864" s="75">
        <v>864</v>
      </c>
      <c r="M864" s="75"/>
      <c r="N864" s="70"/>
      <c r="O864" s="77" t="s">
        <v>179</v>
      </c>
      <c r="P864" s="79">
        <v>45272.4375</v>
      </c>
      <c r="Q864" s="77" t="s">
        <v>1256</v>
      </c>
      <c r="R864" s="77">
        <v>0</v>
      </c>
      <c r="S864" s="77">
        <v>0</v>
      </c>
      <c r="T864" s="77">
        <v>0</v>
      </c>
      <c r="U864" s="77">
        <v>0</v>
      </c>
      <c r="V864" s="77">
        <v>7</v>
      </c>
      <c r="W864" s="81" t="s">
        <v>1888</v>
      </c>
      <c r="X864" s="80" t="str">
        <f>HYPERLINK("https://www.inovies.com/digital-marketing/")</f>
        <v>https://www.inovies.com/digital-marketing/</v>
      </c>
      <c r="Y864" s="77" t="s">
        <v>1982</v>
      </c>
      <c r="Z864" s="77"/>
      <c r="AA864" s="77" t="s">
        <v>2403</v>
      </c>
      <c r="AB864" s="77" t="s">
        <v>2698</v>
      </c>
      <c r="AC864" s="81" t="s">
        <v>2707</v>
      </c>
      <c r="AD864" s="77" t="s">
        <v>2752</v>
      </c>
      <c r="AE864" s="80" t="str">
        <f>HYPERLINK("https://twitter.com/inovies/status/1734520971770605580")</f>
        <v>https://twitter.com/inovies/status/1734520971770605580</v>
      </c>
      <c r="AF864" s="79">
        <v>45272.4375</v>
      </c>
      <c r="AG864" s="85">
        <v>45272</v>
      </c>
      <c r="AH864" s="81" t="s">
        <v>3459</v>
      </c>
      <c r="AI864" s="77" t="b">
        <v>0</v>
      </c>
      <c r="AJ864" s="77"/>
      <c r="AK864" s="77"/>
      <c r="AL864" s="77"/>
      <c r="AM864" s="77"/>
      <c r="AN864" s="77"/>
      <c r="AO864" s="77"/>
      <c r="AP864" s="77"/>
      <c r="AQ864" s="77" t="s">
        <v>4217</v>
      </c>
      <c r="AR864" s="77"/>
      <c r="AS864" s="77"/>
      <c r="AT864" s="77"/>
      <c r="AU864" s="77"/>
      <c r="AV864" s="80" t="str">
        <f>HYPERLINK("https://pbs.twimg.com/tweet_video_thumb/GBJBoEpbYAAPKYa.jpg")</f>
        <v>https://pbs.twimg.com/tweet_video_thumb/GBJBoEpbYAAPKYa.jpg</v>
      </c>
      <c r="AW864" s="81" t="s">
        <v>5209</v>
      </c>
      <c r="AX864" s="81" t="s">
        <v>5209</v>
      </c>
      <c r="AY864" s="77"/>
      <c r="AZ864" s="81" t="s">
        <v>5773</v>
      </c>
      <c r="BA864" s="81" t="s">
        <v>5773</v>
      </c>
      <c r="BB864" s="81" t="s">
        <v>5773</v>
      </c>
      <c r="BC864" s="81" t="s">
        <v>5209</v>
      </c>
      <c r="BD864" s="77">
        <v>297885438</v>
      </c>
      <c r="BE864" s="77"/>
      <c r="BF864" s="77"/>
      <c r="BG864" s="77"/>
      <c r="BH864" s="77"/>
      <c r="BI864" s="77"/>
    </row>
    <row r="865" spans="1:61" ht="15">
      <c r="A865" s="62" t="s">
        <v>299</v>
      </c>
      <c r="B865" s="62" t="s">
        <v>299</v>
      </c>
      <c r="C865" s="63"/>
      <c r="D865" s="64"/>
      <c r="E865" s="65"/>
      <c r="F865" s="66"/>
      <c r="G865" s="63"/>
      <c r="H865" s="67"/>
      <c r="I865" s="68"/>
      <c r="J865" s="68"/>
      <c r="K865" s="32" t="s">
        <v>65</v>
      </c>
      <c r="L865" s="75">
        <v>865</v>
      </c>
      <c r="M865" s="75"/>
      <c r="N865" s="70"/>
      <c r="O865" s="77" t="s">
        <v>179</v>
      </c>
      <c r="P865" s="79">
        <v>45272.43729166667</v>
      </c>
      <c r="Q865" s="77" t="s">
        <v>1257</v>
      </c>
      <c r="R865" s="77">
        <v>0</v>
      </c>
      <c r="S865" s="77">
        <v>0</v>
      </c>
      <c r="T865" s="77">
        <v>0</v>
      </c>
      <c r="U865" s="77">
        <v>0</v>
      </c>
      <c r="V865" s="77">
        <v>7</v>
      </c>
      <c r="W865" s="81" t="s">
        <v>1888</v>
      </c>
      <c r="X865" s="80" t="str">
        <f>HYPERLINK("https://www.inovies.com/digital-marketing/")</f>
        <v>https://www.inovies.com/digital-marketing/</v>
      </c>
      <c r="Y865" s="77" t="s">
        <v>1982</v>
      </c>
      <c r="Z865" s="77"/>
      <c r="AA865" s="77" t="s">
        <v>2404</v>
      </c>
      <c r="AB865" s="77" t="s">
        <v>2698</v>
      </c>
      <c r="AC865" s="81" t="s">
        <v>2707</v>
      </c>
      <c r="AD865" s="77" t="s">
        <v>2752</v>
      </c>
      <c r="AE865" s="80" t="str">
        <f>HYPERLINK("https://twitter.com/inovies/status/1734520895610437780")</f>
        <v>https://twitter.com/inovies/status/1734520895610437780</v>
      </c>
      <c r="AF865" s="79">
        <v>45272.43729166667</v>
      </c>
      <c r="AG865" s="85">
        <v>45272</v>
      </c>
      <c r="AH865" s="81" t="s">
        <v>3460</v>
      </c>
      <c r="AI865" s="77" t="b">
        <v>0</v>
      </c>
      <c r="AJ865" s="77"/>
      <c r="AK865" s="77"/>
      <c r="AL865" s="77"/>
      <c r="AM865" s="77"/>
      <c r="AN865" s="77"/>
      <c r="AO865" s="77"/>
      <c r="AP865" s="77"/>
      <c r="AQ865" s="77" t="s">
        <v>4218</v>
      </c>
      <c r="AR865" s="77"/>
      <c r="AS865" s="77"/>
      <c r="AT865" s="77"/>
      <c r="AU865" s="77"/>
      <c r="AV865" s="80" t="str">
        <f>HYPERLINK("https://pbs.twimg.com/tweet_video_thumb/GBJBjpFboAAcz9E.jpg")</f>
        <v>https://pbs.twimg.com/tweet_video_thumb/GBJBjpFboAAcz9E.jpg</v>
      </c>
      <c r="AW865" s="81" t="s">
        <v>5210</v>
      </c>
      <c r="AX865" s="81" t="s">
        <v>5210</v>
      </c>
      <c r="AY865" s="77"/>
      <c r="AZ865" s="81" t="s">
        <v>5773</v>
      </c>
      <c r="BA865" s="81" t="s">
        <v>5773</v>
      </c>
      <c r="BB865" s="81" t="s">
        <v>5773</v>
      </c>
      <c r="BC865" s="81" t="s">
        <v>5210</v>
      </c>
      <c r="BD865" s="77">
        <v>297885438</v>
      </c>
      <c r="BE865" s="77"/>
      <c r="BF865" s="77"/>
      <c r="BG865" s="77"/>
      <c r="BH865" s="77"/>
      <c r="BI865" s="77"/>
    </row>
    <row r="866" spans="1:61" ht="15">
      <c r="A866" s="62" t="s">
        <v>299</v>
      </c>
      <c r="B866" s="62" t="s">
        <v>299</v>
      </c>
      <c r="C866" s="63"/>
      <c r="D866" s="64"/>
      <c r="E866" s="65"/>
      <c r="F866" s="66"/>
      <c r="G866" s="63"/>
      <c r="H866" s="67"/>
      <c r="I866" s="68"/>
      <c r="J866" s="68"/>
      <c r="K866" s="32" t="s">
        <v>65</v>
      </c>
      <c r="L866" s="75">
        <v>866</v>
      </c>
      <c r="M866" s="75"/>
      <c r="N866" s="70"/>
      <c r="O866" s="77" t="s">
        <v>179</v>
      </c>
      <c r="P866" s="79">
        <v>45272.437002314815</v>
      </c>
      <c r="Q866" s="77" t="s">
        <v>1258</v>
      </c>
      <c r="R866" s="77">
        <v>0</v>
      </c>
      <c r="S866" s="77">
        <v>0</v>
      </c>
      <c r="T866" s="77">
        <v>0</v>
      </c>
      <c r="U866" s="77">
        <v>0</v>
      </c>
      <c r="V866" s="77">
        <v>6</v>
      </c>
      <c r="W866" s="81" t="s">
        <v>1888</v>
      </c>
      <c r="X866" s="80" t="str">
        <f>HYPERLINK("https://www.inovies.com/digital-marketing/")</f>
        <v>https://www.inovies.com/digital-marketing/</v>
      </c>
      <c r="Y866" s="77" t="s">
        <v>1982</v>
      </c>
      <c r="Z866" s="77"/>
      <c r="AA866" s="77" t="s">
        <v>2405</v>
      </c>
      <c r="AB866" s="77" t="s">
        <v>2698</v>
      </c>
      <c r="AC866" s="81" t="s">
        <v>2707</v>
      </c>
      <c r="AD866" s="77" t="s">
        <v>2752</v>
      </c>
      <c r="AE866" s="80" t="str">
        <f>HYPERLINK("https://twitter.com/inovies/status/1734520793118417322")</f>
        <v>https://twitter.com/inovies/status/1734520793118417322</v>
      </c>
      <c r="AF866" s="79">
        <v>45272.437002314815</v>
      </c>
      <c r="AG866" s="85">
        <v>45272</v>
      </c>
      <c r="AH866" s="81" t="s">
        <v>3461</v>
      </c>
      <c r="AI866" s="77" t="b">
        <v>0</v>
      </c>
      <c r="AJ866" s="77"/>
      <c r="AK866" s="77"/>
      <c r="AL866" s="77"/>
      <c r="AM866" s="77"/>
      <c r="AN866" s="77"/>
      <c r="AO866" s="77"/>
      <c r="AP866" s="77"/>
      <c r="AQ866" s="77" t="s">
        <v>4219</v>
      </c>
      <c r="AR866" s="77"/>
      <c r="AS866" s="77"/>
      <c r="AT866" s="77"/>
      <c r="AU866" s="77"/>
      <c r="AV866" s="80" t="str">
        <f>HYPERLINK("https://pbs.twimg.com/tweet_video_thumb/GBJBdpNasAAKXrq.jpg")</f>
        <v>https://pbs.twimg.com/tweet_video_thumb/GBJBdpNasAAKXrq.jpg</v>
      </c>
      <c r="AW866" s="81" t="s">
        <v>5211</v>
      </c>
      <c r="AX866" s="81" t="s">
        <v>5211</v>
      </c>
      <c r="AY866" s="77"/>
      <c r="AZ866" s="81" t="s">
        <v>5773</v>
      </c>
      <c r="BA866" s="81" t="s">
        <v>5773</v>
      </c>
      <c r="BB866" s="81" t="s">
        <v>5773</v>
      </c>
      <c r="BC866" s="81" t="s">
        <v>5211</v>
      </c>
      <c r="BD866" s="77">
        <v>297885438</v>
      </c>
      <c r="BE866" s="77"/>
      <c r="BF866" s="77"/>
      <c r="BG866" s="77"/>
      <c r="BH866" s="77"/>
      <c r="BI866" s="77"/>
    </row>
    <row r="867" spans="1:61" ht="15">
      <c r="A867" s="62" t="s">
        <v>299</v>
      </c>
      <c r="B867" s="62" t="s">
        <v>299</v>
      </c>
      <c r="C867" s="63"/>
      <c r="D867" s="64"/>
      <c r="E867" s="65"/>
      <c r="F867" s="66"/>
      <c r="G867" s="63"/>
      <c r="H867" s="67"/>
      <c r="I867" s="68"/>
      <c r="J867" s="68"/>
      <c r="K867" s="32" t="s">
        <v>65</v>
      </c>
      <c r="L867" s="75">
        <v>867</v>
      </c>
      <c r="M867" s="75"/>
      <c r="N867" s="70"/>
      <c r="O867" s="77" t="s">
        <v>179</v>
      </c>
      <c r="P867" s="79">
        <v>45272.43678240741</v>
      </c>
      <c r="Q867" s="77" t="s">
        <v>1259</v>
      </c>
      <c r="R867" s="77">
        <v>0</v>
      </c>
      <c r="S867" s="77">
        <v>0</v>
      </c>
      <c r="T867" s="77">
        <v>0</v>
      </c>
      <c r="U867" s="77">
        <v>0</v>
      </c>
      <c r="V867" s="77">
        <v>5</v>
      </c>
      <c r="W867" s="81" t="s">
        <v>1888</v>
      </c>
      <c r="X867" s="80" t="str">
        <f>HYPERLINK("https://www.inovies.com/digital-marketing/")</f>
        <v>https://www.inovies.com/digital-marketing/</v>
      </c>
      <c r="Y867" s="77" t="s">
        <v>1982</v>
      </c>
      <c r="Z867" s="77"/>
      <c r="AA867" s="77" t="s">
        <v>2406</v>
      </c>
      <c r="AB867" s="77" t="s">
        <v>2698</v>
      </c>
      <c r="AC867" s="81" t="s">
        <v>2707</v>
      </c>
      <c r="AD867" s="77" t="s">
        <v>2752</v>
      </c>
      <c r="AE867" s="80" t="str">
        <f>HYPERLINK("https://twitter.com/inovies/status/1734520711904133262")</f>
        <v>https://twitter.com/inovies/status/1734520711904133262</v>
      </c>
      <c r="AF867" s="79">
        <v>45272.43678240741</v>
      </c>
      <c r="AG867" s="85">
        <v>45272</v>
      </c>
      <c r="AH867" s="81" t="s">
        <v>3462</v>
      </c>
      <c r="AI867" s="77" t="b">
        <v>0</v>
      </c>
      <c r="AJ867" s="77"/>
      <c r="AK867" s="77"/>
      <c r="AL867" s="77"/>
      <c r="AM867" s="77"/>
      <c r="AN867" s="77"/>
      <c r="AO867" s="77"/>
      <c r="AP867" s="77"/>
      <c r="AQ867" s="77" t="s">
        <v>4220</v>
      </c>
      <c r="AR867" s="77"/>
      <c r="AS867" s="77"/>
      <c r="AT867" s="77"/>
      <c r="AU867" s="77"/>
      <c r="AV867" s="80" t="str">
        <f>HYPERLINK("https://pbs.twimg.com/tweet_video_thumb/GBJBYAeaEAAUTmH.jpg")</f>
        <v>https://pbs.twimg.com/tweet_video_thumb/GBJBYAeaEAAUTmH.jpg</v>
      </c>
      <c r="AW867" s="81" t="s">
        <v>5212</v>
      </c>
      <c r="AX867" s="81" t="s">
        <v>5212</v>
      </c>
      <c r="AY867" s="77"/>
      <c r="AZ867" s="81" t="s">
        <v>5773</v>
      </c>
      <c r="BA867" s="81" t="s">
        <v>5773</v>
      </c>
      <c r="BB867" s="81" t="s">
        <v>5773</v>
      </c>
      <c r="BC867" s="81" t="s">
        <v>5212</v>
      </c>
      <c r="BD867" s="77">
        <v>297885438</v>
      </c>
      <c r="BE867" s="77"/>
      <c r="BF867" s="77"/>
      <c r="BG867" s="77"/>
      <c r="BH867" s="77"/>
      <c r="BI867" s="77"/>
    </row>
    <row r="868" spans="1:61" ht="15">
      <c r="A868" s="62" t="s">
        <v>299</v>
      </c>
      <c r="B868" s="62" t="s">
        <v>299</v>
      </c>
      <c r="C868" s="63"/>
      <c r="D868" s="64"/>
      <c r="E868" s="65"/>
      <c r="F868" s="66"/>
      <c r="G868" s="63"/>
      <c r="H868" s="67"/>
      <c r="I868" s="68"/>
      <c r="J868" s="68"/>
      <c r="K868" s="32" t="s">
        <v>65</v>
      </c>
      <c r="L868" s="75">
        <v>868</v>
      </c>
      <c r="M868" s="75"/>
      <c r="N868" s="70"/>
      <c r="O868" s="77" t="s">
        <v>179</v>
      </c>
      <c r="P868" s="79">
        <v>45272.430393518516</v>
      </c>
      <c r="Q868" s="77" t="s">
        <v>1260</v>
      </c>
      <c r="R868" s="77">
        <v>0</v>
      </c>
      <c r="S868" s="77">
        <v>0</v>
      </c>
      <c r="T868" s="77">
        <v>0</v>
      </c>
      <c r="U868" s="77">
        <v>0</v>
      </c>
      <c r="V868" s="77">
        <v>4</v>
      </c>
      <c r="W868" s="81" t="s">
        <v>1888</v>
      </c>
      <c r="X868" s="80" t="str">
        <f>HYPERLINK("https://www.inovies.com/digital-marketing/")</f>
        <v>https://www.inovies.com/digital-marketing/</v>
      </c>
      <c r="Y868" s="77" t="s">
        <v>1982</v>
      </c>
      <c r="Z868" s="77"/>
      <c r="AA868" s="77" t="s">
        <v>2407</v>
      </c>
      <c r="AB868" s="77" t="s">
        <v>2698</v>
      </c>
      <c r="AC868" s="81" t="s">
        <v>2707</v>
      </c>
      <c r="AD868" s="77" t="s">
        <v>2752</v>
      </c>
      <c r="AE868" s="80" t="str">
        <f>HYPERLINK("https://twitter.com/inovies/status/1734518399500423236")</f>
        <v>https://twitter.com/inovies/status/1734518399500423236</v>
      </c>
      <c r="AF868" s="79">
        <v>45272.430393518516</v>
      </c>
      <c r="AG868" s="85">
        <v>45272</v>
      </c>
      <c r="AH868" s="81" t="s">
        <v>3463</v>
      </c>
      <c r="AI868" s="77" t="b">
        <v>0</v>
      </c>
      <c r="AJ868" s="77"/>
      <c r="AK868" s="77"/>
      <c r="AL868" s="77"/>
      <c r="AM868" s="77"/>
      <c r="AN868" s="77"/>
      <c r="AO868" s="77"/>
      <c r="AP868" s="77"/>
      <c r="AQ868" s="77" t="s">
        <v>4221</v>
      </c>
      <c r="AR868" s="77"/>
      <c r="AS868" s="77"/>
      <c r="AT868" s="77"/>
      <c r="AU868" s="77"/>
      <c r="AV868" s="80" t="str">
        <f>HYPERLINK("https://pbs.twimg.com/tweet_video_thumb/GBI_SWAaQAEflRI.jpg")</f>
        <v>https://pbs.twimg.com/tweet_video_thumb/GBI_SWAaQAEflRI.jpg</v>
      </c>
      <c r="AW868" s="81" t="s">
        <v>5213</v>
      </c>
      <c r="AX868" s="81" t="s">
        <v>5213</v>
      </c>
      <c r="AY868" s="77"/>
      <c r="AZ868" s="81" t="s">
        <v>5773</v>
      </c>
      <c r="BA868" s="81" t="s">
        <v>5773</v>
      </c>
      <c r="BB868" s="81" t="s">
        <v>5773</v>
      </c>
      <c r="BC868" s="81" t="s">
        <v>5213</v>
      </c>
      <c r="BD868" s="77">
        <v>297885438</v>
      </c>
      <c r="BE868" s="77"/>
      <c r="BF868" s="77"/>
      <c r="BG868" s="77"/>
      <c r="BH868" s="77"/>
      <c r="BI868" s="77"/>
    </row>
    <row r="869" spans="1:61" ht="15">
      <c r="A869" s="62" t="s">
        <v>299</v>
      </c>
      <c r="B869" s="62" t="s">
        <v>299</v>
      </c>
      <c r="C869" s="63"/>
      <c r="D869" s="64"/>
      <c r="E869" s="65"/>
      <c r="F869" s="66"/>
      <c r="G869" s="63"/>
      <c r="H869" s="67"/>
      <c r="I869" s="68"/>
      <c r="J869" s="68"/>
      <c r="K869" s="32" t="s">
        <v>65</v>
      </c>
      <c r="L869" s="75">
        <v>869</v>
      </c>
      <c r="M869" s="75"/>
      <c r="N869" s="70"/>
      <c r="O869" s="77" t="s">
        <v>179</v>
      </c>
      <c r="P869" s="79">
        <v>45272.38731481481</v>
      </c>
      <c r="Q869" s="77" t="s">
        <v>1261</v>
      </c>
      <c r="R869" s="77">
        <v>0</v>
      </c>
      <c r="S869" s="77">
        <v>0</v>
      </c>
      <c r="T869" s="77">
        <v>0</v>
      </c>
      <c r="U869" s="77">
        <v>0</v>
      </c>
      <c r="V869" s="77">
        <v>6</v>
      </c>
      <c r="W869" s="81" t="s">
        <v>1888</v>
      </c>
      <c r="X869" s="80" t="str">
        <f>HYPERLINK("https://www.inovies.com/digital-marketing/")</f>
        <v>https://www.inovies.com/digital-marketing/</v>
      </c>
      <c r="Y869" s="77" t="s">
        <v>1982</v>
      </c>
      <c r="Z869" s="77"/>
      <c r="AA869" s="77" t="s">
        <v>2408</v>
      </c>
      <c r="AB869" s="77" t="s">
        <v>2698</v>
      </c>
      <c r="AC869" s="81" t="s">
        <v>2707</v>
      </c>
      <c r="AD869" s="77" t="s">
        <v>2752</v>
      </c>
      <c r="AE869" s="80" t="str">
        <f>HYPERLINK("https://twitter.com/inovies/status/1734502785046253619")</f>
        <v>https://twitter.com/inovies/status/1734502785046253619</v>
      </c>
      <c r="AF869" s="79">
        <v>45272.38731481481</v>
      </c>
      <c r="AG869" s="85">
        <v>45272</v>
      </c>
      <c r="AH869" s="81" t="s">
        <v>3464</v>
      </c>
      <c r="AI869" s="77" t="b">
        <v>0</v>
      </c>
      <c r="AJ869" s="77"/>
      <c r="AK869" s="77"/>
      <c r="AL869" s="77"/>
      <c r="AM869" s="77"/>
      <c r="AN869" s="77"/>
      <c r="AO869" s="77"/>
      <c r="AP869" s="77"/>
      <c r="AQ869" s="77" t="s">
        <v>4222</v>
      </c>
      <c r="AR869" s="77"/>
      <c r="AS869" s="77"/>
      <c r="AT869" s="77"/>
      <c r="AU869" s="77"/>
      <c r="AV869" s="80" t="str">
        <f>HYPERLINK("https://pbs.twimg.com/tweet_video_thumb/GBIxFJ4bIAAE2PG.jpg")</f>
        <v>https://pbs.twimg.com/tweet_video_thumb/GBIxFJ4bIAAE2PG.jpg</v>
      </c>
      <c r="AW869" s="81" t="s">
        <v>5214</v>
      </c>
      <c r="AX869" s="81" t="s">
        <v>5214</v>
      </c>
      <c r="AY869" s="77"/>
      <c r="AZ869" s="81" t="s">
        <v>5773</v>
      </c>
      <c r="BA869" s="81" t="s">
        <v>5773</v>
      </c>
      <c r="BB869" s="81" t="s">
        <v>5773</v>
      </c>
      <c r="BC869" s="81" t="s">
        <v>5214</v>
      </c>
      <c r="BD869" s="77">
        <v>297885438</v>
      </c>
      <c r="BE869" s="77"/>
      <c r="BF869" s="77"/>
      <c r="BG869" s="77"/>
      <c r="BH869" s="77"/>
      <c r="BI869" s="77"/>
    </row>
    <row r="870" spans="1:61" ht="15">
      <c r="A870" s="62" t="s">
        <v>299</v>
      </c>
      <c r="B870" s="62" t="s">
        <v>299</v>
      </c>
      <c r="C870" s="63"/>
      <c r="D870" s="64"/>
      <c r="E870" s="65"/>
      <c r="F870" s="66"/>
      <c r="G870" s="63"/>
      <c r="H870" s="67"/>
      <c r="I870" s="68"/>
      <c r="J870" s="68"/>
      <c r="K870" s="32" t="s">
        <v>65</v>
      </c>
      <c r="L870" s="75">
        <v>870</v>
      </c>
      <c r="M870" s="75"/>
      <c r="N870" s="70"/>
      <c r="O870" s="77" t="s">
        <v>179</v>
      </c>
      <c r="P870" s="79">
        <v>45272.38615740741</v>
      </c>
      <c r="Q870" s="77" t="s">
        <v>1262</v>
      </c>
      <c r="R870" s="77">
        <v>0</v>
      </c>
      <c r="S870" s="77">
        <v>0</v>
      </c>
      <c r="T870" s="77">
        <v>0</v>
      </c>
      <c r="U870" s="77">
        <v>0</v>
      </c>
      <c r="V870" s="77">
        <v>5</v>
      </c>
      <c r="W870" s="81" t="s">
        <v>1888</v>
      </c>
      <c r="X870" s="80" t="str">
        <f>HYPERLINK("https://www.inovies.com/digital-marketing/")</f>
        <v>https://www.inovies.com/digital-marketing/</v>
      </c>
      <c r="Y870" s="77" t="s">
        <v>1982</v>
      </c>
      <c r="Z870" s="77"/>
      <c r="AA870" s="77" t="s">
        <v>2409</v>
      </c>
      <c r="AB870" s="77" t="s">
        <v>2698</v>
      </c>
      <c r="AC870" s="81" t="s">
        <v>2707</v>
      </c>
      <c r="AD870" s="77" t="s">
        <v>2752</v>
      </c>
      <c r="AE870" s="80" t="str">
        <f>HYPERLINK("https://twitter.com/inovies/status/1734502368308515005")</f>
        <v>https://twitter.com/inovies/status/1734502368308515005</v>
      </c>
      <c r="AF870" s="79">
        <v>45272.38615740741</v>
      </c>
      <c r="AG870" s="85">
        <v>45272</v>
      </c>
      <c r="AH870" s="81" t="s">
        <v>3465</v>
      </c>
      <c r="AI870" s="77" t="b">
        <v>0</v>
      </c>
      <c r="AJ870" s="77"/>
      <c r="AK870" s="77"/>
      <c r="AL870" s="77"/>
      <c r="AM870" s="77"/>
      <c r="AN870" s="77"/>
      <c r="AO870" s="77"/>
      <c r="AP870" s="77"/>
      <c r="AQ870" s="77" t="s">
        <v>4223</v>
      </c>
      <c r="AR870" s="77"/>
      <c r="AS870" s="77"/>
      <c r="AT870" s="77"/>
      <c r="AU870" s="77"/>
      <c r="AV870" s="80" t="str">
        <f>HYPERLINK("https://pbs.twimg.com/tweet_video_thumb/GBIwtNIbIAAmc5a.jpg")</f>
        <v>https://pbs.twimg.com/tweet_video_thumb/GBIwtNIbIAAmc5a.jpg</v>
      </c>
      <c r="AW870" s="81" t="s">
        <v>5215</v>
      </c>
      <c r="AX870" s="81" t="s">
        <v>5215</v>
      </c>
      <c r="AY870" s="77"/>
      <c r="AZ870" s="81" t="s">
        <v>5773</v>
      </c>
      <c r="BA870" s="81" t="s">
        <v>5773</v>
      </c>
      <c r="BB870" s="81" t="s">
        <v>5773</v>
      </c>
      <c r="BC870" s="81" t="s">
        <v>5215</v>
      </c>
      <c r="BD870" s="77">
        <v>297885438</v>
      </c>
      <c r="BE870" s="77"/>
      <c r="BF870" s="77"/>
      <c r="BG870" s="77"/>
      <c r="BH870" s="77"/>
      <c r="BI870" s="77"/>
    </row>
    <row r="871" spans="1:61" ht="15">
      <c r="A871" s="62" t="s">
        <v>299</v>
      </c>
      <c r="B871" s="62" t="s">
        <v>299</v>
      </c>
      <c r="C871" s="63"/>
      <c r="D871" s="64"/>
      <c r="E871" s="65"/>
      <c r="F871" s="66"/>
      <c r="G871" s="63"/>
      <c r="H871" s="67"/>
      <c r="I871" s="68"/>
      <c r="J871" s="68"/>
      <c r="K871" s="32" t="s">
        <v>65</v>
      </c>
      <c r="L871" s="75">
        <v>871</v>
      </c>
      <c r="M871" s="75"/>
      <c r="N871" s="70"/>
      <c r="O871" s="77" t="s">
        <v>179</v>
      </c>
      <c r="P871" s="79">
        <v>45272.38494212963</v>
      </c>
      <c r="Q871" s="77" t="s">
        <v>1263</v>
      </c>
      <c r="R871" s="77">
        <v>0</v>
      </c>
      <c r="S871" s="77">
        <v>0</v>
      </c>
      <c r="T871" s="77">
        <v>0</v>
      </c>
      <c r="U871" s="77">
        <v>0</v>
      </c>
      <c r="V871" s="77">
        <v>5</v>
      </c>
      <c r="W871" s="81" t="s">
        <v>1888</v>
      </c>
      <c r="X871" s="80" t="str">
        <f>HYPERLINK("https://www.inovies.com/digital-marketing/")</f>
        <v>https://www.inovies.com/digital-marketing/</v>
      </c>
      <c r="Y871" s="77" t="s">
        <v>1982</v>
      </c>
      <c r="Z871" s="77"/>
      <c r="AA871" s="77" t="s">
        <v>2410</v>
      </c>
      <c r="AB871" s="77" t="s">
        <v>2698</v>
      </c>
      <c r="AC871" s="81" t="s">
        <v>2707</v>
      </c>
      <c r="AD871" s="77" t="s">
        <v>2752</v>
      </c>
      <c r="AE871" s="80" t="str">
        <f>HYPERLINK("https://twitter.com/inovies/status/1734501927948591260")</f>
        <v>https://twitter.com/inovies/status/1734501927948591260</v>
      </c>
      <c r="AF871" s="79">
        <v>45272.38494212963</v>
      </c>
      <c r="AG871" s="85">
        <v>45272</v>
      </c>
      <c r="AH871" s="81" t="s">
        <v>3466</v>
      </c>
      <c r="AI871" s="77" t="b">
        <v>0</v>
      </c>
      <c r="AJ871" s="77"/>
      <c r="AK871" s="77"/>
      <c r="AL871" s="77"/>
      <c r="AM871" s="77"/>
      <c r="AN871" s="77"/>
      <c r="AO871" s="77"/>
      <c r="AP871" s="77"/>
      <c r="AQ871" s="77" t="s">
        <v>4224</v>
      </c>
      <c r="AR871" s="77"/>
      <c r="AS871" s="77"/>
      <c r="AT871" s="77"/>
      <c r="AU871" s="77"/>
      <c r="AV871" s="80" t="str">
        <f>HYPERLINK("https://pbs.twimg.com/tweet_video_thumb/GBIwTkjbYAA7s6W.jpg")</f>
        <v>https://pbs.twimg.com/tweet_video_thumb/GBIwTkjbYAA7s6W.jpg</v>
      </c>
      <c r="AW871" s="81" t="s">
        <v>5216</v>
      </c>
      <c r="AX871" s="81" t="s">
        <v>5216</v>
      </c>
      <c r="AY871" s="77"/>
      <c r="AZ871" s="81" t="s">
        <v>5773</v>
      </c>
      <c r="BA871" s="81" t="s">
        <v>5773</v>
      </c>
      <c r="BB871" s="81" t="s">
        <v>5773</v>
      </c>
      <c r="BC871" s="81" t="s">
        <v>5216</v>
      </c>
      <c r="BD871" s="77">
        <v>297885438</v>
      </c>
      <c r="BE871" s="77"/>
      <c r="BF871" s="77"/>
      <c r="BG871" s="77"/>
      <c r="BH871" s="77"/>
      <c r="BI871" s="77"/>
    </row>
    <row r="872" spans="1:61" ht="15">
      <c r="A872" s="62" t="s">
        <v>299</v>
      </c>
      <c r="B872" s="62" t="s">
        <v>299</v>
      </c>
      <c r="C872" s="63"/>
      <c r="D872" s="64"/>
      <c r="E872" s="65"/>
      <c r="F872" s="66"/>
      <c r="G872" s="63"/>
      <c r="H872" s="67"/>
      <c r="I872" s="68"/>
      <c r="J872" s="68"/>
      <c r="K872" s="32" t="s">
        <v>65</v>
      </c>
      <c r="L872" s="75">
        <v>872</v>
      </c>
      <c r="M872" s="75"/>
      <c r="N872" s="70"/>
      <c r="O872" s="77" t="s">
        <v>179</v>
      </c>
      <c r="P872" s="79">
        <v>45272.38425925926</v>
      </c>
      <c r="Q872" s="77" t="s">
        <v>1264</v>
      </c>
      <c r="R872" s="77">
        <v>0</v>
      </c>
      <c r="S872" s="77">
        <v>0</v>
      </c>
      <c r="T872" s="77">
        <v>0</v>
      </c>
      <c r="U872" s="77">
        <v>0</v>
      </c>
      <c r="V872" s="77">
        <v>5</v>
      </c>
      <c r="W872" s="81" t="s">
        <v>1888</v>
      </c>
      <c r="X872" s="80" t="str">
        <f>HYPERLINK("https://www.inovies.com/digital-marketing/")</f>
        <v>https://www.inovies.com/digital-marketing/</v>
      </c>
      <c r="Y872" s="77" t="s">
        <v>1982</v>
      </c>
      <c r="Z872" s="77"/>
      <c r="AA872" s="77" t="s">
        <v>2411</v>
      </c>
      <c r="AB872" s="77" t="s">
        <v>2698</v>
      </c>
      <c r="AC872" s="81" t="s">
        <v>2707</v>
      </c>
      <c r="AD872" s="77" t="s">
        <v>2752</v>
      </c>
      <c r="AE872" s="80" t="str">
        <f>HYPERLINK("https://twitter.com/inovies/status/1734501680535024053")</f>
        <v>https://twitter.com/inovies/status/1734501680535024053</v>
      </c>
      <c r="AF872" s="79">
        <v>45272.38425925926</v>
      </c>
      <c r="AG872" s="85">
        <v>45272</v>
      </c>
      <c r="AH872" s="81" t="s">
        <v>3467</v>
      </c>
      <c r="AI872" s="77" t="b">
        <v>0</v>
      </c>
      <c r="AJ872" s="77"/>
      <c r="AK872" s="77"/>
      <c r="AL872" s="77"/>
      <c r="AM872" s="77"/>
      <c r="AN872" s="77"/>
      <c r="AO872" s="77"/>
      <c r="AP872" s="77"/>
      <c r="AQ872" s="77" t="s">
        <v>4225</v>
      </c>
      <c r="AR872" s="77"/>
      <c r="AS872" s="77"/>
      <c r="AT872" s="77"/>
      <c r="AU872" s="77"/>
      <c r="AV872" s="80" t="str">
        <f>HYPERLINK("https://pbs.twimg.com/tweet_video_thumb/GBIwFK_aYAAxxij.jpg")</f>
        <v>https://pbs.twimg.com/tweet_video_thumb/GBIwFK_aYAAxxij.jpg</v>
      </c>
      <c r="AW872" s="81" t="s">
        <v>5217</v>
      </c>
      <c r="AX872" s="81" t="s">
        <v>5217</v>
      </c>
      <c r="AY872" s="77"/>
      <c r="AZ872" s="81" t="s">
        <v>5773</v>
      </c>
      <c r="BA872" s="81" t="s">
        <v>5773</v>
      </c>
      <c r="BB872" s="81" t="s">
        <v>5773</v>
      </c>
      <c r="BC872" s="81" t="s">
        <v>5217</v>
      </c>
      <c r="BD872" s="77">
        <v>297885438</v>
      </c>
      <c r="BE872" s="77"/>
      <c r="BF872" s="77"/>
      <c r="BG872" s="77"/>
      <c r="BH872" s="77"/>
      <c r="BI872" s="77"/>
    </row>
    <row r="873" spans="1:61" ht="15">
      <c r="A873" s="62" t="s">
        <v>299</v>
      </c>
      <c r="B873" s="62" t="s">
        <v>299</v>
      </c>
      <c r="C873" s="63"/>
      <c r="D873" s="64"/>
      <c r="E873" s="65"/>
      <c r="F873" s="66"/>
      <c r="G873" s="63"/>
      <c r="H873" s="67"/>
      <c r="I873" s="68"/>
      <c r="J873" s="68"/>
      <c r="K873" s="32" t="s">
        <v>65</v>
      </c>
      <c r="L873" s="75">
        <v>873</v>
      </c>
      <c r="M873" s="75"/>
      <c r="N873" s="70"/>
      <c r="O873" s="77" t="s">
        <v>179</v>
      </c>
      <c r="P873" s="79">
        <v>45272.38290509259</v>
      </c>
      <c r="Q873" s="77" t="s">
        <v>1265</v>
      </c>
      <c r="R873" s="77">
        <v>0</v>
      </c>
      <c r="S873" s="77">
        <v>0</v>
      </c>
      <c r="T873" s="77">
        <v>0</v>
      </c>
      <c r="U873" s="77">
        <v>0</v>
      </c>
      <c r="V873" s="77">
        <v>5</v>
      </c>
      <c r="W873" s="81" t="s">
        <v>1888</v>
      </c>
      <c r="X873" s="80" t="str">
        <f>HYPERLINK("https://www.inovies.com/digital-marketing/")</f>
        <v>https://www.inovies.com/digital-marketing/</v>
      </c>
      <c r="Y873" s="77" t="s">
        <v>1982</v>
      </c>
      <c r="Z873" s="77"/>
      <c r="AA873" s="77" t="s">
        <v>2412</v>
      </c>
      <c r="AB873" s="77" t="s">
        <v>2698</v>
      </c>
      <c r="AC873" s="81" t="s">
        <v>2707</v>
      </c>
      <c r="AD873" s="77" t="s">
        <v>2752</v>
      </c>
      <c r="AE873" s="80" t="str">
        <f>HYPERLINK("https://twitter.com/inovies/status/1734501188698284142")</f>
        <v>https://twitter.com/inovies/status/1734501188698284142</v>
      </c>
      <c r="AF873" s="79">
        <v>45272.38290509259</v>
      </c>
      <c r="AG873" s="85">
        <v>45272</v>
      </c>
      <c r="AH873" s="81" t="s">
        <v>3468</v>
      </c>
      <c r="AI873" s="77" t="b">
        <v>0</v>
      </c>
      <c r="AJ873" s="77"/>
      <c r="AK873" s="77"/>
      <c r="AL873" s="77"/>
      <c r="AM873" s="77"/>
      <c r="AN873" s="77"/>
      <c r="AO873" s="77"/>
      <c r="AP873" s="77"/>
      <c r="AQ873" s="77" t="s">
        <v>4226</v>
      </c>
      <c r="AR873" s="77"/>
      <c r="AS873" s="77"/>
      <c r="AT873" s="77"/>
      <c r="AU873" s="77"/>
      <c r="AV873" s="80" t="str">
        <f>HYPERLINK("https://pbs.twimg.com/tweet_video_thumb/GBIvoi8bwAAeQTt.jpg")</f>
        <v>https://pbs.twimg.com/tweet_video_thumb/GBIvoi8bwAAeQTt.jpg</v>
      </c>
      <c r="AW873" s="81" t="s">
        <v>5218</v>
      </c>
      <c r="AX873" s="81" t="s">
        <v>5218</v>
      </c>
      <c r="AY873" s="77"/>
      <c r="AZ873" s="81" t="s">
        <v>5773</v>
      </c>
      <c r="BA873" s="81" t="s">
        <v>5773</v>
      </c>
      <c r="BB873" s="81" t="s">
        <v>5773</v>
      </c>
      <c r="BC873" s="81" t="s">
        <v>5218</v>
      </c>
      <c r="BD873" s="77">
        <v>297885438</v>
      </c>
      <c r="BE873" s="77"/>
      <c r="BF873" s="77"/>
      <c r="BG873" s="77"/>
      <c r="BH873" s="77"/>
      <c r="BI873" s="77"/>
    </row>
    <row r="874" spans="1:61" ht="15">
      <c r="A874" s="62" t="s">
        <v>299</v>
      </c>
      <c r="B874" s="62" t="s">
        <v>299</v>
      </c>
      <c r="C874" s="63"/>
      <c r="D874" s="64"/>
      <c r="E874" s="65"/>
      <c r="F874" s="66"/>
      <c r="G874" s="63"/>
      <c r="H874" s="67"/>
      <c r="I874" s="68"/>
      <c r="J874" s="68"/>
      <c r="K874" s="32" t="s">
        <v>65</v>
      </c>
      <c r="L874" s="75">
        <v>874</v>
      </c>
      <c r="M874" s="75"/>
      <c r="N874" s="70"/>
      <c r="O874" s="77" t="s">
        <v>179</v>
      </c>
      <c r="P874" s="79">
        <v>45272.38253472222</v>
      </c>
      <c r="Q874" s="77" t="s">
        <v>1266</v>
      </c>
      <c r="R874" s="77">
        <v>0</v>
      </c>
      <c r="S874" s="77">
        <v>0</v>
      </c>
      <c r="T874" s="77">
        <v>0</v>
      </c>
      <c r="U874" s="77">
        <v>0</v>
      </c>
      <c r="V874" s="77">
        <v>5</v>
      </c>
      <c r="W874" s="81" t="s">
        <v>1888</v>
      </c>
      <c r="X874" s="80" t="str">
        <f>HYPERLINK("https://www.inovies.com/digital-marketing/")</f>
        <v>https://www.inovies.com/digital-marketing/</v>
      </c>
      <c r="Y874" s="77" t="s">
        <v>1982</v>
      </c>
      <c r="Z874" s="77"/>
      <c r="AA874" s="77" t="s">
        <v>2413</v>
      </c>
      <c r="AB874" s="77" t="s">
        <v>2698</v>
      </c>
      <c r="AC874" s="81" t="s">
        <v>2707</v>
      </c>
      <c r="AD874" s="77" t="s">
        <v>2752</v>
      </c>
      <c r="AE874" s="80" t="str">
        <f>HYPERLINK("https://twitter.com/inovies/status/1734501055596212546")</f>
        <v>https://twitter.com/inovies/status/1734501055596212546</v>
      </c>
      <c r="AF874" s="79">
        <v>45272.38253472222</v>
      </c>
      <c r="AG874" s="85">
        <v>45272</v>
      </c>
      <c r="AH874" s="81" t="s">
        <v>3469</v>
      </c>
      <c r="AI874" s="77" t="b">
        <v>0</v>
      </c>
      <c r="AJ874" s="77"/>
      <c r="AK874" s="77"/>
      <c r="AL874" s="77"/>
      <c r="AM874" s="77"/>
      <c r="AN874" s="77"/>
      <c r="AO874" s="77"/>
      <c r="AP874" s="77"/>
      <c r="AQ874" s="77" t="s">
        <v>4227</v>
      </c>
      <c r="AR874" s="77"/>
      <c r="AS874" s="77"/>
      <c r="AT874" s="77"/>
      <c r="AU874" s="77"/>
      <c r="AV874" s="80" t="str">
        <f>HYPERLINK("https://pbs.twimg.com/tweet_video_thumb/GBIvgu-a4AAd6sl.jpg")</f>
        <v>https://pbs.twimg.com/tweet_video_thumb/GBIvgu-a4AAd6sl.jpg</v>
      </c>
      <c r="AW874" s="81" t="s">
        <v>5219</v>
      </c>
      <c r="AX874" s="81" t="s">
        <v>5219</v>
      </c>
      <c r="AY874" s="77"/>
      <c r="AZ874" s="81" t="s">
        <v>5773</v>
      </c>
      <c r="BA874" s="81" t="s">
        <v>5773</v>
      </c>
      <c r="BB874" s="81" t="s">
        <v>5773</v>
      </c>
      <c r="BC874" s="81" t="s">
        <v>5219</v>
      </c>
      <c r="BD874" s="77">
        <v>297885438</v>
      </c>
      <c r="BE874" s="77"/>
      <c r="BF874" s="77"/>
      <c r="BG874" s="77"/>
      <c r="BH874" s="77"/>
      <c r="BI874" s="77"/>
    </row>
    <row r="875" spans="1:61" ht="15">
      <c r="A875" s="62" t="s">
        <v>299</v>
      </c>
      <c r="B875" s="62" t="s">
        <v>299</v>
      </c>
      <c r="C875" s="63"/>
      <c r="D875" s="64"/>
      <c r="E875" s="65"/>
      <c r="F875" s="66"/>
      <c r="G875" s="63"/>
      <c r="H875" s="67"/>
      <c r="I875" s="68"/>
      <c r="J875" s="68"/>
      <c r="K875" s="32" t="s">
        <v>65</v>
      </c>
      <c r="L875" s="75">
        <v>875</v>
      </c>
      <c r="M875" s="75"/>
      <c r="N875" s="70"/>
      <c r="O875" s="77" t="s">
        <v>179</v>
      </c>
      <c r="P875" s="79">
        <v>45272.38136574074</v>
      </c>
      <c r="Q875" s="77" t="s">
        <v>1267</v>
      </c>
      <c r="R875" s="77">
        <v>0</v>
      </c>
      <c r="S875" s="77">
        <v>0</v>
      </c>
      <c r="T875" s="77">
        <v>0</v>
      </c>
      <c r="U875" s="77">
        <v>0</v>
      </c>
      <c r="V875" s="77">
        <v>5</v>
      </c>
      <c r="W875" s="81" t="s">
        <v>1888</v>
      </c>
      <c r="X875" s="80" t="str">
        <f>HYPERLINK("https://www.inovies.com/digital-marketing/")</f>
        <v>https://www.inovies.com/digital-marketing/</v>
      </c>
      <c r="Y875" s="77" t="s">
        <v>1982</v>
      </c>
      <c r="Z875" s="77"/>
      <c r="AA875" s="77" t="s">
        <v>2414</v>
      </c>
      <c r="AB875" s="77" t="s">
        <v>2698</v>
      </c>
      <c r="AC875" s="81" t="s">
        <v>2707</v>
      </c>
      <c r="AD875" s="77" t="s">
        <v>2752</v>
      </c>
      <c r="AE875" s="80" t="str">
        <f>HYPERLINK("https://twitter.com/inovies/status/1734500628934881664")</f>
        <v>https://twitter.com/inovies/status/1734500628934881664</v>
      </c>
      <c r="AF875" s="79">
        <v>45272.38136574074</v>
      </c>
      <c r="AG875" s="85">
        <v>45272</v>
      </c>
      <c r="AH875" s="81" t="s">
        <v>3470</v>
      </c>
      <c r="AI875" s="77" t="b">
        <v>0</v>
      </c>
      <c r="AJ875" s="77"/>
      <c r="AK875" s="77"/>
      <c r="AL875" s="77"/>
      <c r="AM875" s="77"/>
      <c r="AN875" s="77"/>
      <c r="AO875" s="77"/>
      <c r="AP875" s="77"/>
      <c r="AQ875" s="77" t="s">
        <v>4228</v>
      </c>
      <c r="AR875" s="77"/>
      <c r="AS875" s="77"/>
      <c r="AT875" s="77"/>
      <c r="AU875" s="77"/>
      <c r="AV875" s="80" t="str">
        <f>HYPERLINK("https://pbs.twimg.com/tweet_video_thumb/GBIvHpobsAAJfyt.jpg")</f>
        <v>https://pbs.twimg.com/tweet_video_thumb/GBIvHpobsAAJfyt.jpg</v>
      </c>
      <c r="AW875" s="81" t="s">
        <v>5220</v>
      </c>
      <c r="AX875" s="81" t="s">
        <v>5220</v>
      </c>
      <c r="AY875" s="77"/>
      <c r="AZ875" s="81" t="s">
        <v>5773</v>
      </c>
      <c r="BA875" s="81" t="s">
        <v>5773</v>
      </c>
      <c r="BB875" s="81" t="s">
        <v>5773</v>
      </c>
      <c r="BC875" s="81" t="s">
        <v>5220</v>
      </c>
      <c r="BD875" s="77">
        <v>297885438</v>
      </c>
      <c r="BE875" s="77"/>
      <c r="BF875" s="77"/>
      <c r="BG875" s="77"/>
      <c r="BH875" s="77"/>
      <c r="BI875" s="77"/>
    </row>
    <row r="876" spans="1:61" ht="15">
      <c r="A876" s="62" t="s">
        <v>299</v>
      </c>
      <c r="B876" s="62" t="s">
        <v>299</v>
      </c>
      <c r="C876" s="63"/>
      <c r="D876" s="64"/>
      <c r="E876" s="65"/>
      <c r="F876" s="66"/>
      <c r="G876" s="63"/>
      <c r="H876" s="67"/>
      <c r="I876" s="68"/>
      <c r="J876" s="68"/>
      <c r="K876" s="32" t="s">
        <v>65</v>
      </c>
      <c r="L876" s="75">
        <v>876</v>
      </c>
      <c r="M876" s="75"/>
      <c r="N876" s="70"/>
      <c r="O876" s="77" t="s">
        <v>179</v>
      </c>
      <c r="P876" s="79">
        <v>45272.37378472222</v>
      </c>
      <c r="Q876" s="77" t="s">
        <v>1268</v>
      </c>
      <c r="R876" s="77">
        <v>0</v>
      </c>
      <c r="S876" s="77">
        <v>0</v>
      </c>
      <c r="T876" s="77">
        <v>0</v>
      </c>
      <c r="U876" s="77">
        <v>0</v>
      </c>
      <c r="V876" s="77">
        <v>5</v>
      </c>
      <c r="W876" s="81" t="s">
        <v>1888</v>
      </c>
      <c r="X876" s="80" t="str">
        <f>HYPERLINK("https://www.inovies.com/digital-marketing/")</f>
        <v>https://www.inovies.com/digital-marketing/</v>
      </c>
      <c r="Y876" s="77" t="s">
        <v>1982</v>
      </c>
      <c r="Z876" s="77"/>
      <c r="AA876" s="77" t="s">
        <v>2415</v>
      </c>
      <c r="AB876" s="77" t="s">
        <v>2698</v>
      </c>
      <c r="AC876" s="81" t="s">
        <v>2707</v>
      </c>
      <c r="AD876" s="77" t="s">
        <v>2752</v>
      </c>
      <c r="AE876" s="80" t="str">
        <f>HYPERLINK("https://twitter.com/inovies/status/1734497882806653267")</f>
        <v>https://twitter.com/inovies/status/1734497882806653267</v>
      </c>
      <c r="AF876" s="79">
        <v>45272.37378472222</v>
      </c>
      <c r="AG876" s="85">
        <v>45272</v>
      </c>
      <c r="AH876" s="81" t="s">
        <v>3471</v>
      </c>
      <c r="AI876" s="77" t="b">
        <v>0</v>
      </c>
      <c r="AJ876" s="77"/>
      <c r="AK876" s="77"/>
      <c r="AL876" s="77"/>
      <c r="AM876" s="77"/>
      <c r="AN876" s="77"/>
      <c r="AO876" s="77"/>
      <c r="AP876" s="77"/>
      <c r="AQ876" s="77" t="s">
        <v>4229</v>
      </c>
      <c r="AR876" s="77"/>
      <c r="AS876" s="77"/>
      <c r="AT876" s="77"/>
      <c r="AU876" s="77"/>
      <c r="AV876" s="80" t="str">
        <f>HYPERLINK("https://pbs.twimg.com/tweet_video_thumb/GBIsoG-bwAAr_LT.jpg")</f>
        <v>https://pbs.twimg.com/tweet_video_thumb/GBIsoG-bwAAr_LT.jpg</v>
      </c>
      <c r="AW876" s="81" t="s">
        <v>5221</v>
      </c>
      <c r="AX876" s="81" t="s">
        <v>5221</v>
      </c>
      <c r="AY876" s="77"/>
      <c r="AZ876" s="81" t="s">
        <v>5773</v>
      </c>
      <c r="BA876" s="81" t="s">
        <v>5773</v>
      </c>
      <c r="BB876" s="81" t="s">
        <v>5773</v>
      </c>
      <c r="BC876" s="81" t="s">
        <v>5221</v>
      </c>
      <c r="BD876" s="77">
        <v>297885438</v>
      </c>
      <c r="BE876" s="77"/>
      <c r="BF876" s="77"/>
      <c r="BG876" s="77"/>
      <c r="BH876" s="77"/>
      <c r="BI876" s="77"/>
    </row>
    <row r="877" spans="1:61" ht="15">
      <c r="A877" s="62" t="s">
        <v>299</v>
      </c>
      <c r="B877" s="62" t="s">
        <v>299</v>
      </c>
      <c r="C877" s="63"/>
      <c r="D877" s="64"/>
      <c r="E877" s="65"/>
      <c r="F877" s="66"/>
      <c r="G877" s="63"/>
      <c r="H877" s="67"/>
      <c r="I877" s="68"/>
      <c r="J877" s="68"/>
      <c r="K877" s="32" t="s">
        <v>65</v>
      </c>
      <c r="L877" s="75">
        <v>877</v>
      </c>
      <c r="M877" s="75"/>
      <c r="N877" s="70"/>
      <c r="O877" s="77" t="s">
        <v>179</v>
      </c>
      <c r="P877" s="79">
        <v>45272.37328703704</v>
      </c>
      <c r="Q877" s="77" t="s">
        <v>1269</v>
      </c>
      <c r="R877" s="77">
        <v>0</v>
      </c>
      <c r="S877" s="77">
        <v>0</v>
      </c>
      <c r="T877" s="77">
        <v>0</v>
      </c>
      <c r="U877" s="77">
        <v>0</v>
      </c>
      <c r="V877" s="77">
        <v>5</v>
      </c>
      <c r="W877" s="81" t="s">
        <v>1888</v>
      </c>
      <c r="X877" s="80" t="str">
        <f>HYPERLINK("https://www.inovies.com/digital-marketing/")</f>
        <v>https://www.inovies.com/digital-marketing/</v>
      </c>
      <c r="Y877" s="77" t="s">
        <v>1982</v>
      </c>
      <c r="Z877" s="77"/>
      <c r="AA877" s="77" t="s">
        <v>2416</v>
      </c>
      <c r="AB877" s="77" t="s">
        <v>2698</v>
      </c>
      <c r="AC877" s="81" t="s">
        <v>2707</v>
      </c>
      <c r="AD877" s="77" t="s">
        <v>2752</v>
      </c>
      <c r="AE877" s="80" t="str">
        <f>HYPERLINK("https://twitter.com/inovies/status/1734497703663657090")</f>
        <v>https://twitter.com/inovies/status/1734497703663657090</v>
      </c>
      <c r="AF877" s="79">
        <v>45272.37328703704</v>
      </c>
      <c r="AG877" s="85">
        <v>45272</v>
      </c>
      <c r="AH877" s="81" t="s">
        <v>3472</v>
      </c>
      <c r="AI877" s="77" t="b">
        <v>0</v>
      </c>
      <c r="AJ877" s="77"/>
      <c r="AK877" s="77"/>
      <c r="AL877" s="77"/>
      <c r="AM877" s="77"/>
      <c r="AN877" s="77"/>
      <c r="AO877" s="77"/>
      <c r="AP877" s="77"/>
      <c r="AQ877" s="77" t="s">
        <v>4230</v>
      </c>
      <c r="AR877" s="77"/>
      <c r="AS877" s="77"/>
      <c r="AT877" s="77"/>
      <c r="AU877" s="77"/>
      <c r="AV877" s="80" t="str">
        <f>HYPERLINK("https://pbs.twimg.com/tweet_video_thumb/GBIsdoJbAAA4568.jpg")</f>
        <v>https://pbs.twimg.com/tweet_video_thumb/GBIsdoJbAAA4568.jpg</v>
      </c>
      <c r="AW877" s="81" t="s">
        <v>5222</v>
      </c>
      <c r="AX877" s="81" t="s">
        <v>5222</v>
      </c>
      <c r="AY877" s="77"/>
      <c r="AZ877" s="81" t="s">
        <v>5773</v>
      </c>
      <c r="BA877" s="81" t="s">
        <v>5773</v>
      </c>
      <c r="BB877" s="81" t="s">
        <v>5773</v>
      </c>
      <c r="BC877" s="81" t="s">
        <v>5222</v>
      </c>
      <c r="BD877" s="77">
        <v>297885438</v>
      </c>
      <c r="BE877" s="77"/>
      <c r="BF877" s="77"/>
      <c r="BG877" s="77"/>
      <c r="BH877" s="77"/>
      <c r="BI877" s="77"/>
    </row>
    <row r="878" spans="1:61" ht="15">
      <c r="A878" s="62" t="s">
        <v>299</v>
      </c>
      <c r="B878" s="62" t="s">
        <v>299</v>
      </c>
      <c r="C878" s="63"/>
      <c r="D878" s="64"/>
      <c r="E878" s="65"/>
      <c r="F878" s="66"/>
      <c r="G878" s="63"/>
      <c r="H878" s="67"/>
      <c r="I878" s="68"/>
      <c r="J878" s="68"/>
      <c r="K878" s="32" t="s">
        <v>65</v>
      </c>
      <c r="L878" s="75">
        <v>878</v>
      </c>
      <c r="M878" s="75"/>
      <c r="N878" s="70"/>
      <c r="O878" s="77" t="s">
        <v>179</v>
      </c>
      <c r="P878" s="79">
        <v>45272.372824074075</v>
      </c>
      <c r="Q878" s="77" t="s">
        <v>1270</v>
      </c>
      <c r="R878" s="77">
        <v>0</v>
      </c>
      <c r="S878" s="77">
        <v>0</v>
      </c>
      <c r="T878" s="77">
        <v>0</v>
      </c>
      <c r="U878" s="77">
        <v>0</v>
      </c>
      <c r="V878" s="77">
        <v>5</v>
      </c>
      <c r="W878" s="81" t="s">
        <v>1888</v>
      </c>
      <c r="X878" s="80" t="str">
        <f>HYPERLINK("https://www.inovies.com/digital-marketing/")</f>
        <v>https://www.inovies.com/digital-marketing/</v>
      </c>
      <c r="Y878" s="77" t="s">
        <v>1982</v>
      </c>
      <c r="Z878" s="77"/>
      <c r="AA878" s="77" t="s">
        <v>2417</v>
      </c>
      <c r="AB878" s="77" t="s">
        <v>2698</v>
      </c>
      <c r="AC878" s="81" t="s">
        <v>2707</v>
      </c>
      <c r="AD878" s="77" t="s">
        <v>2752</v>
      </c>
      <c r="AE878" s="80" t="str">
        <f>HYPERLINK("https://twitter.com/inovies/status/1734497533513400727")</f>
        <v>https://twitter.com/inovies/status/1734497533513400727</v>
      </c>
      <c r="AF878" s="79">
        <v>45272.372824074075</v>
      </c>
      <c r="AG878" s="85">
        <v>45272</v>
      </c>
      <c r="AH878" s="81" t="s">
        <v>3473</v>
      </c>
      <c r="AI878" s="77" t="b">
        <v>0</v>
      </c>
      <c r="AJ878" s="77"/>
      <c r="AK878" s="77"/>
      <c r="AL878" s="77"/>
      <c r="AM878" s="77"/>
      <c r="AN878" s="77"/>
      <c r="AO878" s="77"/>
      <c r="AP878" s="77"/>
      <c r="AQ878" s="77" t="s">
        <v>4231</v>
      </c>
      <c r="AR878" s="77"/>
      <c r="AS878" s="77"/>
      <c r="AT878" s="77"/>
      <c r="AU878" s="77"/>
      <c r="AV878" s="80" t="str">
        <f>HYPERLINK("https://pbs.twimg.com/tweet_video_thumb/GBIsTyeaoAAhDbb.jpg")</f>
        <v>https://pbs.twimg.com/tweet_video_thumb/GBIsTyeaoAAhDbb.jpg</v>
      </c>
      <c r="AW878" s="81" t="s">
        <v>5223</v>
      </c>
      <c r="AX878" s="81" t="s">
        <v>5223</v>
      </c>
      <c r="AY878" s="77"/>
      <c r="AZ878" s="81" t="s">
        <v>5773</v>
      </c>
      <c r="BA878" s="81" t="s">
        <v>5773</v>
      </c>
      <c r="BB878" s="81" t="s">
        <v>5773</v>
      </c>
      <c r="BC878" s="81" t="s">
        <v>5223</v>
      </c>
      <c r="BD878" s="77">
        <v>297885438</v>
      </c>
      <c r="BE878" s="77"/>
      <c r="BF878" s="77"/>
      <c r="BG878" s="77"/>
      <c r="BH878" s="77"/>
      <c r="BI878" s="77"/>
    </row>
    <row r="879" spans="1:61" ht="15">
      <c r="A879" s="62" t="s">
        <v>299</v>
      </c>
      <c r="B879" s="62" t="s">
        <v>299</v>
      </c>
      <c r="C879" s="63"/>
      <c r="D879" s="64"/>
      <c r="E879" s="65"/>
      <c r="F879" s="66"/>
      <c r="G879" s="63"/>
      <c r="H879" s="67"/>
      <c r="I879" s="68"/>
      <c r="J879" s="68"/>
      <c r="K879" s="32" t="s">
        <v>65</v>
      </c>
      <c r="L879" s="75">
        <v>879</v>
      </c>
      <c r="M879" s="75"/>
      <c r="N879" s="70"/>
      <c r="O879" s="77" t="s">
        <v>179</v>
      </c>
      <c r="P879" s="79">
        <v>45272.372349537036</v>
      </c>
      <c r="Q879" s="77" t="s">
        <v>1271</v>
      </c>
      <c r="R879" s="77">
        <v>0</v>
      </c>
      <c r="S879" s="77">
        <v>0</v>
      </c>
      <c r="T879" s="77">
        <v>0</v>
      </c>
      <c r="U879" s="77">
        <v>0</v>
      </c>
      <c r="V879" s="77">
        <v>5</v>
      </c>
      <c r="W879" s="81" t="s">
        <v>1888</v>
      </c>
      <c r="X879" s="80" t="str">
        <f>HYPERLINK("https://www.inovies.com/digital-marketing/")</f>
        <v>https://www.inovies.com/digital-marketing/</v>
      </c>
      <c r="Y879" s="77" t="s">
        <v>1982</v>
      </c>
      <c r="Z879" s="77"/>
      <c r="AA879" s="77" t="s">
        <v>2418</v>
      </c>
      <c r="AB879" s="77" t="s">
        <v>2698</v>
      </c>
      <c r="AC879" s="81" t="s">
        <v>2707</v>
      </c>
      <c r="AD879" s="77" t="s">
        <v>2752</v>
      </c>
      <c r="AE879" s="80" t="str">
        <f>HYPERLINK("https://twitter.com/inovies/status/1734497363925078154")</f>
        <v>https://twitter.com/inovies/status/1734497363925078154</v>
      </c>
      <c r="AF879" s="79">
        <v>45272.372349537036</v>
      </c>
      <c r="AG879" s="85">
        <v>45272</v>
      </c>
      <c r="AH879" s="81" t="s">
        <v>3474</v>
      </c>
      <c r="AI879" s="77" t="b">
        <v>0</v>
      </c>
      <c r="AJ879" s="77"/>
      <c r="AK879" s="77"/>
      <c r="AL879" s="77"/>
      <c r="AM879" s="77"/>
      <c r="AN879" s="77"/>
      <c r="AO879" s="77"/>
      <c r="AP879" s="77"/>
      <c r="AQ879" s="77" t="s">
        <v>4232</v>
      </c>
      <c r="AR879" s="77"/>
      <c r="AS879" s="77"/>
      <c r="AT879" s="77"/>
      <c r="AU879" s="77"/>
      <c r="AV879" s="80" t="str">
        <f>HYPERLINK("https://pbs.twimg.com/tweet_video_thumb/GBIsJ6gbIAAAYyC.jpg")</f>
        <v>https://pbs.twimg.com/tweet_video_thumb/GBIsJ6gbIAAAYyC.jpg</v>
      </c>
      <c r="AW879" s="81" t="s">
        <v>5224</v>
      </c>
      <c r="AX879" s="81" t="s">
        <v>5224</v>
      </c>
      <c r="AY879" s="77"/>
      <c r="AZ879" s="81" t="s">
        <v>5773</v>
      </c>
      <c r="BA879" s="81" t="s">
        <v>5773</v>
      </c>
      <c r="BB879" s="81" t="s">
        <v>5773</v>
      </c>
      <c r="BC879" s="81" t="s">
        <v>5224</v>
      </c>
      <c r="BD879" s="77">
        <v>297885438</v>
      </c>
      <c r="BE879" s="77"/>
      <c r="BF879" s="77"/>
      <c r="BG879" s="77"/>
      <c r="BH879" s="77"/>
      <c r="BI879" s="77"/>
    </row>
    <row r="880" spans="1:61" ht="15">
      <c r="A880" s="62" t="s">
        <v>299</v>
      </c>
      <c r="B880" s="62" t="s">
        <v>299</v>
      </c>
      <c r="C880" s="63"/>
      <c r="D880" s="64"/>
      <c r="E880" s="65"/>
      <c r="F880" s="66"/>
      <c r="G880" s="63"/>
      <c r="H880" s="67"/>
      <c r="I880" s="68"/>
      <c r="J880" s="68"/>
      <c r="K880" s="32" t="s">
        <v>65</v>
      </c>
      <c r="L880" s="75">
        <v>880</v>
      </c>
      <c r="M880" s="75"/>
      <c r="N880" s="70"/>
      <c r="O880" s="77" t="s">
        <v>179</v>
      </c>
      <c r="P880" s="79">
        <v>45272.37153935185</v>
      </c>
      <c r="Q880" s="77" t="s">
        <v>1272</v>
      </c>
      <c r="R880" s="77">
        <v>0</v>
      </c>
      <c r="S880" s="77">
        <v>0</v>
      </c>
      <c r="T880" s="77">
        <v>0</v>
      </c>
      <c r="U880" s="77">
        <v>0</v>
      </c>
      <c r="V880" s="77">
        <v>5</v>
      </c>
      <c r="W880" s="81" t="s">
        <v>1888</v>
      </c>
      <c r="X880" s="80" t="str">
        <f>HYPERLINK("https://www.inovies.com/digital-marketing/")</f>
        <v>https://www.inovies.com/digital-marketing/</v>
      </c>
      <c r="Y880" s="77" t="s">
        <v>1982</v>
      </c>
      <c r="Z880" s="77"/>
      <c r="AA880" s="77" t="s">
        <v>2419</v>
      </c>
      <c r="AB880" s="77" t="s">
        <v>2698</v>
      </c>
      <c r="AC880" s="81" t="s">
        <v>2707</v>
      </c>
      <c r="AD880" s="77" t="s">
        <v>2752</v>
      </c>
      <c r="AE880" s="80" t="str">
        <f>HYPERLINK("https://twitter.com/inovies/status/1734497068717416853")</f>
        <v>https://twitter.com/inovies/status/1734497068717416853</v>
      </c>
      <c r="AF880" s="79">
        <v>45272.37153935185</v>
      </c>
      <c r="AG880" s="85">
        <v>45272</v>
      </c>
      <c r="AH880" s="81" t="s">
        <v>3475</v>
      </c>
      <c r="AI880" s="77" t="b">
        <v>0</v>
      </c>
      <c r="AJ880" s="77"/>
      <c r="AK880" s="77"/>
      <c r="AL880" s="77"/>
      <c r="AM880" s="77"/>
      <c r="AN880" s="77"/>
      <c r="AO880" s="77"/>
      <c r="AP880" s="77"/>
      <c r="AQ880" s="77" t="s">
        <v>4233</v>
      </c>
      <c r="AR880" s="77"/>
      <c r="AS880" s="77"/>
      <c r="AT880" s="77"/>
      <c r="AU880" s="77"/>
      <c r="AV880" s="80" t="str">
        <f>HYPERLINK("https://pbs.twimg.com/tweet_video_thumb/GBIr4u2awAAvVr8.jpg")</f>
        <v>https://pbs.twimg.com/tweet_video_thumb/GBIr4u2awAAvVr8.jpg</v>
      </c>
      <c r="AW880" s="81" t="s">
        <v>5225</v>
      </c>
      <c r="AX880" s="81" t="s">
        <v>5225</v>
      </c>
      <c r="AY880" s="77"/>
      <c r="AZ880" s="81" t="s">
        <v>5773</v>
      </c>
      <c r="BA880" s="81" t="s">
        <v>5773</v>
      </c>
      <c r="BB880" s="81" t="s">
        <v>5773</v>
      </c>
      <c r="BC880" s="81" t="s">
        <v>5225</v>
      </c>
      <c r="BD880" s="77">
        <v>297885438</v>
      </c>
      <c r="BE880" s="77"/>
      <c r="BF880" s="77"/>
      <c r="BG880" s="77"/>
      <c r="BH880" s="77"/>
      <c r="BI880" s="77"/>
    </row>
    <row r="881" spans="1:61" ht="15">
      <c r="A881" s="62" t="s">
        <v>299</v>
      </c>
      <c r="B881" s="62" t="s">
        <v>299</v>
      </c>
      <c r="C881" s="63"/>
      <c r="D881" s="64"/>
      <c r="E881" s="65"/>
      <c r="F881" s="66"/>
      <c r="G881" s="63"/>
      <c r="H881" s="67"/>
      <c r="I881" s="68"/>
      <c r="J881" s="68"/>
      <c r="K881" s="32" t="s">
        <v>65</v>
      </c>
      <c r="L881" s="75">
        <v>881</v>
      </c>
      <c r="M881" s="75"/>
      <c r="N881" s="70"/>
      <c r="O881" s="77" t="s">
        <v>179</v>
      </c>
      <c r="P881" s="79">
        <v>45272.37121527778</v>
      </c>
      <c r="Q881" s="77" t="s">
        <v>1273</v>
      </c>
      <c r="R881" s="77">
        <v>0</v>
      </c>
      <c r="S881" s="77">
        <v>0</v>
      </c>
      <c r="T881" s="77">
        <v>0</v>
      </c>
      <c r="U881" s="77">
        <v>0</v>
      </c>
      <c r="V881" s="77">
        <v>5</v>
      </c>
      <c r="W881" s="81" t="s">
        <v>1888</v>
      </c>
      <c r="X881" s="80" t="str">
        <f>HYPERLINK("https://www.inovies.com/digital-marketing/")</f>
        <v>https://www.inovies.com/digital-marketing/</v>
      </c>
      <c r="Y881" s="77" t="s">
        <v>1982</v>
      </c>
      <c r="Z881" s="77"/>
      <c r="AA881" s="77" t="s">
        <v>2420</v>
      </c>
      <c r="AB881" s="77" t="s">
        <v>2698</v>
      </c>
      <c r="AC881" s="81" t="s">
        <v>2707</v>
      </c>
      <c r="AD881" s="77" t="s">
        <v>2752</v>
      </c>
      <c r="AE881" s="80" t="str">
        <f>HYPERLINK("https://twitter.com/inovies/status/1734496954288410708")</f>
        <v>https://twitter.com/inovies/status/1734496954288410708</v>
      </c>
      <c r="AF881" s="79">
        <v>45272.37121527778</v>
      </c>
      <c r="AG881" s="85">
        <v>45272</v>
      </c>
      <c r="AH881" s="81" t="s">
        <v>3476</v>
      </c>
      <c r="AI881" s="77" t="b">
        <v>0</v>
      </c>
      <c r="AJ881" s="77"/>
      <c r="AK881" s="77"/>
      <c r="AL881" s="77"/>
      <c r="AM881" s="77"/>
      <c r="AN881" s="77"/>
      <c r="AO881" s="77"/>
      <c r="AP881" s="77"/>
      <c r="AQ881" s="77" t="s">
        <v>4234</v>
      </c>
      <c r="AR881" s="77"/>
      <c r="AS881" s="77"/>
      <c r="AT881" s="77"/>
      <c r="AU881" s="77"/>
      <c r="AV881" s="80" t="str">
        <f>HYPERLINK("https://pbs.twimg.com/tweet_video_thumb/GBIryAcbQAEvYEA.jpg")</f>
        <v>https://pbs.twimg.com/tweet_video_thumb/GBIryAcbQAEvYEA.jpg</v>
      </c>
      <c r="AW881" s="81" t="s">
        <v>5226</v>
      </c>
      <c r="AX881" s="81" t="s">
        <v>5226</v>
      </c>
      <c r="AY881" s="77"/>
      <c r="AZ881" s="81" t="s">
        <v>5773</v>
      </c>
      <c r="BA881" s="81" t="s">
        <v>5773</v>
      </c>
      <c r="BB881" s="81" t="s">
        <v>5773</v>
      </c>
      <c r="BC881" s="81" t="s">
        <v>5226</v>
      </c>
      <c r="BD881" s="77">
        <v>297885438</v>
      </c>
      <c r="BE881" s="77"/>
      <c r="BF881" s="77"/>
      <c r="BG881" s="77"/>
      <c r="BH881" s="77"/>
      <c r="BI881" s="77"/>
    </row>
    <row r="882" spans="1:61" ht="15">
      <c r="A882" s="62" t="s">
        <v>299</v>
      </c>
      <c r="B882" s="62" t="s">
        <v>299</v>
      </c>
      <c r="C882" s="63"/>
      <c r="D882" s="64"/>
      <c r="E882" s="65"/>
      <c r="F882" s="66"/>
      <c r="G882" s="63"/>
      <c r="H882" s="67"/>
      <c r="I882" s="68"/>
      <c r="J882" s="68"/>
      <c r="K882" s="32" t="s">
        <v>65</v>
      </c>
      <c r="L882" s="75">
        <v>882</v>
      </c>
      <c r="M882" s="75"/>
      <c r="N882" s="70"/>
      <c r="O882" s="77" t="s">
        <v>179</v>
      </c>
      <c r="P882" s="79">
        <v>45272.370729166665</v>
      </c>
      <c r="Q882" s="77" t="s">
        <v>1274</v>
      </c>
      <c r="R882" s="77">
        <v>0</v>
      </c>
      <c r="S882" s="77">
        <v>0</v>
      </c>
      <c r="T882" s="77">
        <v>0</v>
      </c>
      <c r="U882" s="77">
        <v>0</v>
      </c>
      <c r="V882" s="77">
        <v>5</v>
      </c>
      <c r="W882" s="81" t="s">
        <v>1888</v>
      </c>
      <c r="X882" s="80" t="str">
        <f>HYPERLINK("https://www.inovies.com/digital-marketing/")</f>
        <v>https://www.inovies.com/digital-marketing/</v>
      </c>
      <c r="Y882" s="77" t="s">
        <v>1982</v>
      </c>
      <c r="Z882" s="77"/>
      <c r="AA882" s="77" t="s">
        <v>2421</v>
      </c>
      <c r="AB882" s="77" t="s">
        <v>2698</v>
      </c>
      <c r="AC882" s="81" t="s">
        <v>2707</v>
      </c>
      <c r="AD882" s="77" t="s">
        <v>2752</v>
      </c>
      <c r="AE882" s="80" t="str">
        <f>HYPERLINK("https://twitter.com/inovies/status/1734496774600212618")</f>
        <v>https://twitter.com/inovies/status/1734496774600212618</v>
      </c>
      <c r="AF882" s="79">
        <v>45272.370729166665</v>
      </c>
      <c r="AG882" s="85">
        <v>45272</v>
      </c>
      <c r="AH882" s="81" t="s">
        <v>3477</v>
      </c>
      <c r="AI882" s="77" t="b">
        <v>0</v>
      </c>
      <c r="AJ882" s="77"/>
      <c r="AK882" s="77"/>
      <c r="AL882" s="77"/>
      <c r="AM882" s="77"/>
      <c r="AN882" s="77"/>
      <c r="AO882" s="77"/>
      <c r="AP882" s="77"/>
      <c r="AQ882" s="77" t="s">
        <v>4235</v>
      </c>
      <c r="AR882" s="77"/>
      <c r="AS882" s="77"/>
      <c r="AT882" s="77"/>
      <c r="AU882" s="77"/>
      <c r="AV882" s="80" t="str">
        <f>HYPERLINK("https://pbs.twimg.com/tweet_video_thumb/GBIrnTtbwAAEQGo.jpg")</f>
        <v>https://pbs.twimg.com/tweet_video_thumb/GBIrnTtbwAAEQGo.jpg</v>
      </c>
      <c r="AW882" s="81" t="s">
        <v>5227</v>
      </c>
      <c r="AX882" s="81" t="s">
        <v>5227</v>
      </c>
      <c r="AY882" s="77"/>
      <c r="AZ882" s="81" t="s">
        <v>5773</v>
      </c>
      <c r="BA882" s="81" t="s">
        <v>5773</v>
      </c>
      <c r="BB882" s="81" t="s">
        <v>5773</v>
      </c>
      <c r="BC882" s="81" t="s">
        <v>5227</v>
      </c>
      <c r="BD882" s="77">
        <v>297885438</v>
      </c>
      <c r="BE882" s="77"/>
      <c r="BF882" s="77"/>
      <c r="BG882" s="77"/>
      <c r="BH882" s="77"/>
      <c r="BI882" s="77"/>
    </row>
    <row r="883" spans="1:61" ht="15">
      <c r="A883" s="62" t="s">
        <v>299</v>
      </c>
      <c r="B883" s="62" t="s">
        <v>299</v>
      </c>
      <c r="C883" s="63"/>
      <c r="D883" s="64"/>
      <c r="E883" s="65"/>
      <c r="F883" s="66"/>
      <c r="G883" s="63"/>
      <c r="H883" s="67"/>
      <c r="I883" s="68"/>
      <c r="J883" s="68"/>
      <c r="K883" s="32" t="s">
        <v>65</v>
      </c>
      <c r="L883" s="75">
        <v>883</v>
      </c>
      <c r="M883" s="75"/>
      <c r="N883" s="70"/>
      <c r="O883" s="77" t="s">
        <v>179</v>
      </c>
      <c r="P883" s="79">
        <v>45272.370254629626</v>
      </c>
      <c r="Q883" s="77" t="s">
        <v>1275</v>
      </c>
      <c r="R883" s="77">
        <v>0</v>
      </c>
      <c r="S883" s="77">
        <v>0</v>
      </c>
      <c r="T883" s="77">
        <v>0</v>
      </c>
      <c r="U883" s="77">
        <v>0</v>
      </c>
      <c r="V883" s="77">
        <v>5</v>
      </c>
      <c r="W883" s="81" t="s">
        <v>1888</v>
      </c>
      <c r="X883" s="80" t="str">
        <f>HYPERLINK("https://www.inovies.com/digital-marketing/")</f>
        <v>https://www.inovies.com/digital-marketing/</v>
      </c>
      <c r="Y883" s="77" t="s">
        <v>1982</v>
      </c>
      <c r="Z883" s="77"/>
      <c r="AA883" s="77" t="s">
        <v>2422</v>
      </c>
      <c r="AB883" s="77" t="s">
        <v>2698</v>
      </c>
      <c r="AC883" s="81" t="s">
        <v>2707</v>
      </c>
      <c r="AD883" s="77" t="s">
        <v>2752</v>
      </c>
      <c r="AE883" s="80" t="str">
        <f>HYPERLINK("https://twitter.com/inovies/status/1734496603824968065")</f>
        <v>https://twitter.com/inovies/status/1734496603824968065</v>
      </c>
      <c r="AF883" s="79">
        <v>45272.370254629626</v>
      </c>
      <c r="AG883" s="85">
        <v>45272</v>
      </c>
      <c r="AH883" s="81" t="s">
        <v>3478</v>
      </c>
      <c r="AI883" s="77" t="b">
        <v>0</v>
      </c>
      <c r="AJ883" s="77"/>
      <c r="AK883" s="77"/>
      <c r="AL883" s="77"/>
      <c r="AM883" s="77"/>
      <c r="AN883" s="77"/>
      <c r="AO883" s="77"/>
      <c r="AP883" s="77"/>
      <c r="AQ883" s="77" t="s">
        <v>4236</v>
      </c>
      <c r="AR883" s="77"/>
      <c r="AS883" s="77"/>
      <c r="AT883" s="77"/>
      <c r="AU883" s="77"/>
      <c r="AV883" s="80" t="str">
        <f>HYPERLINK("https://pbs.twimg.com/tweet_video_thumb/GBIrdrFagAEGDlk.jpg")</f>
        <v>https://pbs.twimg.com/tweet_video_thumb/GBIrdrFagAEGDlk.jpg</v>
      </c>
      <c r="AW883" s="81" t="s">
        <v>5228</v>
      </c>
      <c r="AX883" s="81" t="s">
        <v>5228</v>
      </c>
      <c r="AY883" s="77"/>
      <c r="AZ883" s="81" t="s">
        <v>5773</v>
      </c>
      <c r="BA883" s="81" t="s">
        <v>5773</v>
      </c>
      <c r="BB883" s="81" t="s">
        <v>5773</v>
      </c>
      <c r="BC883" s="81" t="s">
        <v>5228</v>
      </c>
      <c r="BD883" s="77">
        <v>297885438</v>
      </c>
      <c r="BE883" s="77"/>
      <c r="BF883" s="77"/>
      <c r="BG883" s="77"/>
      <c r="BH883" s="77"/>
      <c r="BI883" s="77"/>
    </row>
    <row r="884" spans="1:61" ht="15">
      <c r="A884" s="62" t="s">
        <v>299</v>
      </c>
      <c r="B884" s="62" t="s">
        <v>299</v>
      </c>
      <c r="C884" s="63"/>
      <c r="D884" s="64"/>
      <c r="E884" s="65"/>
      <c r="F884" s="66"/>
      <c r="G884" s="63"/>
      <c r="H884" s="67"/>
      <c r="I884" s="68"/>
      <c r="J884" s="68"/>
      <c r="K884" s="32" t="s">
        <v>65</v>
      </c>
      <c r="L884" s="75">
        <v>884</v>
      </c>
      <c r="M884" s="75"/>
      <c r="N884" s="70"/>
      <c r="O884" s="77" t="s">
        <v>179</v>
      </c>
      <c r="P884" s="79">
        <v>45272.36943287037</v>
      </c>
      <c r="Q884" s="77" t="s">
        <v>1276</v>
      </c>
      <c r="R884" s="77">
        <v>0</v>
      </c>
      <c r="S884" s="77">
        <v>0</v>
      </c>
      <c r="T884" s="77">
        <v>0</v>
      </c>
      <c r="U884" s="77">
        <v>0</v>
      </c>
      <c r="V884" s="77">
        <v>5</v>
      </c>
      <c r="W884" s="81" t="s">
        <v>1888</v>
      </c>
      <c r="X884" s="80" t="str">
        <f>HYPERLINK("https://www.inovies.com/digital-marketing/")</f>
        <v>https://www.inovies.com/digital-marketing/</v>
      </c>
      <c r="Y884" s="77" t="s">
        <v>1982</v>
      </c>
      <c r="Z884" s="77"/>
      <c r="AA884" s="77" t="s">
        <v>2423</v>
      </c>
      <c r="AB884" s="77" t="s">
        <v>2698</v>
      </c>
      <c r="AC884" s="81" t="s">
        <v>2707</v>
      </c>
      <c r="AD884" s="77" t="s">
        <v>2752</v>
      </c>
      <c r="AE884" s="80" t="str">
        <f>HYPERLINK("https://twitter.com/inovies/status/1734496305110819106")</f>
        <v>https://twitter.com/inovies/status/1734496305110819106</v>
      </c>
      <c r="AF884" s="79">
        <v>45272.36943287037</v>
      </c>
      <c r="AG884" s="85">
        <v>45272</v>
      </c>
      <c r="AH884" s="81" t="s">
        <v>3479</v>
      </c>
      <c r="AI884" s="77" t="b">
        <v>0</v>
      </c>
      <c r="AJ884" s="77"/>
      <c r="AK884" s="77"/>
      <c r="AL884" s="77"/>
      <c r="AM884" s="77"/>
      <c r="AN884" s="77"/>
      <c r="AO884" s="77"/>
      <c r="AP884" s="77"/>
      <c r="AQ884" s="77" t="s">
        <v>4237</v>
      </c>
      <c r="AR884" s="77"/>
      <c r="AS884" s="77"/>
      <c r="AT884" s="77"/>
      <c r="AU884" s="77"/>
      <c r="AV884" s="80" t="str">
        <f>HYPERLINK("https://pbs.twimg.com/tweet_video_thumb/GBIrLpqbkAAuy7c.jpg")</f>
        <v>https://pbs.twimg.com/tweet_video_thumb/GBIrLpqbkAAuy7c.jpg</v>
      </c>
      <c r="AW884" s="81" t="s">
        <v>5229</v>
      </c>
      <c r="AX884" s="81" t="s">
        <v>5229</v>
      </c>
      <c r="AY884" s="77"/>
      <c r="AZ884" s="81" t="s">
        <v>5773</v>
      </c>
      <c r="BA884" s="81" t="s">
        <v>5773</v>
      </c>
      <c r="BB884" s="81" t="s">
        <v>5773</v>
      </c>
      <c r="BC884" s="81" t="s">
        <v>5229</v>
      </c>
      <c r="BD884" s="77">
        <v>297885438</v>
      </c>
      <c r="BE884" s="77"/>
      <c r="BF884" s="77"/>
      <c r="BG884" s="77"/>
      <c r="BH884" s="77"/>
      <c r="BI884" s="77"/>
    </row>
    <row r="885" spans="1:61" ht="15">
      <c r="A885" s="62" t="s">
        <v>299</v>
      </c>
      <c r="B885" s="62" t="s">
        <v>299</v>
      </c>
      <c r="C885" s="63"/>
      <c r="D885" s="64"/>
      <c r="E885" s="65"/>
      <c r="F885" s="66"/>
      <c r="G885" s="63"/>
      <c r="H885" s="67"/>
      <c r="I885" s="68"/>
      <c r="J885" s="68"/>
      <c r="K885" s="32" t="s">
        <v>65</v>
      </c>
      <c r="L885" s="75">
        <v>885</v>
      </c>
      <c r="M885" s="75"/>
      <c r="N885" s="70"/>
      <c r="O885" s="77" t="s">
        <v>179</v>
      </c>
      <c r="P885" s="79">
        <v>45272.36891203704</v>
      </c>
      <c r="Q885" s="77" t="s">
        <v>1277</v>
      </c>
      <c r="R885" s="77">
        <v>0</v>
      </c>
      <c r="S885" s="77">
        <v>0</v>
      </c>
      <c r="T885" s="77">
        <v>0</v>
      </c>
      <c r="U885" s="77">
        <v>0</v>
      </c>
      <c r="V885" s="77">
        <v>5</v>
      </c>
      <c r="W885" s="81" t="s">
        <v>1888</v>
      </c>
      <c r="X885" s="80" t="str">
        <f>HYPERLINK("https://www.inovies.com/digital-marketing/")</f>
        <v>https://www.inovies.com/digital-marketing/</v>
      </c>
      <c r="Y885" s="77" t="s">
        <v>1982</v>
      </c>
      <c r="Z885" s="77"/>
      <c r="AA885" s="77" t="s">
        <v>2424</v>
      </c>
      <c r="AB885" s="77" t="s">
        <v>2698</v>
      </c>
      <c r="AC885" s="81" t="s">
        <v>2707</v>
      </c>
      <c r="AD885" s="77" t="s">
        <v>2752</v>
      </c>
      <c r="AE885" s="80" t="str">
        <f>HYPERLINK("https://twitter.com/inovies/status/1734496116719464575")</f>
        <v>https://twitter.com/inovies/status/1734496116719464575</v>
      </c>
      <c r="AF885" s="79">
        <v>45272.36891203704</v>
      </c>
      <c r="AG885" s="85">
        <v>45272</v>
      </c>
      <c r="AH885" s="81" t="s">
        <v>3480</v>
      </c>
      <c r="AI885" s="77" t="b">
        <v>0</v>
      </c>
      <c r="AJ885" s="77"/>
      <c r="AK885" s="77"/>
      <c r="AL885" s="77"/>
      <c r="AM885" s="77"/>
      <c r="AN885" s="77"/>
      <c r="AO885" s="77"/>
      <c r="AP885" s="77"/>
      <c r="AQ885" s="77" t="s">
        <v>4238</v>
      </c>
      <c r="AR885" s="77"/>
      <c r="AS885" s="77"/>
      <c r="AT885" s="77"/>
      <c r="AU885" s="77"/>
      <c r="AV885" s="80" t="str">
        <f>HYPERLINK("https://pbs.twimg.com/tweet_video_thumb/GBIrBTxa0AAY1pL.jpg")</f>
        <v>https://pbs.twimg.com/tweet_video_thumb/GBIrBTxa0AAY1pL.jpg</v>
      </c>
      <c r="AW885" s="81" t="s">
        <v>5230</v>
      </c>
      <c r="AX885" s="81" t="s">
        <v>5230</v>
      </c>
      <c r="AY885" s="77"/>
      <c r="AZ885" s="81" t="s">
        <v>5773</v>
      </c>
      <c r="BA885" s="81" t="s">
        <v>5773</v>
      </c>
      <c r="BB885" s="81" t="s">
        <v>5773</v>
      </c>
      <c r="BC885" s="81" t="s">
        <v>5230</v>
      </c>
      <c r="BD885" s="77">
        <v>297885438</v>
      </c>
      <c r="BE885" s="77"/>
      <c r="BF885" s="77"/>
      <c r="BG885" s="77"/>
      <c r="BH885" s="77"/>
      <c r="BI885" s="77"/>
    </row>
    <row r="886" spans="1:61" ht="15">
      <c r="A886" s="62" t="s">
        <v>299</v>
      </c>
      <c r="B886" s="62" t="s">
        <v>299</v>
      </c>
      <c r="C886" s="63"/>
      <c r="D886" s="64"/>
      <c r="E886" s="65"/>
      <c r="F886" s="66"/>
      <c r="G886" s="63"/>
      <c r="H886" s="67"/>
      <c r="I886" s="68"/>
      <c r="J886" s="68"/>
      <c r="K886" s="32" t="s">
        <v>65</v>
      </c>
      <c r="L886" s="75">
        <v>886</v>
      </c>
      <c r="M886" s="75"/>
      <c r="N886" s="70"/>
      <c r="O886" s="77" t="s">
        <v>179</v>
      </c>
      <c r="P886" s="79">
        <v>45272.36865740741</v>
      </c>
      <c r="Q886" s="77" t="s">
        <v>1278</v>
      </c>
      <c r="R886" s="77">
        <v>0</v>
      </c>
      <c r="S886" s="77">
        <v>0</v>
      </c>
      <c r="T886" s="77">
        <v>0</v>
      </c>
      <c r="U886" s="77">
        <v>0</v>
      </c>
      <c r="V886" s="77">
        <v>5</v>
      </c>
      <c r="W886" s="81" t="s">
        <v>1888</v>
      </c>
      <c r="X886" s="80" t="str">
        <f>HYPERLINK("https://www.inovies.com/digital-marketing/")</f>
        <v>https://www.inovies.com/digital-marketing/</v>
      </c>
      <c r="Y886" s="77" t="s">
        <v>1982</v>
      </c>
      <c r="Z886" s="77"/>
      <c r="AA886" s="77" t="s">
        <v>2425</v>
      </c>
      <c r="AB886" s="77" t="s">
        <v>2698</v>
      </c>
      <c r="AC886" s="81" t="s">
        <v>2707</v>
      </c>
      <c r="AD886" s="77" t="s">
        <v>2752</v>
      </c>
      <c r="AE886" s="80" t="str">
        <f>HYPERLINK("https://twitter.com/inovies/status/1734496025753325591")</f>
        <v>https://twitter.com/inovies/status/1734496025753325591</v>
      </c>
      <c r="AF886" s="79">
        <v>45272.36865740741</v>
      </c>
      <c r="AG886" s="85">
        <v>45272</v>
      </c>
      <c r="AH886" s="81" t="s">
        <v>3481</v>
      </c>
      <c r="AI886" s="77" t="b">
        <v>0</v>
      </c>
      <c r="AJ886" s="77"/>
      <c r="AK886" s="77"/>
      <c r="AL886" s="77"/>
      <c r="AM886" s="77"/>
      <c r="AN886" s="77"/>
      <c r="AO886" s="77"/>
      <c r="AP886" s="77"/>
      <c r="AQ886" s="77" t="s">
        <v>4239</v>
      </c>
      <c r="AR886" s="77"/>
      <c r="AS886" s="77"/>
      <c r="AT886" s="77"/>
      <c r="AU886" s="77"/>
      <c r="AV886" s="80" t="str">
        <f>HYPERLINK("https://pbs.twimg.com/tweet_video_thumb/GBIq7-FaIAAb-Oa.jpg")</f>
        <v>https://pbs.twimg.com/tweet_video_thumb/GBIq7-FaIAAb-Oa.jpg</v>
      </c>
      <c r="AW886" s="81" t="s">
        <v>5231</v>
      </c>
      <c r="AX886" s="81" t="s">
        <v>5231</v>
      </c>
      <c r="AY886" s="77"/>
      <c r="AZ886" s="81" t="s">
        <v>5773</v>
      </c>
      <c r="BA886" s="81" t="s">
        <v>5773</v>
      </c>
      <c r="BB886" s="81" t="s">
        <v>5773</v>
      </c>
      <c r="BC886" s="81" t="s">
        <v>5231</v>
      </c>
      <c r="BD886" s="77">
        <v>297885438</v>
      </c>
      <c r="BE886" s="77"/>
      <c r="BF886" s="77"/>
      <c r="BG886" s="77"/>
      <c r="BH886" s="77"/>
      <c r="BI886" s="77"/>
    </row>
    <row r="887" spans="1:61" ht="15">
      <c r="A887" s="62" t="s">
        <v>299</v>
      </c>
      <c r="B887" s="62" t="s">
        <v>299</v>
      </c>
      <c r="C887" s="63"/>
      <c r="D887" s="64"/>
      <c r="E887" s="65"/>
      <c r="F887" s="66"/>
      <c r="G887" s="63"/>
      <c r="H887" s="67"/>
      <c r="I887" s="68"/>
      <c r="J887" s="68"/>
      <c r="K887" s="32" t="s">
        <v>65</v>
      </c>
      <c r="L887" s="75">
        <v>887</v>
      </c>
      <c r="M887" s="75"/>
      <c r="N887" s="70"/>
      <c r="O887" s="77" t="s">
        <v>179</v>
      </c>
      <c r="P887" s="79">
        <v>45272.36804398148</v>
      </c>
      <c r="Q887" s="77" t="s">
        <v>1279</v>
      </c>
      <c r="R887" s="77">
        <v>0</v>
      </c>
      <c r="S887" s="77">
        <v>0</v>
      </c>
      <c r="T887" s="77">
        <v>0</v>
      </c>
      <c r="U887" s="77">
        <v>0</v>
      </c>
      <c r="V887" s="77">
        <v>5</v>
      </c>
      <c r="W887" s="81" t="s">
        <v>1888</v>
      </c>
      <c r="X887" s="80" t="str">
        <f>HYPERLINK("https://www.inovies.com/digital-marketing/")</f>
        <v>https://www.inovies.com/digital-marketing/</v>
      </c>
      <c r="Y887" s="77" t="s">
        <v>1982</v>
      </c>
      <c r="Z887" s="77"/>
      <c r="AA887" s="77" t="s">
        <v>2426</v>
      </c>
      <c r="AB887" s="77" t="s">
        <v>2698</v>
      </c>
      <c r="AC887" s="81" t="s">
        <v>2707</v>
      </c>
      <c r="AD887" s="77" t="s">
        <v>2752</v>
      </c>
      <c r="AE887" s="80" t="str">
        <f>HYPERLINK("https://twitter.com/inovies/status/1734495803815924037")</f>
        <v>https://twitter.com/inovies/status/1734495803815924037</v>
      </c>
      <c r="AF887" s="79">
        <v>45272.36804398148</v>
      </c>
      <c r="AG887" s="85">
        <v>45272</v>
      </c>
      <c r="AH887" s="81" t="s">
        <v>3482</v>
      </c>
      <c r="AI887" s="77" t="b">
        <v>0</v>
      </c>
      <c r="AJ887" s="77"/>
      <c r="AK887" s="77"/>
      <c r="AL887" s="77"/>
      <c r="AM887" s="77"/>
      <c r="AN887" s="77"/>
      <c r="AO887" s="77"/>
      <c r="AP887" s="77"/>
      <c r="AQ887" s="77" t="s">
        <v>4240</v>
      </c>
      <c r="AR887" s="77"/>
      <c r="AS887" s="77"/>
      <c r="AT887" s="77"/>
      <c r="AU887" s="77"/>
      <c r="AV887" s="80" t="str">
        <f>HYPERLINK("https://pbs.twimg.com/tweet_video_thumb/GBIqvG1awAAeTR0.jpg")</f>
        <v>https://pbs.twimg.com/tweet_video_thumb/GBIqvG1awAAeTR0.jpg</v>
      </c>
      <c r="AW887" s="81" t="s">
        <v>5232</v>
      </c>
      <c r="AX887" s="81" t="s">
        <v>5232</v>
      </c>
      <c r="AY887" s="77"/>
      <c r="AZ887" s="81" t="s">
        <v>5773</v>
      </c>
      <c r="BA887" s="81" t="s">
        <v>5773</v>
      </c>
      <c r="BB887" s="81" t="s">
        <v>5773</v>
      </c>
      <c r="BC887" s="81" t="s">
        <v>5232</v>
      </c>
      <c r="BD887" s="77">
        <v>297885438</v>
      </c>
      <c r="BE887" s="77"/>
      <c r="BF887" s="77"/>
      <c r="BG887" s="77"/>
      <c r="BH887" s="77"/>
      <c r="BI887" s="77"/>
    </row>
    <row r="888" spans="1:61" ht="15">
      <c r="A888" s="62" t="s">
        <v>299</v>
      </c>
      <c r="B888" s="62" t="s">
        <v>299</v>
      </c>
      <c r="C888" s="63"/>
      <c r="D888" s="64"/>
      <c r="E888" s="65"/>
      <c r="F888" s="66"/>
      <c r="G888" s="63"/>
      <c r="H888" s="67"/>
      <c r="I888" s="68"/>
      <c r="J888" s="68"/>
      <c r="K888" s="32" t="s">
        <v>65</v>
      </c>
      <c r="L888" s="75">
        <v>888</v>
      </c>
      <c r="M888" s="75"/>
      <c r="N888" s="70"/>
      <c r="O888" s="77" t="s">
        <v>179</v>
      </c>
      <c r="P888" s="79">
        <v>45272.36760416667</v>
      </c>
      <c r="Q888" s="77" t="s">
        <v>1280</v>
      </c>
      <c r="R888" s="77">
        <v>0</v>
      </c>
      <c r="S888" s="77">
        <v>0</v>
      </c>
      <c r="T888" s="77">
        <v>0</v>
      </c>
      <c r="U888" s="77">
        <v>0</v>
      </c>
      <c r="V888" s="77">
        <v>5</v>
      </c>
      <c r="W888" s="81" t="s">
        <v>1888</v>
      </c>
      <c r="X888" s="80" t="str">
        <f>HYPERLINK("https://www.inovies.com/digital-marketing/")</f>
        <v>https://www.inovies.com/digital-marketing/</v>
      </c>
      <c r="Y888" s="77" t="s">
        <v>1982</v>
      </c>
      <c r="Z888" s="77"/>
      <c r="AA888" s="77" t="s">
        <v>2427</v>
      </c>
      <c r="AB888" s="77" t="s">
        <v>2698</v>
      </c>
      <c r="AC888" s="81" t="s">
        <v>2707</v>
      </c>
      <c r="AD888" s="77" t="s">
        <v>2752</v>
      </c>
      <c r="AE888" s="80" t="str">
        <f>HYPERLINK("https://twitter.com/inovies/status/1734495644289728896")</f>
        <v>https://twitter.com/inovies/status/1734495644289728896</v>
      </c>
      <c r="AF888" s="79">
        <v>45272.36760416667</v>
      </c>
      <c r="AG888" s="85">
        <v>45272</v>
      </c>
      <c r="AH888" s="81" t="s">
        <v>3483</v>
      </c>
      <c r="AI888" s="77" t="b">
        <v>0</v>
      </c>
      <c r="AJ888" s="77"/>
      <c r="AK888" s="77"/>
      <c r="AL888" s="77"/>
      <c r="AM888" s="77"/>
      <c r="AN888" s="77"/>
      <c r="AO888" s="77"/>
      <c r="AP888" s="77"/>
      <c r="AQ888" s="77" t="s">
        <v>4241</v>
      </c>
      <c r="AR888" s="77"/>
      <c r="AS888" s="77"/>
      <c r="AT888" s="77"/>
      <c r="AU888" s="77"/>
      <c r="AV888" s="80" t="str">
        <f>HYPERLINK("https://pbs.twimg.com/tweet_video_thumb/GBIql0baAAAicni.jpg")</f>
        <v>https://pbs.twimg.com/tweet_video_thumb/GBIql0baAAAicni.jpg</v>
      </c>
      <c r="AW888" s="81" t="s">
        <v>5233</v>
      </c>
      <c r="AX888" s="81" t="s">
        <v>5233</v>
      </c>
      <c r="AY888" s="77"/>
      <c r="AZ888" s="81" t="s">
        <v>5773</v>
      </c>
      <c r="BA888" s="81" t="s">
        <v>5773</v>
      </c>
      <c r="BB888" s="81" t="s">
        <v>5773</v>
      </c>
      <c r="BC888" s="81" t="s">
        <v>5233</v>
      </c>
      <c r="BD888" s="77">
        <v>297885438</v>
      </c>
      <c r="BE888" s="77"/>
      <c r="BF888" s="77"/>
      <c r="BG888" s="77"/>
      <c r="BH888" s="77"/>
      <c r="BI888" s="77"/>
    </row>
    <row r="889" spans="1:61" ht="15">
      <c r="A889" s="62" t="s">
        <v>299</v>
      </c>
      <c r="B889" s="62" t="s">
        <v>299</v>
      </c>
      <c r="C889" s="63"/>
      <c r="D889" s="64"/>
      <c r="E889" s="65"/>
      <c r="F889" s="66"/>
      <c r="G889" s="63"/>
      <c r="H889" s="67"/>
      <c r="I889" s="68"/>
      <c r="J889" s="68"/>
      <c r="K889" s="32" t="s">
        <v>65</v>
      </c>
      <c r="L889" s="75">
        <v>889</v>
      </c>
      <c r="M889" s="75"/>
      <c r="N889" s="70"/>
      <c r="O889" s="77" t="s">
        <v>179</v>
      </c>
      <c r="P889" s="79">
        <v>45272.367314814815</v>
      </c>
      <c r="Q889" s="77" t="s">
        <v>1281</v>
      </c>
      <c r="R889" s="77">
        <v>0</v>
      </c>
      <c r="S889" s="77">
        <v>0</v>
      </c>
      <c r="T889" s="77">
        <v>0</v>
      </c>
      <c r="U889" s="77">
        <v>0</v>
      </c>
      <c r="V889" s="77">
        <v>5</v>
      </c>
      <c r="W889" s="81" t="s">
        <v>1888</v>
      </c>
      <c r="X889" s="80" t="str">
        <f>HYPERLINK("https://www.inovies.com/digital-marketing/")</f>
        <v>https://www.inovies.com/digital-marketing/</v>
      </c>
      <c r="Y889" s="77" t="s">
        <v>1982</v>
      </c>
      <c r="Z889" s="77"/>
      <c r="AA889" s="77" t="s">
        <v>2428</v>
      </c>
      <c r="AB889" s="77" t="s">
        <v>2698</v>
      </c>
      <c r="AC889" s="81" t="s">
        <v>2707</v>
      </c>
      <c r="AD889" s="77" t="s">
        <v>2752</v>
      </c>
      <c r="AE889" s="80" t="str">
        <f>HYPERLINK("https://twitter.com/inovies/status/1734495540254236995")</f>
        <v>https://twitter.com/inovies/status/1734495540254236995</v>
      </c>
      <c r="AF889" s="79">
        <v>45272.367314814815</v>
      </c>
      <c r="AG889" s="85">
        <v>45272</v>
      </c>
      <c r="AH889" s="81" t="s">
        <v>3484</v>
      </c>
      <c r="AI889" s="77" t="b">
        <v>0</v>
      </c>
      <c r="AJ889" s="77"/>
      <c r="AK889" s="77"/>
      <c r="AL889" s="77"/>
      <c r="AM889" s="77"/>
      <c r="AN889" s="77"/>
      <c r="AO889" s="77"/>
      <c r="AP889" s="77"/>
      <c r="AQ889" s="77" t="s">
        <v>4242</v>
      </c>
      <c r="AR889" s="77"/>
      <c r="AS889" s="77"/>
      <c r="AT889" s="77"/>
      <c r="AU889" s="77"/>
      <c r="AV889" s="80" t="str">
        <f>HYPERLINK("https://pbs.twimg.com/tweet_video_thumb/GBIqfwSbIAARm_z.jpg")</f>
        <v>https://pbs.twimg.com/tweet_video_thumb/GBIqfwSbIAARm_z.jpg</v>
      </c>
      <c r="AW889" s="81" t="s">
        <v>5234</v>
      </c>
      <c r="AX889" s="81" t="s">
        <v>5234</v>
      </c>
      <c r="AY889" s="77"/>
      <c r="AZ889" s="81" t="s">
        <v>5773</v>
      </c>
      <c r="BA889" s="81" t="s">
        <v>5773</v>
      </c>
      <c r="BB889" s="81" t="s">
        <v>5773</v>
      </c>
      <c r="BC889" s="81" t="s">
        <v>5234</v>
      </c>
      <c r="BD889" s="77">
        <v>297885438</v>
      </c>
      <c r="BE889" s="77"/>
      <c r="BF889" s="77"/>
      <c r="BG889" s="77"/>
      <c r="BH889" s="77"/>
      <c r="BI889" s="77"/>
    </row>
    <row r="890" spans="1:61" ht="15">
      <c r="A890" s="62" t="s">
        <v>299</v>
      </c>
      <c r="B890" s="62" t="s">
        <v>299</v>
      </c>
      <c r="C890" s="63"/>
      <c r="D890" s="64"/>
      <c r="E890" s="65"/>
      <c r="F890" s="66"/>
      <c r="G890" s="63"/>
      <c r="H890" s="67"/>
      <c r="I890" s="68"/>
      <c r="J890" s="68"/>
      <c r="K890" s="32" t="s">
        <v>65</v>
      </c>
      <c r="L890" s="75">
        <v>890</v>
      </c>
      <c r="M890" s="75"/>
      <c r="N890" s="70"/>
      <c r="O890" s="77" t="s">
        <v>179</v>
      </c>
      <c r="P890" s="79">
        <v>45272.36702546296</v>
      </c>
      <c r="Q890" s="77" t="s">
        <v>1282</v>
      </c>
      <c r="R890" s="77">
        <v>0</v>
      </c>
      <c r="S890" s="77">
        <v>0</v>
      </c>
      <c r="T890" s="77">
        <v>0</v>
      </c>
      <c r="U890" s="77">
        <v>0</v>
      </c>
      <c r="V890" s="77">
        <v>5</v>
      </c>
      <c r="W890" s="81" t="s">
        <v>1888</v>
      </c>
      <c r="X890" s="80" t="str">
        <f>HYPERLINK("https://www.inovies.com/digital-marketing/")</f>
        <v>https://www.inovies.com/digital-marketing/</v>
      </c>
      <c r="Y890" s="77" t="s">
        <v>1982</v>
      </c>
      <c r="Z890" s="77"/>
      <c r="AA890" s="77" t="s">
        <v>2429</v>
      </c>
      <c r="AB890" s="77" t="s">
        <v>2698</v>
      </c>
      <c r="AC890" s="81" t="s">
        <v>2707</v>
      </c>
      <c r="AD890" s="77" t="s">
        <v>2752</v>
      </c>
      <c r="AE890" s="80" t="str">
        <f>HYPERLINK("https://twitter.com/inovies/status/1734495433786114295")</f>
        <v>https://twitter.com/inovies/status/1734495433786114295</v>
      </c>
      <c r="AF890" s="79">
        <v>45272.36702546296</v>
      </c>
      <c r="AG890" s="85">
        <v>45272</v>
      </c>
      <c r="AH890" s="81" t="s">
        <v>3485</v>
      </c>
      <c r="AI890" s="77" t="b">
        <v>0</v>
      </c>
      <c r="AJ890" s="77"/>
      <c r="AK890" s="77"/>
      <c r="AL890" s="77"/>
      <c r="AM890" s="77"/>
      <c r="AN890" s="77"/>
      <c r="AO890" s="77"/>
      <c r="AP890" s="77"/>
      <c r="AQ890" s="77" t="s">
        <v>4243</v>
      </c>
      <c r="AR890" s="77"/>
      <c r="AS890" s="77"/>
      <c r="AT890" s="77"/>
      <c r="AU890" s="77"/>
      <c r="AV890" s="80" t="str">
        <f>HYPERLINK("https://pbs.twimg.com/tweet_video_thumb/GBIqZj9a0AAYBX6.jpg")</f>
        <v>https://pbs.twimg.com/tweet_video_thumb/GBIqZj9a0AAYBX6.jpg</v>
      </c>
      <c r="AW890" s="81" t="s">
        <v>5235</v>
      </c>
      <c r="AX890" s="81" t="s">
        <v>5235</v>
      </c>
      <c r="AY890" s="77"/>
      <c r="AZ890" s="81" t="s">
        <v>5773</v>
      </c>
      <c r="BA890" s="81" t="s">
        <v>5773</v>
      </c>
      <c r="BB890" s="81" t="s">
        <v>5773</v>
      </c>
      <c r="BC890" s="81" t="s">
        <v>5235</v>
      </c>
      <c r="BD890" s="77">
        <v>297885438</v>
      </c>
      <c r="BE890" s="77"/>
      <c r="BF890" s="77"/>
      <c r="BG890" s="77"/>
      <c r="BH890" s="77"/>
      <c r="BI890" s="77"/>
    </row>
    <row r="891" spans="1:61" ht="15">
      <c r="A891" s="62" t="s">
        <v>299</v>
      </c>
      <c r="B891" s="62" t="s">
        <v>299</v>
      </c>
      <c r="C891" s="63"/>
      <c r="D891" s="64"/>
      <c r="E891" s="65"/>
      <c r="F891" s="66"/>
      <c r="G891" s="63"/>
      <c r="H891" s="67"/>
      <c r="I891" s="68"/>
      <c r="J891" s="68"/>
      <c r="K891" s="32" t="s">
        <v>65</v>
      </c>
      <c r="L891" s="75">
        <v>891</v>
      </c>
      <c r="M891" s="75"/>
      <c r="N891" s="70"/>
      <c r="O891" s="77" t="s">
        <v>179</v>
      </c>
      <c r="P891" s="79">
        <v>45272.36670138889</v>
      </c>
      <c r="Q891" s="77" t="s">
        <v>1283</v>
      </c>
      <c r="R891" s="77">
        <v>0</v>
      </c>
      <c r="S891" s="77">
        <v>0</v>
      </c>
      <c r="T891" s="77">
        <v>0</v>
      </c>
      <c r="U891" s="77">
        <v>0</v>
      </c>
      <c r="V891" s="77">
        <v>5</v>
      </c>
      <c r="W891" s="81" t="s">
        <v>1888</v>
      </c>
      <c r="X891" s="80" t="str">
        <f>HYPERLINK("https://www.inovies.com/digital-marketing/")</f>
        <v>https://www.inovies.com/digital-marketing/</v>
      </c>
      <c r="Y891" s="77" t="s">
        <v>1982</v>
      </c>
      <c r="Z891" s="77"/>
      <c r="AA891" s="77" t="s">
        <v>2430</v>
      </c>
      <c r="AB891" s="77" t="s">
        <v>2698</v>
      </c>
      <c r="AC891" s="81" t="s">
        <v>2707</v>
      </c>
      <c r="AD891" s="77" t="s">
        <v>2752</v>
      </c>
      <c r="AE891" s="80" t="str">
        <f>HYPERLINK("https://twitter.com/inovies/status/1734495314550383059")</f>
        <v>https://twitter.com/inovies/status/1734495314550383059</v>
      </c>
      <c r="AF891" s="79">
        <v>45272.36670138889</v>
      </c>
      <c r="AG891" s="85">
        <v>45272</v>
      </c>
      <c r="AH891" s="81" t="s">
        <v>3486</v>
      </c>
      <c r="AI891" s="77" t="b">
        <v>0</v>
      </c>
      <c r="AJ891" s="77"/>
      <c r="AK891" s="77"/>
      <c r="AL891" s="77"/>
      <c r="AM891" s="77"/>
      <c r="AN891" s="77"/>
      <c r="AO891" s="77"/>
      <c r="AP891" s="77"/>
      <c r="AQ891" s="77" t="s">
        <v>4244</v>
      </c>
      <c r="AR891" s="77"/>
      <c r="AS891" s="77"/>
      <c r="AT891" s="77"/>
      <c r="AU891" s="77"/>
      <c r="AV891" s="80" t="str">
        <f>HYPERLINK("https://pbs.twimg.com/tweet_video_thumb/GBIqSjtagAA6X8o.jpg")</f>
        <v>https://pbs.twimg.com/tweet_video_thumb/GBIqSjtagAA6X8o.jpg</v>
      </c>
      <c r="AW891" s="81" t="s">
        <v>5236</v>
      </c>
      <c r="AX891" s="81" t="s">
        <v>5236</v>
      </c>
      <c r="AY891" s="77"/>
      <c r="AZ891" s="81" t="s">
        <v>5773</v>
      </c>
      <c r="BA891" s="81" t="s">
        <v>5773</v>
      </c>
      <c r="BB891" s="81" t="s">
        <v>5773</v>
      </c>
      <c r="BC891" s="81" t="s">
        <v>5236</v>
      </c>
      <c r="BD891" s="77">
        <v>297885438</v>
      </c>
      <c r="BE891" s="77"/>
      <c r="BF891" s="77"/>
      <c r="BG891" s="77"/>
      <c r="BH891" s="77"/>
      <c r="BI891" s="77"/>
    </row>
    <row r="892" spans="1:61" ht="15">
      <c r="A892" s="62" t="s">
        <v>299</v>
      </c>
      <c r="B892" s="62" t="s">
        <v>299</v>
      </c>
      <c r="C892" s="63"/>
      <c r="D892" s="64"/>
      <c r="E892" s="65"/>
      <c r="F892" s="66"/>
      <c r="G892" s="63"/>
      <c r="H892" s="67"/>
      <c r="I892" s="68"/>
      <c r="J892" s="68"/>
      <c r="K892" s="32" t="s">
        <v>65</v>
      </c>
      <c r="L892" s="75">
        <v>892</v>
      </c>
      <c r="M892" s="75"/>
      <c r="N892" s="70"/>
      <c r="O892" s="77" t="s">
        <v>179</v>
      </c>
      <c r="P892" s="79">
        <v>42926.43171296296</v>
      </c>
      <c r="Q892" s="80" t="str">
        <f>HYPERLINK("https://t.co/c0lcJYvqcQ")</f>
        <v>https://t.co/c0lcJYvqcQ</v>
      </c>
      <c r="R892" s="77">
        <v>2</v>
      </c>
      <c r="S892" s="77">
        <v>2</v>
      </c>
      <c r="T892" s="77">
        <v>0</v>
      </c>
      <c r="U892" s="77">
        <v>0</v>
      </c>
      <c r="V892" s="77"/>
      <c r="W892" s="77"/>
      <c r="X892" s="77"/>
      <c r="Y892" s="77"/>
      <c r="Z892" s="77"/>
      <c r="AA892" s="77" t="s">
        <v>2431</v>
      </c>
      <c r="AB892" s="77" t="s">
        <v>2696</v>
      </c>
      <c r="AC892" s="81" t="s">
        <v>2704</v>
      </c>
      <c r="AD892" s="77" t="s">
        <v>2756</v>
      </c>
      <c r="AE892" s="80" t="str">
        <f>HYPERLINK("https://twitter.com/inovies/status/884356941635403776")</f>
        <v>https://twitter.com/inovies/status/884356941635403776</v>
      </c>
      <c r="AF892" s="79">
        <v>42926.43171296296</v>
      </c>
      <c r="AG892" s="85">
        <v>42926</v>
      </c>
      <c r="AH892" s="81" t="s">
        <v>3487</v>
      </c>
      <c r="AI892" s="77" t="b">
        <v>0</v>
      </c>
      <c r="AJ892" s="77"/>
      <c r="AK892" s="77"/>
      <c r="AL892" s="77"/>
      <c r="AM892" s="77"/>
      <c r="AN892" s="77"/>
      <c r="AO892" s="77"/>
      <c r="AP892" s="77"/>
      <c r="AQ892" s="77" t="s">
        <v>4245</v>
      </c>
      <c r="AR892" s="77"/>
      <c r="AS892" s="77"/>
      <c r="AT892" s="77"/>
      <c r="AU892" s="77"/>
      <c r="AV892" s="80" t="str">
        <f>HYPERLINK("https://pbs.twimg.com/media/DEXd7_VUIAEf8ym.jpg")</f>
        <v>https://pbs.twimg.com/media/DEXd7_VUIAEf8ym.jpg</v>
      </c>
      <c r="AW892" s="81" t="s">
        <v>5237</v>
      </c>
      <c r="AX892" s="81" t="s">
        <v>5237</v>
      </c>
      <c r="AY892" s="77"/>
      <c r="AZ892" s="81" t="s">
        <v>5773</v>
      </c>
      <c r="BA892" s="81" t="s">
        <v>5773</v>
      </c>
      <c r="BB892" s="81" t="s">
        <v>5773</v>
      </c>
      <c r="BC892" s="81" t="s">
        <v>5237</v>
      </c>
      <c r="BD892" s="77">
        <v>297885438</v>
      </c>
      <c r="BE892" s="77"/>
      <c r="BF892" s="77"/>
      <c r="BG892" s="77"/>
      <c r="BH892" s="77"/>
      <c r="BI892" s="77"/>
    </row>
    <row r="893" spans="1:61" ht="15">
      <c r="A893" s="62" t="s">
        <v>299</v>
      </c>
      <c r="B893" s="62" t="s">
        <v>299</v>
      </c>
      <c r="C893" s="63"/>
      <c r="D893" s="64"/>
      <c r="E893" s="65"/>
      <c r="F893" s="66"/>
      <c r="G893" s="63"/>
      <c r="H893" s="67"/>
      <c r="I893" s="68"/>
      <c r="J893" s="68"/>
      <c r="K893" s="32" t="s">
        <v>65</v>
      </c>
      <c r="L893" s="75">
        <v>893</v>
      </c>
      <c r="M893" s="75"/>
      <c r="N893" s="70"/>
      <c r="O893" s="77" t="s">
        <v>179</v>
      </c>
      <c r="P893" s="79">
        <v>42115.51440972222</v>
      </c>
      <c r="Q893" s="77" t="s">
        <v>1284</v>
      </c>
      <c r="R893" s="77">
        <v>0</v>
      </c>
      <c r="S893" s="77">
        <v>0</v>
      </c>
      <c r="T893" s="77">
        <v>0</v>
      </c>
      <c r="U893" s="77">
        <v>0</v>
      </c>
      <c r="V893" s="77"/>
      <c r="W893" s="77"/>
      <c r="X893" s="77"/>
      <c r="Y893" s="77"/>
      <c r="Z893" s="77"/>
      <c r="AA893" s="77" t="s">
        <v>2432</v>
      </c>
      <c r="AB893" s="77" t="s">
        <v>2696</v>
      </c>
      <c r="AC893" s="81" t="s">
        <v>2704</v>
      </c>
      <c r="AD893" s="77" t="s">
        <v>2751</v>
      </c>
      <c r="AE893" s="80" t="str">
        <f>HYPERLINK("https://twitter.com/inovies/status/590490353301499904")</f>
        <v>https://twitter.com/inovies/status/590490353301499904</v>
      </c>
      <c r="AF893" s="79">
        <v>42115.51440972222</v>
      </c>
      <c r="AG893" s="85">
        <v>42115</v>
      </c>
      <c r="AH893" s="81" t="s">
        <v>3488</v>
      </c>
      <c r="AI893" s="77" t="b">
        <v>0</v>
      </c>
      <c r="AJ893" s="77"/>
      <c r="AK893" s="77"/>
      <c r="AL893" s="77"/>
      <c r="AM893" s="77"/>
      <c r="AN893" s="77"/>
      <c r="AO893" s="77"/>
      <c r="AP893" s="77"/>
      <c r="AQ893" s="77" t="s">
        <v>4246</v>
      </c>
      <c r="AR893" s="77"/>
      <c r="AS893" s="77"/>
      <c r="AT893" s="77"/>
      <c r="AU893" s="77"/>
      <c r="AV893" s="80" t="str">
        <f>HYPERLINK("https://pbs.twimg.com/media/CDHX0lyVIAM8W-K.jpg")</f>
        <v>https://pbs.twimg.com/media/CDHX0lyVIAM8W-K.jpg</v>
      </c>
      <c r="AW893" s="81" t="s">
        <v>5238</v>
      </c>
      <c r="AX893" s="81" t="s">
        <v>5238</v>
      </c>
      <c r="AY893" s="77"/>
      <c r="AZ893" s="81" t="s">
        <v>5773</v>
      </c>
      <c r="BA893" s="81" t="s">
        <v>5773</v>
      </c>
      <c r="BB893" s="81" t="s">
        <v>5773</v>
      </c>
      <c r="BC893" s="81" t="s">
        <v>5238</v>
      </c>
      <c r="BD893" s="77">
        <v>297885438</v>
      </c>
      <c r="BE893" s="77"/>
      <c r="BF893" s="77"/>
      <c r="BG893" s="77"/>
      <c r="BH893" s="77"/>
      <c r="BI893" s="77"/>
    </row>
    <row r="894" spans="1:61" ht="15">
      <c r="A894" s="62" t="s">
        <v>299</v>
      </c>
      <c r="B894" s="62" t="s">
        <v>299</v>
      </c>
      <c r="C894" s="63"/>
      <c r="D894" s="64"/>
      <c r="E894" s="65"/>
      <c r="F894" s="66"/>
      <c r="G894" s="63"/>
      <c r="H894" s="67"/>
      <c r="I894" s="68"/>
      <c r="J894" s="68"/>
      <c r="K894" s="32" t="s">
        <v>65</v>
      </c>
      <c r="L894" s="75">
        <v>894</v>
      </c>
      <c r="M894" s="75"/>
      <c r="N894" s="70"/>
      <c r="O894" s="77" t="s">
        <v>179</v>
      </c>
      <c r="P894" s="79">
        <v>42112.385787037034</v>
      </c>
      <c r="Q894" s="77" t="s">
        <v>1285</v>
      </c>
      <c r="R894" s="77">
        <v>0</v>
      </c>
      <c r="S894" s="77">
        <v>0</v>
      </c>
      <c r="T894" s="77">
        <v>0</v>
      </c>
      <c r="U894" s="77">
        <v>0</v>
      </c>
      <c r="V894" s="77"/>
      <c r="W894" s="77"/>
      <c r="X894" s="77"/>
      <c r="Y894" s="77"/>
      <c r="Z894" s="77"/>
      <c r="AA894" s="77"/>
      <c r="AB894" s="77"/>
      <c r="AC894" s="81" t="s">
        <v>2727</v>
      </c>
      <c r="AD894" s="77" t="s">
        <v>2751</v>
      </c>
      <c r="AE894" s="80" t="str">
        <f>HYPERLINK("https://twitter.com/inovies/status/589356579620659201")</f>
        <v>https://twitter.com/inovies/status/589356579620659201</v>
      </c>
      <c r="AF894" s="79">
        <v>42112.385787037034</v>
      </c>
      <c r="AG894" s="85">
        <v>42112</v>
      </c>
      <c r="AH894" s="81" t="s">
        <v>3489</v>
      </c>
      <c r="AI894" s="77"/>
      <c r="AJ894" s="77" t="s">
        <v>3882</v>
      </c>
      <c r="AK894" s="77" t="s">
        <v>3889</v>
      </c>
      <c r="AL894" s="77" t="s">
        <v>3892</v>
      </c>
      <c r="AM894" s="77" t="s">
        <v>3896</v>
      </c>
      <c r="AN894" s="77" t="s">
        <v>3903</v>
      </c>
      <c r="AO894" s="77" t="s">
        <v>3911</v>
      </c>
      <c r="AP894" s="77" t="s">
        <v>3917</v>
      </c>
      <c r="AQ894" s="77"/>
      <c r="AR894" s="77"/>
      <c r="AS894" s="77"/>
      <c r="AT894" s="77"/>
      <c r="AU894" s="77"/>
      <c r="AV894" s="80" t="str">
        <f>HYPERLINK("https://pbs.twimg.com/profile_images/833576943677214720/5ZyUgpEJ_normal.jpg")</f>
        <v>https://pbs.twimg.com/profile_images/833576943677214720/5ZyUgpEJ_normal.jpg</v>
      </c>
      <c r="AW894" s="81" t="s">
        <v>5239</v>
      </c>
      <c r="AX894" s="81" t="s">
        <v>5239</v>
      </c>
      <c r="AY894" s="77"/>
      <c r="AZ894" s="81" t="s">
        <v>5773</v>
      </c>
      <c r="BA894" s="81" t="s">
        <v>5773</v>
      </c>
      <c r="BB894" s="81" t="s">
        <v>5773</v>
      </c>
      <c r="BC894" s="81" t="s">
        <v>5239</v>
      </c>
      <c r="BD894" s="77">
        <v>297885438</v>
      </c>
      <c r="BE894" s="77"/>
      <c r="BF894" s="77"/>
      <c r="BG894" s="77"/>
      <c r="BH894" s="77"/>
      <c r="BI894" s="77"/>
    </row>
    <row r="895" spans="1:61" ht="15">
      <c r="A895" s="62" t="s">
        <v>299</v>
      </c>
      <c r="B895" s="62" t="s">
        <v>299</v>
      </c>
      <c r="C895" s="63"/>
      <c r="D895" s="64"/>
      <c r="E895" s="65"/>
      <c r="F895" s="66"/>
      <c r="G895" s="63"/>
      <c r="H895" s="67"/>
      <c r="I895" s="68"/>
      <c r="J895" s="68"/>
      <c r="K895" s="32" t="s">
        <v>65</v>
      </c>
      <c r="L895" s="75">
        <v>895</v>
      </c>
      <c r="M895" s="75"/>
      <c r="N895" s="70"/>
      <c r="O895" s="77" t="s">
        <v>179</v>
      </c>
      <c r="P895" s="79">
        <v>42097.49222222222</v>
      </c>
      <c r="Q895" s="77" t="s">
        <v>1286</v>
      </c>
      <c r="R895" s="77">
        <v>0</v>
      </c>
      <c r="S895" s="77">
        <v>0</v>
      </c>
      <c r="T895" s="77">
        <v>0</v>
      </c>
      <c r="U895" s="77">
        <v>0</v>
      </c>
      <c r="V895" s="77"/>
      <c r="W895" s="77"/>
      <c r="X895" s="77"/>
      <c r="Y895" s="77"/>
      <c r="Z895" s="77"/>
      <c r="AA895" s="77" t="s">
        <v>2433</v>
      </c>
      <c r="AB895" s="77" t="s">
        <v>2696</v>
      </c>
      <c r="AC895" s="81" t="s">
        <v>2705</v>
      </c>
      <c r="AD895" s="77" t="s">
        <v>2751</v>
      </c>
      <c r="AE895" s="80" t="str">
        <f>HYPERLINK("https://twitter.com/inovies/status/583959332615659520")</f>
        <v>https://twitter.com/inovies/status/583959332615659520</v>
      </c>
      <c r="AF895" s="79">
        <v>42097.49222222222</v>
      </c>
      <c r="AG895" s="85">
        <v>42097</v>
      </c>
      <c r="AH895" s="81" t="s">
        <v>3490</v>
      </c>
      <c r="AI895" s="77" t="b">
        <v>0</v>
      </c>
      <c r="AJ895" s="77" t="s">
        <v>3881</v>
      </c>
      <c r="AK895" s="77" t="s">
        <v>3889</v>
      </c>
      <c r="AL895" s="77" t="s">
        <v>3892</v>
      </c>
      <c r="AM895" s="77" t="s">
        <v>3895</v>
      </c>
      <c r="AN895" s="77" t="s">
        <v>3902</v>
      </c>
      <c r="AO895" s="77" t="s">
        <v>3910</v>
      </c>
      <c r="AP895" s="77" t="s">
        <v>3917</v>
      </c>
      <c r="AQ895" s="77" t="s">
        <v>4247</v>
      </c>
      <c r="AR895" s="77"/>
      <c r="AS895" s="77"/>
      <c r="AT895" s="77"/>
      <c r="AU895" s="77"/>
      <c r="AV895" s="80" t="str">
        <f>HYPERLINK("https://pbs.twimg.com/media/CBqj6tZUgAAlEXH.png")</f>
        <v>https://pbs.twimg.com/media/CBqj6tZUgAAlEXH.png</v>
      </c>
      <c r="AW895" s="81" t="s">
        <v>5240</v>
      </c>
      <c r="AX895" s="81" t="s">
        <v>5240</v>
      </c>
      <c r="AY895" s="77"/>
      <c r="AZ895" s="81" t="s">
        <v>5773</v>
      </c>
      <c r="BA895" s="81" t="s">
        <v>5773</v>
      </c>
      <c r="BB895" s="81" t="s">
        <v>5773</v>
      </c>
      <c r="BC895" s="81" t="s">
        <v>5240</v>
      </c>
      <c r="BD895" s="77">
        <v>297885438</v>
      </c>
      <c r="BE895" s="77"/>
      <c r="BF895" s="77"/>
      <c r="BG895" s="77"/>
      <c r="BH895" s="77"/>
      <c r="BI895" s="77"/>
    </row>
    <row r="896" spans="1:61" ht="15">
      <c r="A896" s="62" t="s">
        <v>299</v>
      </c>
      <c r="B896" s="62" t="s">
        <v>299</v>
      </c>
      <c r="C896" s="63"/>
      <c r="D896" s="64"/>
      <c r="E896" s="65"/>
      <c r="F896" s="66"/>
      <c r="G896" s="63"/>
      <c r="H896" s="67"/>
      <c r="I896" s="68"/>
      <c r="J896" s="68"/>
      <c r="K896" s="32" t="s">
        <v>65</v>
      </c>
      <c r="L896" s="75">
        <v>896</v>
      </c>
      <c r="M896" s="75"/>
      <c r="N896" s="70"/>
      <c r="O896" s="77" t="s">
        <v>179</v>
      </c>
      <c r="P896" s="79">
        <v>41907.38207175926</v>
      </c>
      <c r="Q896" s="77" t="s">
        <v>1287</v>
      </c>
      <c r="R896" s="77">
        <v>0</v>
      </c>
      <c r="S896" s="77">
        <v>1</v>
      </c>
      <c r="T896" s="77">
        <v>0</v>
      </c>
      <c r="U896" s="77">
        <v>0</v>
      </c>
      <c r="V896" s="77"/>
      <c r="W896" s="77"/>
      <c r="X896" s="80" t="str">
        <f>HYPERLINK("http://www.inovies.com/what-is-google-penguin-algorithm-how-they-are-effecting-the-existing-websites-80-inovies.html")</f>
        <v>http://www.inovies.com/what-is-google-penguin-algorithm-how-they-are-effecting-the-existing-websites-80-inovies.html</v>
      </c>
      <c r="Y896" s="77" t="s">
        <v>1982</v>
      </c>
      <c r="Z896" s="77"/>
      <c r="AA896" s="77" t="s">
        <v>2434</v>
      </c>
      <c r="AB896" s="77" t="s">
        <v>2694</v>
      </c>
      <c r="AC896" s="81" t="s">
        <v>2705</v>
      </c>
      <c r="AD896" s="77" t="s">
        <v>2751</v>
      </c>
      <c r="AE896" s="80" t="str">
        <f>HYPERLINK("https://twitter.com/inovies/status/515065719608733696")</f>
        <v>https://twitter.com/inovies/status/515065719608733696</v>
      </c>
      <c r="AF896" s="79">
        <v>41907.38207175926</v>
      </c>
      <c r="AG896" s="85">
        <v>41907</v>
      </c>
      <c r="AH896" s="81" t="s">
        <v>3491</v>
      </c>
      <c r="AI896" s="77" t="b">
        <v>0</v>
      </c>
      <c r="AJ896" s="77" t="s">
        <v>3887</v>
      </c>
      <c r="AK896" s="77" t="s">
        <v>3889</v>
      </c>
      <c r="AL896" s="77" t="s">
        <v>3892</v>
      </c>
      <c r="AM896" s="77" t="s">
        <v>3889</v>
      </c>
      <c r="AN896" s="77" t="s">
        <v>3908</v>
      </c>
      <c r="AO896" s="77" t="s">
        <v>3889</v>
      </c>
      <c r="AP896" s="77" t="s">
        <v>3919</v>
      </c>
      <c r="AQ896" s="77" t="s">
        <v>4248</v>
      </c>
      <c r="AR896" s="77"/>
      <c r="AS896" s="77"/>
      <c r="AT896" s="77"/>
      <c r="AU896" s="77"/>
      <c r="AV896" s="80" t="str">
        <f>HYPERLINK("https://pbs.twimg.com/media/ByXhim3CEAEbpEv.jpg")</f>
        <v>https://pbs.twimg.com/media/ByXhim3CEAEbpEv.jpg</v>
      </c>
      <c r="AW896" s="81" t="s">
        <v>5241</v>
      </c>
      <c r="AX896" s="81" t="s">
        <v>5241</v>
      </c>
      <c r="AY896" s="77"/>
      <c r="AZ896" s="81" t="s">
        <v>5773</v>
      </c>
      <c r="BA896" s="81" t="s">
        <v>5773</v>
      </c>
      <c r="BB896" s="81" t="s">
        <v>5773</v>
      </c>
      <c r="BC896" s="81" t="s">
        <v>5241</v>
      </c>
      <c r="BD896" s="77">
        <v>297885438</v>
      </c>
      <c r="BE896" s="77"/>
      <c r="BF896" s="77"/>
      <c r="BG896" s="77"/>
      <c r="BH896" s="77"/>
      <c r="BI896" s="77"/>
    </row>
    <row r="897" spans="1:61" ht="15">
      <c r="A897" s="62" t="s">
        <v>299</v>
      </c>
      <c r="B897" s="62" t="s">
        <v>299</v>
      </c>
      <c r="C897" s="63"/>
      <c r="D897" s="64"/>
      <c r="E897" s="65"/>
      <c r="F897" s="66"/>
      <c r="G897" s="63"/>
      <c r="H897" s="67"/>
      <c r="I897" s="68"/>
      <c r="J897" s="68"/>
      <c r="K897" s="32" t="s">
        <v>65</v>
      </c>
      <c r="L897" s="75">
        <v>897</v>
      </c>
      <c r="M897" s="75"/>
      <c r="N897" s="70"/>
      <c r="O897" s="77" t="s">
        <v>179</v>
      </c>
      <c r="P897" s="79">
        <v>41905.3296875</v>
      </c>
      <c r="Q897" s="77" t="s">
        <v>1288</v>
      </c>
      <c r="R897" s="77">
        <v>0</v>
      </c>
      <c r="S897" s="77">
        <v>1</v>
      </c>
      <c r="T897" s="77">
        <v>0</v>
      </c>
      <c r="U897" s="77">
        <v>0</v>
      </c>
      <c r="V897" s="77"/>
      <c r="W897" s="77"/>
      <c r="X897" s="80" t="str">
        <f>HYPERLINK("http://www.inovies.com/means-and-ways-to-prevent-your-website-from-hacking-79-inovies.html")</f>
        <v>http://www.inovies.com/means-and-ways-to-prevent-your-website-from-hacking-79-inovies.html</v>
      </c>
      <c r="Y897" s="77" t="s">
        <v>1982</v>
      </c>
      <c r="Z897" s="77"/>
      <c r="AA897" s="77" t="s">
        <v>2435</v>
      </c>
      <c r="AB897" s="77" t="s">
        <v>2694</v>
      </c>
      <c r="AC897" s="81" t="s">
        <v>2705</v>
      </c>
      <c r="AD897" s="77" t="s">
        <v>2751</v>
      </c>
      <c r="AE897" s="80" t="str">
        <f>HYPERLINK("https://twitter.com/inovies/status/514321959786536960")</f>
        <v>https://twitter.com/inovies/status/514321959786536960</v>
      </c>
      <c r="AF897" s="79">
        <v>41905.3296875</v>
      </c>
      <c r="AG897" s="85">
        <v>41905</v>
      </c>
      <c r="AH897" s="81" t="s">
        <v>3492</v>
      </c>
      <c r="AI897" s="77" t="b">
        <v>0</v>
      </c>
      <c r="AJ897" s="77"/>
      <c r="AK897" s="77"/>
      <c r="AL897" s="77"/>
      <c r="AM897" s="77"/>
      <c r="AN897" s="77"/>
      <c r="AO897" s="77"/>
      <c r="AP897" s="77"/>
      <c r="AQ897" s="77" t="s">
        <v>4249</v>
      </c>
      <c r="AR897" s="77"/>
      <c r="AS897" s="77"/>
      <c r="AT897" s="77"/>
      <c r="AU897" s="77"/>
      <c r="AV897" s="80" t="str">
        <f>HYPERLINK("https://pbs.twimg.com/media/ByM9GBLCEAAvoi5.jpg")</f>
        <v>https://pbs.twimg.com/media/ByM9GBLCEAAvoi5.jpg</v>
      </c>
      <c r="AW897" s="81" t="s">
        <v>5242</v>
      </c>
      <c r="AX897" s="81" t="s">
        <v>5242</v>
      </c>
      <c r="AY897" s="77"/>
      <c r="AZ897" s="81" t="s">
        <v>5773</v>
      </c>
      <c r="BA897" s="81" t="s">
        <v>5773</v>
      </c>
      <c r="BB897" s="81" t="s">
        <v>5773</v>
      </c>
      <c r="BC897" s="81" t="s">
        <v>5242</v>
      </c>
      <c r="BD897" s="77">
        <v>297885438</v>
      </c>
      <c r="BE897" s="77"/>
      <c r="BF897" s="77"/>
      <c r="BG897" s="77"/>
      <c r="BH897" s="77"/>
      <c r="BI897" s="77"/>
    </row>
    <row r="898" spans="1:61" ht="15">
      <c r="A898" s="62" t="s">
        <v>299</v>
      </c>
      <c r="B898" s="62" t="s">
        <v>299</v>
      </c>
      <c r="C898" s="63"/>
      <c r="D898" s="64"/>
      <c r="E898" s="65"/>
      <c r="F898" s="66"/>
      <c r="G898" s="63"/>
      <c r="H898" s="67"/>
      <c r="I898" s="68"/>
      <c r="J898" s="68"/>
      <c r="K898" s="32" t="s">
        <v>65</v>
      </c>
      <c r="L898" s="75">
        <v>898</v>
      </c>
      <c r="M898" s="75"/>
      <c r="N898" s="70"/>
      <c r="O898" s="77" t="s">
        <v>179</v>
      </c>
      <c r="P898" s="79">
        <v>41897.51819444444</v>
      </c>
      <c r="Q898" s="77" t="s">
        <v>1289</v>
      </c>
      <c r="R898" s="77">
        <v>0</v>
      </c>
      <c r="S898" s="77">
        <v>0</v>
      </c>
      <c r="T898" s="77">
        <v>0</v>
      </c>
      <c r="U898" s="77">
        <v>0</v>
      </c>
      <c r="V898" s="77"/>
      <c r="W898" s="77"/>
      <c r="X898" s="80" t="str">
        <f>HYPERLINK("http://www.inovies.com/10-simple-ways-to-drive-better-quality-leads-from-your-website-78-inovies.html")</f>
        <v>http://www.inovies.com/10-simple-ways-to-drive-better-quality-leads-from-your-website-78-inovies.html</v>
      </c>
      <c r="Y898" s="77" t="s">
        <v>1982</v>
      </c>
      <c r="Z898" s="77"/>
      <c r="AA898" s="77"/>
      <c r="AB898" s="77"/>
      <c r="AC898" s="81" t="s">
        <v>2705</v>
      </c>
      <c r="AD898" s="77" t="s">
        <v>2751</v>
      </c>
      <c r="AE898" s="80" t="str">
        <f>HYPERLINK("https://twitter.com/inovies/status/511491169402896384")</f>
        <v>https://twitter.com/inovies/status/511491169402896384</v>
      </c>
      <c r="AF898" s="79">
        <v>41897.51819444444</v>
      </c>
      <c r="AG898" s="85">
        <v>41897</v>
      </c>
      <c r="AH898" s="81" t="s">
        <v>3493</v>
      </c>
      <c r="AI898" s="77" t="b">
        <v>0</v>
      </c>
      <c r="AJ898" s="77"/>
      <c r="AK898" s="77"/>
      <c r="AL898" s="77"/>
      <c r="AM898" s="77"/>
      <c r="AN898" s="77"/>
      <c r="AO898" s="77"/>
      <c r="AP898" s="77"/>
      <c r="AQ898" s="77"/>
      <c r="AR898" s="77"/>
      <c r="AS898" s="77"/>
      <c r="AT898" s="77"/>
      <c r="AU898" s="77"/>
      <c r="AV898" s="80" t="str">
        <f>HYPERLINK("https://pbs.twimg.com/profile_images/833576943677214720/5ZyUgpEJ_normal.jpg")</f>
        <v>https://pbs.twimg.com/profile_images/833576943677214720/5ZyUgpEJ_normal.jpg</v>
      </c>
      <c r="AW898" s="81" t="s">
        <v>5243</v>
      </c>
      <c r="AX898" s="81" t="s">
        <v>5243</v>
      </c>
      <c r="AY898" s="77"/>
      <c r="AZ898" s="81" t="s">
        <v>5773</v>
      </c>
      <c r="BA898" s="81" t="s">
        <v>5773</v>
      </c>
      <c r="BB898" s="81" t="s">
        <v>5773</v>
      </c>
      <c r="BC898" s="81" t="s">
        <v>5243</v>
      </c>
      <c r="BD898" s="77">
        <v>297885438</v>
      </c>
      <c r="BE898" s="77"/>
      <c r="BF898" s="77"/>
      <c r="BG898" s="77"/>
      <c r="BH898" s="77"/>
      <c r="BI898" s="77"/>
    </row>
    <row r="899" spans="1:61" ht="15">
      <c r="A899" s="62" t="s">
        <v>299</v>
      </c>
      <c r="B899" s="62" t="s">
        <v>299</v>
      </c>
      <c r="C899" s="63"/>
      <c r="D899" s="64"/>
      <c r="E899" s="65"/>
      <c r="F899" s="66"/>
      <c r="G899" s="63"/>
      <c r="H899" s="67"/>
      <c r="I899" s="68"/>
      <c r="J899" s="68"/>
      <c r="K899" s="32" t="s">
        <v>65</v>
      </c>
      <c r="L899" s="75">
        <v>899</v>
      </c>
      <c r="M899" s="75"/>
      <c r="N899" s="70"/>
      <c r="O899" s="77" t="s">
        <v>571</v>
      </c>
      <c r="P899" s="79">
        <v>41897.5171412037</v>
      </c>
      <c r="Q899" s="77" t="s">
        <v>1290</v>
      </c>
      <c r="R899" s="77">
        <v>0</v>
      </c>
      <c r="S899" s="77">
        <v>0</v>
      </c>
      <c r="T899" s="77">
        <v>0</v>
      </c>
      <c r="U899" s="77">
        <v>0</v>
      </c>
      <c r="V899" s="77"/>
      <c r="W899" s="81" t="s">
        <v>1889</v>
      </c>
      <c r="X899" s="80" t="str">
        <f>HYPERLINK("http://www.inovies.com/10-simple-ways-to-drive-better-quality-leads-from-your-website-78-inovies.html")</f>
        <v>http://www.inovies.com/10-simple-ways-to-drive-better-quality-leads-from-your-website-78-inovies.html</v>
      </c>
      <c r="Y899" s="77" t="s">
        <v>1982</v>
      </c>
      <c r="Z899" s="77" t="s">
        <v>299</v>
      </c>
      <c r="AA899" s="77"/>
      <c r="AB899" s="77"/>
      <c r="AC899" s="81" t="s">
        <v>2712</v>
      </c>
      <c r="AD899" s="77" t="s">
        <v>2751</v>
      </c>
      <c r="AE899" s="80" t="str">
        <f>HYPERLINK("https://twitter.com/inovies/status/511490787033366529")</f>
        <v>https://twitter.com/inovies/status/511490787033366529</v>
      </c>
      <c r="AF899" s="79">
        <v>41897.5171412037</v>
      </c>
      <c r="AG899" s="85">
        <v>41897</v>
      </c>
      <c r="AH899" s="81" t="s">
        <v>3494</v>
      </c>
      <c r="AI899" s="77" t="b">
        <v>0</v>
      </c>
      <c r="AJ899" s="77"/>
      <c r="AK899" s="77"/>
      <c r="AL899" s="77"/>
      <c r="AM899" s="77"/>
      <c r="AN899" s="77"/>
      <c r="AO899" s="77"/>
      <c r="AP899" s="77"/>
      <c r="AQ899" s="77"/>
      <c r="AR899" s="77"/>
      <c r="AS899" s="77"/>
      <c r="AT899" s="77"/>
      <c r="AU899" s="77"/>
      <c r="AV899" s="80" t="str">
        <f>HYPERLINK("https://pbs.twimg.com/profile_images/833576943677214720/5ZyUgpEJ_normal.jpg")</f>
        <v>https://pbs.twimg.com/profile_images/833576943677214720/5ZyUgpEJ_normal.jpg</v>
      </c>
      <c r="AW899" s="81" t="s">
        <v>5244</v>
      </c>
      <c r="AX899" s="81" t="s">
        <v>5244</v>
      </c>
      <c r="AY899" s="77"/>
      <c r="AZ899" s="81" t="s">
        <v>5773</v>
      </c>
      <c r="BA899" s="81" t="s">
        <v>5773</v>
      </c>
      <c r="BB899" s="81" t="s">
        <v>5773</v>
      </c>
      <c r="BC899" s="81" t="s">
        <v>5244</v>
      </c>
      <c r="BD899" s="77">
        <v>297885438</v>
      </c>
      <c r="BE899" s="77"/>
      <c r="BF899" s="77"/>
      <c r="BG899" s="77"/>
      <c r="BH899" s="77"/>
      <c r="BI899" s="77"/>
    </row>
    <row r="900" spans="1:61" ht="15">
      <c r="A900" s="62" t="s">
        <v>299</v>
      </c>
      <c r="B900" s="62" t="s">
        <v>299</v>
      </c>
      <c r="C900" s="63"/>
      <c r="D900" s="64"/>
      <c r="E900" s="65"/>
      <c r="F900" s="66"/>
      <c r="G900" s="63"/>
      <c r="H900" s="67"/>
      <c r="I900" s="68"/>
      <c r="J900" s="68"/>
      <c r="K900" s="32" t="s">
        <v>65</v>
      </c>
      <c r="L900" s="75">
        <v>900</v>
      </c>
      <c r="M900" s="75"/>
      <c r="N900" s="70"/>
      <c r="O900" s="77" t="s">
        <v>179</v>
      </c>
      <c r="P900" s="79">
        <v>41866.232627314814</v>
      </c>
      <c r="Q900" s="80" t="str">
        <f>HYPERLINK("http://t.co/BCu75sPKob")</f>
        <v>http://t.co/BCu75sPKob</v>
      </c>
      <c r="R900" s="77">
        <v>0</v>
      </c>
      <c r="S900" s="77">
        <v>0</v>
      </c>
      <c r="T900" s="77">
        <v>0</v>
      </c>
      <c r="U900" s="77">
        <v>0</v>
      </c>
      <c r="V900" s="77"/>
      <c r="W900" s="77"/>
      <c r="X900" s="80" t="str">
        <f>HYPERLINK("http://jobsearch.naukri.com/job-listings-Walkin-Freshers-Technical-Documentation-Writers-Female-ONLY-Inovies-Hyderabad-Secunderabad-0-to-1-years-150814000209?xz=0_0_54&amp;f=-150814000209")</f>
        <v>http://jobsearch.naukri.com/job-listings-Walkin-Freshers-Technical-Documentation-Writers-Female-ONLY-Inovies-Hyderabad-Secunderabad-0-to-1-years-150814000209?xz=0_0_54&amp;f=-150814000209</v>
      </c>
      <c r="Y900" s="77" t="s">
        <v>2048</v>
      </c>
      <c r="Z900" s="77"/>
      <c r="AA900" s="77"/>
      <c r="AB900" s="77"/>
      <c r="AC900" s="81" t="s">
        <v>2712</v>
      </c>
      <c r="AD900" s="77" t="s">
        <v>2756</v>
      </c>
      <c r="AE900" s="80" t="str">
        <f>HYPERLINK("https://twitter.com/inovies/status/500153661041811457")</f>
        <v>https://twitter.com/inovies/status/500153661041811457</v>
      </c>
      <c r="AF900" s="79">
        <v>41866.232627314814</v>
      </c>
      <c r="AG900" s="85">
        <v>41866</v>
      </c>
      <c r="AH900" s="81" t="s">
        <v>3495</v>
      </c>
      <c r="AI900" s="77" t="b">
        <v>0</v>
      </c>
      <c r="AJ900" s="77"/>
      <c r="AK900" s="77"/>
      <c r="AL900" s="77"/>
      <c r="AM900" s="77"/>
      <c r="AN900" s="77"/>
      <c r="AO900" s="77"/>
      <c r="AP900" s="77"/>
      <c r="AQ900" s="77"/>
      <c r="AR900" s="77"/>
      <c r="AS900" s="77"/>
      <c r="AT900" s="77"/>
      <c r="AU900" s="77"/>
      <c r="AV900" s="80" t="str">
        <f>HYPERLINK("https://pbs.twimg.com/profile_images/833576943677214720/5ZyUgpEJ_normal.jpg")</f>
        <v>https://pbs.twimg.com/profile_images/833576943677214720/5ZyUgpEJ_normal.jpg</v>
      </c>
      <c r="AW900" s="81" t="s">
        <v>5245</v>
      </c>
      <c r="AX900" s="81" t="s">
        <v>5245</v>
      </c>
      <c r="AY900" s="77"/>
      <c r="AZ900" s="81" t="s">
        <v>5773</v>
      </c>
      <c r="BA900" s="81" t="s">
        <v>5773</v>
      </c>
      <c r="BB900" s="81" t="s">
        <v>5773</v>
      </c>
      <c r="BC900" s="81" t="s">
        <v>5245</v>
      </c>
      <c r="BD900" s="77">
        <v>297885438</v>
      </c>
      <c r="BE900" s="77"/>
      <c r="BF900" s="77"/>
      <c r="BG900" s="77"/>
      <c r="BH900" s="77"/>
      <c r="BI900" s="77"/>
    </row>
    <row r="901" spans="1:61" ht="15">
      <c r="A901" s="62" t="s">
        <v>299</v>
      </c>
      <c r="B901" s="62" t="s">
        <v>299</v>
      </c>
      <c r="C901" s="63"/>
      <c r="D901" s="64"/>
      <c r="E901" s="65"/>
      <c r="F901" s="66"/>
      <c r="G901" s="63"/>
      <c r="H901" s="67"/>
      <c r="I901" s="68"/>
      <c r="J901" s="68"/>
      <c r="K901" s="32" t="s">
        <v>65</v>
      </c>
      <c r="L901" s="75">
        <v>901</v>
      </c>
      <c r="M901" s="75"/>
      <c r="N901" s="70"/>
      <c r="O901" s="77" t="s">
        <v>179</v>
      </c>
      <c r="P901" s="79">
        <v>41817.33699074074</v>
      </c>
      <c r="Q901" s="77" t="s">
        <v>1291</v>
      </c>
      <c r="R901" s="77">
        <v>0</v>
      </c>
      <c r="S901" s="77">
        <v>1</v>
      </c>
      <c r="T901" s="77">
        <v>0</v>
      </c>
      <c r="U901" s="77">
        <v>0</v>
      </c>
      <c r="V901" s="77"/>
      <c r="W901" s="77"/>
      <c r="X901" s="80" t="str">
        <f>HYPERLINK("http://ow.ly/2J4HdE")</f>
        <v>http://ow.ly/2J4HdE</v>
      </c>
      <c r="Y901" s="77" t="s">
        <v>2041</v>
      </c>
      <c r="Z901" s="77"/>
      <c r="AA901" s="77"/>
      <c r="AB901" s="77"/>
      <c r="AC901" s="81" t="s">
        <v>2744</v>
      </c>
      <c r="AD901" s="77" t="s">
        <v>2751</v>
      </c>
      <c r="AE901" s="80" t="str">
        <f>HYPERLINK("https://twitter.com/inovies/status/482434475943800832")</f>
        <v>https://twitter.com/inovies/status/482434475943800832</v>
      </c>
      <c r="AF901" s="79">
        <v>41817.33699074074</v>
      </c>
      <c r="AG901" s="85">
        <v>41817</v>
      </c>
      <c r="AH901" s="81" t="s">
        <v>3496</v>
      </c>
      <c r="AI901" s="77" t="b">
        <v>0</v>
      </c>
      <c r="AJ901" s="77"/>
      <c r="AK901" s="77"/>
      <c r="AL901" s="77"/>
      <c r="AM901" s="77"/>
      <c r="AN901" s="77"/>
      <c r="AO901" s="77"/>
      <c r="AP901" s="77"/>
      <c r="AQ901" s="77"/>
      <c r="AR901" s="77"/>
      <c r="AS901" s="77"/>
      <c r="AT901" s="77"/>
      <c r="AU901" s="77"/>
      <c r="AV901" s="80" t="str">
        <f>HYPERLINK("https://pbs.twimg.com/profile_images/833576943677214720/5ZyUgpEJ_normal.jpg")</f>
        <v>https://pbs.twimg.com/profile_images/833576943677214720/5ZyUgpEJ_normal.jpg</v>
      </c>
      <c r="AW901" s="81" t="s">
        <v>5246</v>
      </c>
      <c r="AX901" s="81" t="s">
        <v>5246</v>
      </c>
      <c r="AY901" s="77"/>
      <c r="AZ901" s="81" t="s">
        <v>5773</v>
      </c>
      <c r="BA901" s="81" t="s">
        <v>5773</v>
      </c>
      <c r="BB901" s="81" t="s">
        <v>5773</v>
      </c>
      <c r="BC901" s="81" t="s">
        <v>5246</v>
      </c>
      <c r="BD901" s="77">
        <v>297885438</v>
      </c>
      <c r="BE901" s="77"/>
      <c r="BF901" s="77"/>
      <c r="BG901" s="77"/>
      <c r="BH901" s="77"/>
      <c r="BI901" s="77"/>
    </row>
    <row r="902" spans="1:61" ht="15">
      <c r="A902" s="62" t="s">
        <v>299</v>
      </c>
      <c r="B902" s="62" t="s">
        <v>299</v>
      </c>
      <c r="C902" s="63"/>
      <c r="D902" s="64"/>
      <c r="E902" s="65"/>
      <c r="F902" s="66"/>
      <c r="G902" s="63"/>
      <c r="H902" s="67"/>
      <c r="I902" s="68"/>
      <c r="J902" s="68"/>
      <c r="K902" s="32" t="s">
        <v>65</v>
      </c>
      <c r="L902" s="75">
        <v>902</v>
      </c>
      <c r="M902" s="75"/>
      <c r="N902" s="70"/>
      <c r="O902" s="77" t="s">
        <v>179</v>
      </c>
      <c r="P902" s="79">
        <v>41785.18667824074</v>
      </c>
      <c r="Q902" s="77" t="s">
        <v>1292</v>
      </c>
      <c r="R902" s="77">
        <v>0</v>
      </c>
      <c r="S902" s="77">
        <v>1</v>
      </c>
      <c r="T902" s="77">
        <v>0</v>
      </c>
      <c r="U902" s="77">
        <v>0</v>
      </c>
      <c r="V902" s="77"/>
      <c r="W902" s="77"/>
      <c r="X902" s="80" t="str">
        <f>HYPERLINK("http://ow.ly/2H8UQP")</f>
        <v>http://ow.ly/2H8UQP</v>
      </c>
      <c r="Y902" s="77" t="s">
        <v>2041</v>
      </c>
      <c r="Z902" s="77"/>
      <c r="AA902" s="77"/>
      <c r="AB902" s="77"/>
      <c r="AC902" s="81" t="s">
        <v>2744</v>
      </c>
      <c r="AD902" s="77" t="s">
        <v>2751</v>
      </c>
      <c r="AE902" s="80" t="str">
        <f>HYPERLINK("https://twitter.com/inovies/status/470783592877260800")</f>
        <v>https://twitter.com/inovies/status/470783592877260800</v>
      </c>
      <c r="AF902" s="79">
        <v>41785.18667824074</v>
      </c>
      <c r="AG902" s="85">
        <v>41785</v>
      </c>
      <c r="AH902" s="81" t="s">
        <v>3497</v>
      </c>
      <c r="AI902" s="77" t="b">
        <v>0</v>
      </c>
      <c r="AJ902" s="77"/>
      <c r="AK902" s="77"/>
      <c r="AL902" s="77"/>
      <c r="AM902" s="77"/>
      <c r="AN902" s="77"/>
      <c r="AO902" s="77"/>
      <c r="AP902" s="77"/>
      <c r="AQ902" s="77"/>
      <c r="AR902" s="77"/>
      <c r="AS902" s="77"/>
      <c r="AT902" s="77"/>
      <c r="AU902" s="77"/>
      <c r="AV902" s="80" t="str">
        <f>HYPERLINK("https://pbs.twimg.com/profile_images/833576943677214720/5ZyUgpEJ_normal.jpg")</f>
        <v>https://pbs.twimg.com/profile_images/833576943677214720/5ZyUgpEJ_normal.jpg</v>
      </c>
      <c r="AW902" s="81" t="s">
        <v>5247</v>
      </c>
      <c r="AX902" s="81" t="s">
        <v>5247</v>
      </c>
      <c r="AY902" s="77"/>
      <c r="AZ902" s="81" t="s">
        <v>5773</v>
      </c>
      <c r="BA902" s="81" t="s">
        <v>5773</v>
      </c>
      <c r="BB902" s="81" t="s">
        <v>5773</v>
      </c>
      <c r="BC902" s="81" t="s">
        <v>5247</v>
      </c>
      <c r="BD902" s="77">
        <v>297885438</v>
      </c>
      <c r="BE902" s="77"/>
      <c r="BF902" s="77"/>
      <c r="BG902" s="77"/>
      <c r="BH902" s="77"/>
      <c r="BI902" s="77"/>
    </row>
    <row r="903" spans="1:61" ht="15">
      <c r="A903" s="62" t="s">
        <v>299</v>
      </c>
      <c r="B903" s="62" t="s">
        <v>299</v>
      </c>
      <c r="C903" s="63"/>
      <c r="D903" s="64"/>
      <c r="E903" s="65"/>
      <c r="F903" s="66"/>
      <c r="G903" s="63"/>
      <c r="H903" s="67"/>
      <c r="I903" s="68"/>
      <c r="J903" s="68"/>
      <c r="K903" s="32" t="s">
        <v>65</v>
      </c>
      <c r="L903" s="75">
        <v>903</v>
      </c>
      <c r="M903" s="75"/>
      <c r="N903" s="70"/>
      <c r="O903" s="77" t="s">
        <v>179</v>
      </c>
      <c r="P903" s="79">
        <v>41779.219814814816</v>
      </c>
      <c r="Q903" s="80" t="str">
        <f>HYPERLINK("http://t.co/845RIg9RDS")</f>
        <v>http://t.co/845RIg9RDS</v>
      </c>
      <c r="R903" s="77">
        <v>0</v>
      </c>
      <c r="S903" s="77">
        <v>1</v>
      </c>
      <c r="T903" s="77">
        <v>0</v>
      </c>
      <c r="U903" s="77">
        <v>0</v>
      </c>
      <c r="V903" s="77"/>
      <c r="W903" s="77"/>
      <c r="X903" s="80" t="str">
        <f>HYPERLINK("http://pinpoint.microsoft.com/en-IN/partners/Inovies-Consulting-Private-Limited-4298641695")</f>
        <v>http://pinpoint.microsoft.com/en-IN/partners/Inovies-Consulting-Private-Limited-4298641695</v>
      </c>
      <c r="Y903" s="77" t="s">
        <v>2049</v>
      </c>
      <c r="Z903" s="77"/>
      <c r="AA903" s="77"/>
      <c r="AB903" s="77"/>
      <c r="AC903" s="81" t="s">
        <v>2712</v>
      </c>
      <c r="AD903" s="77" t="s">
        <v>2756</v>
      </c>
      <c r="AE903" s="80" t="str">
        <f>HYPERLINK("https://twitter.com/inovies/status/468621273040314368")</f>
        <v>https://twitter.com/inovies/status/468621273040314368</v>
      </c>
      <c r="AF903" s="79">
        <v>41779.219814814816</v>
      </c>
      <c r="AG903" s="85">
        <v>41779</v>
      </c>
      <c r="AH903" s="81" t="s">
        <v>3498</v>
      </c>
      <c r="AI903" s="77" t="b">
        <v>0</v>
      </c>
      <c r="AJ903" s="77"/>
      <c r="AK903" s="77"/>
      <c r="AL903" s="77"/>
      <c r="AM903" s="77"/>
      <c r="AN903" s="77"/>
      <c r="AO903" s="77"/>
      <c r="AP903" s="77"/>
      <c r="AQ903" s="77"/>
      <c r="AR903" s="77"/>
      <c r="AS903" s="77"/>
      <c r="AT903" s="77"/>
      <c r="AU903" s="77"/>
      <c r="AV903" s="80" t="str">
        <f>HYPERLINK("https://pbs.twimg.com/profile_images/833576943677214720/5ZyUgpEJ_normal.jpg")</f>
        <v>https://pbs.twimg.com/profile_images/833576943677214720/5ZyUgpEJ_normal.jpg</v>
      </c>
      <c r="AW903" s="81" t="s">
        <v>5248</v>
      </c>
      <c r="AX903" s="81" t="s">
        <v>5248</v>
      </c>
      <c r="AY903" s="77"/>
      <c r="AZ903" s="81" t="s">
        <v>5773</v>
      </c>
      <c r="BA903" s="81" t="s">
        <v>5773</v>
      </c>
      <c r="BB903" s="81" t="s">
        <v>5773</v>
      </c>
      <c r="BC903" s="81" t="s">
        <v>5248</v>
      </c>
      <c r="BD903" s="77">
        <v>297885438</v>
      </c>
      <c r="BE903" s="77"/>
      <c r="BF903" s="77"/>
      <c r="BG903" s="77"/>
      <c r="BH903" s="77"/>
      <c r="BI903" s="77"/>
    </row>
    <row r="904" spans="1:61" ht="15">
      <c r="A904" s="62" t="s">
        <v>299</v>
      </c>
      <c r="B904" s="62" t="s">
        <v>299</v>
      </c>
      <c r="C904" s="63"/>
      <c r="D904" s="64"/>
      <c r="E904" s="65"/>
      <c r="F904" s="66"/>
      <c r="G904" s="63"/>
      <c r="H904" s="67"/>
      <c r="I904" s="68"/>
      <c r="J904" s="68"/>
      <c r="K904" s="32" t="s">
        <v>65</v>
      </c>
      <c r="L904" s="75">
        <v>904</v>
      </c>
      <c r="M904" s="75"/>
      <c r="N904" s="70"/>
      <c r="O904" s="77" t="s">
        <v>179</v>
      </c>
      <c r="P904" s="79">
        <v>41775.61019675926</v>
      </c>
      <c r="Q904" s="77" t="s">
        <v>1293</v>
      </c>
      <c r="R904" s="77">
        <v>0</v>
      </c>
      <c r="S904" s="77">
        <v>1</v>
      </c>
      <c r="T904" s="77">
        <v>0</v>
      </c>
      <c r="U904" s="77">
        <v>0</v>
      </c>
      <c r="V904" s="77"/>
      <c r="W904" s="77"/>
      <c r="X904" s="80" t="str">
        <f>HYPERLINK("http://ow.ly/2GNw5a")</f>
        <v>http://ow.ly/2GNw5a</v>
      </c>
      <c r="Y904" s="77" t="s">
        <v>2041</v>
      </c>
      <c r="Z904" s="77"/>
      <c r="AA904" s="77"/>
      <c r="AB904" s="77"/>
      <c r="AC904" s="81" t="s">
        <v>2744</v>
      </c>
      <c r="AD904" s="77" t="s">
        <v>2751</v>
      </c>
      <c r="AE904" s="80" t="str">
        <f>HYPERLINK("https://twitter.com/inovies/status/467313188821041152")</f>
        <v>https://twitter.com/inovies/status/467313188821041152</v>
      </c>
      <c r="AF904" s="79">
        <v>41775.61019675926</v>
      </c>
      <c r="AG904" s="85">
        <v>41775</v>
      </c>
      <c r="AH904" s="81" t="s">
        <v>3499</v>
      </c>
      <c r="AI904" s="77" t="b">
        <v>0</v>
      </c>
      <c r="AJ904" s="77"/>
      <c r="AK904" s="77"/>
      <c r="AL904" s="77"/>
      <c r="AM904" s="77"/>
      <c r="AN904" s="77"/>
      <c r="AO904" s="77"/>
      <c r="AP904" s="77"/>
      <c r="AQ904" s="77"/>
      <c r="AR904" s="77"/>
      <c r="AS904" s="77"/>
      <c r="AT904" s="77"/>
      <c r="AU904" s="77"/>
      <c r="AV904" s="80" t="str">
        <f>HYPERLINK("https://pbs.twimg.com/profile_images/833576943677214720/5ZyUgpEJ_normal.jpg")</f>
        <v>https://pbs.twimg.com/profile_images/833576943677214720/5ZyUgpEJ_normal.jpg</v>
      </c>
      <c r="AW904" s="81" t="s">
        <v>5249</v>
      </c>
      <c r="AX904" s="81" t="s">
        <v>5249</v>
      </c>
      <c r="AY904" s="77"/>
      <c r="AZ904" s="81" t="s">
        <v>5773</v>
      </c>
      <c r="BA904" s="81" t="s">
        <v>5773</v>
      </c>
      <c r="BB904" s="81" t="s">
        <v>5773</v>
      </c>
      <c r="BC904" s="81" t="s">
        <v>5249</v>
      </c>
      <c r="BD904" s="77">
        <v>297885438</v>
      </c>
      <c r="BE904" s="77"/>
      <c r="BF904" s="77"/>
      <c r="BG904" s="77"/>
      <c r="BH904" s="77"/>
      <c r="BI904" s="77"/>
    </row>
    <row r="905" spans="1:61" ht="15">
      <c r="A905" s="62" t="s">
        <v>299</v>
      </c>
      <c r="B905" s="62" t="s">
        <v>299</v>
      </c>
      <c r="C905" s="63"/>
      <c r="D905" s="64"/>
      <c r="E905" s="65"/>
      <c r="F905" s="66"/>
      <c r="G905" s="63"/>
      <c r="H905" s="67"/>
      <c r="I905" s="68"/>
      <c r="J905" s="68"/>
      <c r="K905" s="32" t="s">
        <v>65</v>
      </c>
      <c r="L905" s="75">
        <v>905</v>
      </c>
      <c r="M905" s="75"/>
      <c r="N905" s="70"/>
      <c r="O905" s="77" t="s">
        <v>179</v>
      </c>
      <c r="P905" s="79">
        <v>41762.67071759259</v>
      </c>
      <c r="Q905" s="77" t="s">
        <v>1294</v>
      </c>
      <c r="R905" s="77">
        <v>0</v>
      </c>
      <c r="S905" s="77">
        <v>1</v>
      </c>
      <c r="T905" s="77">
        <v>0</v>
      </c>
      <c r="U905" s="77">
        <v>0</v>
      </c>
      <c r="V905" s="77"/>
      <c r="W905" s="77"/>
      <c r="X905" s="77"/>
      <c r="Y905" s="77"/>
      <c r="Z905" s="77"/>
      <c r="AA905" s="77"/>
      <c r="AB905" s="77"/>
      <c r="AC905" s="81" t="s">
        <v>2704</v>
      </c>
      <c r="AD905" s="77" t="s">
        <v>2751</v>
      </c>
      <c r="AE905" s="80" t="str">
        <f>HYPERLINK("https://twitter.com/inovies/status/462624081058496512")</f>
        <v>https://twitter.com/inovies/status/462624081058496512</v>
      </c>
      <c r="AF905" s="79">
        <v>41762.67071759259</v>
      </c>
      <c r="AG905" s="85">
        <v>41762</v>
      </c>
      <c r="AH905" s="81" t="s">
        <v>3500</v>
      </c>
      <c r="AI905" s="77"/>
      <c r="AJ905" s="77" t="s">
        <v>3887</v>
      </c>
      <c r="AK905" s="77" t="s">
        <v>3889</v>
      </c>
      <c r="AL905" s="77" t="s">
        <v>3892</v>
      </c>
      <c r="AM905" s="77" t="s">
        <v>3889</v>
      </c>
      <c r="AN905" s="77" t="s">
        <v>3908</v>
      </c>
      <c r="AO905" s="77" t="s">
        <v>3889</v>
      </c>
      <c r="AP905" s="77" t="s">
        <v>3919</v>
      </c>
      <c r="AQ905" s="77"/>
      <c r="AR905" s="77"/>
      <c r="AS905" s="77"/>
      <c r="AT905" s="77"/>
      <c r="AU905" s="77"/>
      <c r="AV905" s="80" t="str">
        <f>HYPERLINK("https://pbs.twimg.com/profile_images/833576943677214720/5ZyUgpEJ_normal.jpg")</f>
        <v>https://pbs.twimg.com/profile_images/833576943677214720/5ZyUgpEJ_normal.jpg</v>
      </c>
      <c r="AW905" s="81" t="s">
        <v>5250</v>
      </c>
      <c r="AX905" s="81" t="s">
        <v>5250</v>
      </c>
      <c r="AY905" s="77"/>
      <c r="AZ905" s="81" t="s">
        <v>5773</v>
      </c>
      <c r="BA905" s="81" t="s">
        <v>5773</v>
      </c>
      <c r="BB905" s="81" t="s">
        <v>5773</v>
      </c>
      <c r="BC905" s="81" t="s">
        <v>5250</v>
      </c>
      <c r="BD905" s="77">
        <v>297885438</v>
      </c>
      <c r="BE905" s="77"/>
      <c r="BF905" s="77"/>
      <c r="BG905" s="77"/>
      <c r="BH905" s="77"/>
      <c r="BI905" s="77"/>
    </row>
    <row r="906" spans="1:61" ht="15">
      <c r="A906" s="62" t="s">
        <v>299</v>
      </c>
      <c r="B906" s="62" t="s">
        <v>299</v>
      </c>
      <c r="C906" s="63"/>
      <c r="D906" s="64"/>
      <c r="E906" s="65"/>
      <c r="F906" s="66"/>
      <c r="G906" s="63"/>
      <c r="H906" s="67"/>
      <c r="I906" s="68"/>
      <c r="J906" s="68"/>
      <c r="K906" s="32" t="s">
        <v>65</v>
      </c>
      <c r="L906" s="75">
        <v>906</v>
      </c>
      <c r="M906" s="75"/>
      <c r="N906" s="70"/>
      <c r="O906" s="77" t="s">
        <v>179</v>
      </c>
      <c r="P906" s="79">
        <v>41760.22608796296</v>
      </c>
      <c r="Q906" s="77" t="s">
        <v>1295</v>
      </c>
      <c r="R906" s="77">
        <v>0</v>
      </c>
      <c r="S906" s="77">
        <v>1</v>
      </c>
      <c r="T906" s="77">
        <v>0</v>
      </c>
      <c r="U906" s="77">
        <v>0</v>
      </c>
      <c r="V906" s="77"/>
      <c r="W906" s="77"/>
      <c r="X906" s="80" t="str">
        <f>HYPERLINK("http://ow.ly/2GcwSI")</f>
        <v>http://ow.ly/2GcwSI</v>
      </c>
      <c r="Y906" s="77" t="s">
        <v>2041</v>
      </c>
      <c r="Z906" s="77"/>
      <c r="AA906" s="77"/>
      <c r="AB906" s="77"/>
      <c r="AC906" s="81" t="s">
        <v>2744</v>
      </c>
      <c r="AD906" s="77" t="s">
        <v>2751</v>
      </c>
      <c r="AE906" s="80" t="str">
        <f>HYPERLINK("https://twitter.com/inovies/status/461738174822502400")</f>
        <v>https://twitter.com/inovies/status/461738174822502400</v>
      </c>
      <c r="AF906" s="79">
        <v>41760.22608796296</v>
      </c>
      <c r="AG906" s="85">
        <v>41760</v>
      </c>
      <c r="AH906" s="81" t="s">
        <v>3501</v>
      </c>
      <c r="AI906" s="77" t="b">
        <v>0</v>
      </c>
      <c r="AJ906" s="77"/>
      <c r="AK906" s="77"/>
      <c r="AL906" s="77"/>
      <c r="AM906" s="77"/>
      <c r="AN906" s="77"/>
      <c r="AO906" s="77"/>
      <c r="AP906" s="77"/>
      <c r="AQ906" s="77"/>
      <c r="AR906" s="77"/>
      <c r="AS906" s="77"/>
      <c r="AT906" s="77"/>
      <c r="AU906" s="77"/>
      <c r="AV906" s="80" t="str">
        <f>HYPERLINK("https://pbs.twimg.com/profile_images/833576943677214720/5ZyUgpEJ_normal.jpg")</f>
        <v>https://pbs.twimg.com/profile_images/833576943677214720/5ZyUgpEJ_normal.jpg</v>
      </c>
      <c r="AW906" s="81" t="s">
        <v>5251</v>
      </c>
      <c r="AX906" s="81" t="s">
        <v>5251</v>
      </c>
      <c r="AY906" s="77"/>
      <c r="AZ906" s="81" t="s">
        <v>5773</v>
      </c>
      <c r="BA906" s="81" t="s">
        <v>5773</v>
      </c>
      <c r="BB906" s="81" t="s">
        <v>5773</v>
      </c>
      <c r="BC906" s="81" t="s">
        <v>5251</v>
      </c>
      <c r="BD906" s="77">
        <v>297885438</v>
      </c>
      <c r="BE906" s="77"/>
      <c r="BF906" s="77"/>
      <c r="BG906" s="77"/>
      <c r="BH906" s="77"/>
      <c r="BI906" s="77"/>
    </row>
    <row r="907" spans="1:61" ht="15">
      <c r="A907" s="62" t="s">
        <v>299</v>
      </c>
      <c r="B907" s="62" t="s">
        <v>299</v>
      </c>
      <c r="C907" s="63"/>
      <c r="D907" s="64"/>
      <c r="E907" s="65"/>
      <c r="F907" s="66"/>
      <c r="G907" s="63"/>
      <c r="H907" s="67"/>
      <c r="I907" s="68"/>
      <c r="J907" s="68"/>
      <c r="K907" s="32" t="s">
        <v>65</v>
      </c>
      <c r="L907" s="75">
        <v>907</v>
      </c>
      <c r="M907" s="75"/>
      <c r="N907" s="70"/>
      <c r="O907" s="77" t="s">
        <v>179</v>
      </c>
      <c r="P907" s="79">
        <v>41754.39543981481</v>
      </c>
      <c r="Q907" s="77" t="s">
        <v>1296</v>
      </c>
      <c r="R907" s="77">
        <v>0</v>
      </c>
      <c r="S907" s="77">
        <v>1</v>
      </c>
      <c r="T907" s="77">
        <v>0</v>
      </c>
      <c r="U907" s="77">
        <v>0</v>
      </c>
      <c r="V907" s="77"/>
      <c r="W907" s="77"/>
      <c r="X907" s="80" t="str">
        <f>HYPERLINK("http://ow.ly/2G0Y3j")</f>
        <v>http://ow.ly/2G0Y3j</v>
      </c>
      <c r="Y907" s="77" t="s">
        <v>2041</v>
      </c>
      <c r="Z907" s="77"/>
      <c r="AA907" s="77"/>
      <c r="AB907" s="77"/>
      <c r="AC907" s="81" t="s">
        <v>2744</v>
      </c>
      <c r="AD907" s="77" t="s">
        <v>2751</v>
      </c>
      <c r="AE907" s="80" t="str">
        <f>HYPERLINK("https://twitter.com/inovies/status/459625218185895936")</f>
        <v>https://twitter.com/inovies/status/459625218185895936</v>
      </c>
      <c r="AF907" s="79">
        <v>41754.39543981481</v>
      </c>
      <c r="AG907" s="85">
        <v>41754</v>
      </c>
      <c r="AH907" s="81" t="s">
        <v>3502</v>
      </c>
      <c r="AI907" s="77" t="b">
        <v>0</v>
      </c>
      <c r="AJ907" s="77"/>
      <c r="AK907" s="77"/>
      <c r="AL907" s="77"/>
      <c r="AM907" s="77"/>
      <c r="AN907" s="77"/>
      <c r="AO907" s="77"/>
      <c r="AP907" s="77"/>
      <c r="AQ907" s="77"/>
      <c r="AR907" s="77"/>
      <c r="AS907" s="77"/>
      <c r="AT907" s="77"/>
      <c r="AU907" s="77"/>
      <c r="AV907" s="80" t="str">
        <f>HYPERLINK("https://pbs.twimg.com/profile_images/833576943677214720/5ZyUgpEJ_normal.jpg")</f>
        <v>https://pbs.twimg.com/profile_images/833576943677214720/5ZyUgpEJ_normal.jpg</v>
      </c>
      <c r="AW907" s="81" t="s">
        <v>5252</v>
      </c>
      <c r="AX907" s="81" t="s">
        <v>5252</v>
      </c>
      <c r="AY907" s="77"/>
      <c r="AZ907" s="81" t="s">
        <v>5773</v>
      </c>
      <c r="BA907" s="81" t="s">
        <v>5773</v>
      </c>
      <c r="BB907" s="81" t="s">
        <v>5773</v>
      </c>
      <c r="BC907" s="81" t="s">
        <v>5252</v>
      </c>
      <c r="BD907" s="77">
        <v>297885438</v>
      </c>
      <c r="BE907" s="77"/>
      <c r="BF907" s="77"/>
      <c r="BG907" s="77"/>
      <c r="BH907" s="77"/>
      <c r="BI907" s="77"/>
    </row>
    <row r="908" spans="1:61" ht="15">
      <c r="A908" s="62" t="s">
        <v>299</v>
      </c>
      <c r="B908" s="62" t="s">
        <v>299</v>
      </c>
      <c r="C908" s="63"/>
      <c r="D908" s="64"/>
      <c r="E908" s="65"/>
      <c r="F908" s="66"/>
      <c r="G908" s="63"/>
      <c r="H908" s="67"/>
      <c r="I908" s="68"/>
      <c r="J908" s="68"/>
      <c r="K908" s="32" t="s">
        <v>65</v>
      </c>
      <c r="L908" s="75">
        <v>908</v>
      </c>
      <c r="M908" s="75"/>
      <c r="N908" s="70"/>
      <c r="O908" s="77" t="s">
        <v>179</v>
      </c>
      <c r="P908" s="79">
        <v>41752.389861111114</v>
      </c>
      <c r="Q908" s="80" t="str">
        <f>HYPERLINK("https://t.co/C2hoHrpRgT")</f>
        <v>https://t.co/C2hoHrpRgT</v>
      </c>
      <c r="R908" s="77">
        <v>0</v>
      </c>
      <c r="S908" s="77">
        <v>1</v>
      </c>
      <c r="T908" s="77">
        <v>0</v>
      </c>
      <c r="U908" s="77">
        <v>0</v>
      </c>
      <c r="V908" s="77"/>
      <c r="W908" s="77"/>
      <c r="X908" s="80" t="str">
        <f>HYPERLINK("https://www.youtube.com/watch?v=rjLX4XQaqrY")</f>
        <v>https://www.youtube.com/watch?v=rjLX4XQaqrY</v>
      </c>
      <c r="Y908" s="77" t="s">
        <v>2050</v>
      </c>
      <c r="Z908" s="77"/>
      <c r="AA908" s="77"/>
      <c r="AB908" s="77"/>
      <c r="AC908" s="81" t="s">
        <v>2705</v>
      </c>
      <c r="AD908" s="77" t="s">
        <v>2756</v>
      </c>
      <c r="AE908" s="80" t="str">
        <f>HYPERLINK("https://twitter.com/inovies/status/458898423077691392")</f>
        <v>https://twitter.com/inovies/status/458898423077691392</v>
      </c>
      <c r="AF908" s="79">
        <v>41752.389861111114</v>
      </c>
      <c r="AG908" s="85">
        <v>41752</v>
      </c>
      <c r="AH908" s="81" t="s">
        <v>3503</v>
      </c>
      <c r="AI908" s="77" t="b">
        <v>0</v>
      </c>
      <c r="AJ908" s="77"/>
      <c r="AK908" s="77"/>
      <c r="AL908" s="77"/>
      <c r="AM908" s="77"/>
      <c r="AN908" s="77"/>
      <c r="AO908" s="77"/>
      <c r="AP908" s="77"/>
      <c r="AQ908" s="77"/>
      <c r="AR908" s="77"/>
      <c r="AS908" s="77"/>
      <c r="AT908" s="77"/>
      <c r="AU908" s="77"/>
      <c r="AV908" s="80" t="str">
        <f>HYPERLINK("https://pbs.twimg.com/profile_images/833576943677214720/5ZyUgpEJ_normal.jpg")</f>
        <v>https://pbs.twimg.com/profile_images/833576943677214720/5ZyUgpEJ_normal.jpg</v>
      </c>
      <c r="AW908" s="81" t="s">
        <v>5253</v>
      </c>
      <c r="AX908" s="81" t="s">
        <v>5253</v>
      </c>
      <c r="AY908" s="77"/>
      <c r="AZ908" s="81" t="s">
        <v>5773</v>
      </c>
      <c r="BA908" s="81" t="s">
        <v>5773</v>
      </c>
      <c r="BB908" s="81" t="s">
        <v>5773</v>
      </c>
      <c r="BC908" s="81" t="s">
        <v>5253</v>
      </c>
      <c r="BD908" s="77">
        <v>297885438</v>
      </c>
      <c r="BE908" s="77"/>
      <c r="BF908" s="77"/>
      <c r="BG908" s="77"/>
      <c r="BH908" s="77"/>
      <c r="BI908" s="77"/>
    </row>
    <row r="909" spans="1:61" ht="15">
      <c r="A909" s="62" t="s">
        <v>299</v>
      </c>
      <c r="B909" s="62" t="s">
        <v>299</v>
      </c>
      <c r="C909" s="63"/>
      <c r="D909" s="64"/>
      <c r="E909" s="65"/>
      <c r="F909" s="66"/>
      <c r="G909" s="63"/>
      <c r="H909" s="67"/>
      <c r="I909" s="68"/>
      <c r="J909" s="68"/>
      <c r="K909" s="32" t="s">
        <v>65</v>
      </c>
      <c r="L909" s="75">
        <v>909</v>
      </c>
      <c r="M909" s="75"/>
      <c r="N909" s="70"/>
      <c r="O909" s="77" t="s">
        <v>179</v>
      </c>
      <c r="P909" s="79">
        <v>41752.389340277776</v>
      </c>
      <c r="Q909" s="80" t="str">
        <f>HYPERLINK("https://t.co/wXG8TA7cfz")</f>
        <v>https://t.co/wXG8TA7cfz</v>
      </c>
      <c r="R909" s="77">
        <v>0</v>
      </c>
      <c r="S909" s="77">
        <v>1</v>
      </c>
      <c r="T909" s="77">
        <v>0</v>
      </c>
      <c r="U909" s="77">
        <v>0</v>
      </c>
      <c r="V909" s="77"/>
      <c r="W909" s="77"/>
      <c r="X909" s="80" t="str">
        <f>HYPERLINK("https://www.youtube.com/watch?v=uRpAPP3is0I")</f>
        <v>https://www.youtube.com/watch?v=uRpAPP3is0I</v>
      </c>
      <c r="Y909" s="77" t="s">
        <v>2050</v>
      </c>
      <c r="Z909" s="77"/>
      <c r="AA909" s="77"/>
      <c r="AB909" s="77"/>
      <c r="AC909" s="81" t="s">
        <v>2705</v>
      </c>
      <c r="AD909" s="77" t="s">
        <v>2756</v>
      </c>
      <c r="AE909" s="80" t="str">
        <f>HYPERLINK("https://twitter.com/inovies/status/458898233985884161")</f>
        <v>https://twitter.com/inovies/status/458898233985884161</v>
      </c>
      <c r="AF909" s="79">
        <v>41752.389340277776</v>
      </c>
      <c r="AG909" s="85">
        <v>41752</v>
      </c>
      <c r="AH909" s="81" t="s">
        <v>3504</v>
      </c>
      <c r="AI909" s="77" t="b">
        <v>0</v>
      </c>
      <c r="AJ909" s="77"/>
      <c r="AK909" s="77"/>
      <c r="AL909" s="77"/>
      <c r="AM909" s="77"/>
      <c r="AN909" s="77"/>
      <c r="AO909" s="77"/>
      <c r="AP909" s="77"/>
      <c r="AQ909" s="77"/>
      <c r="AR909" s="77"/>
      <c r="AS909" s="77"/>
      <c r="AT909" s="77"/>
      <c r="AU909" s="77"/>
      <c r="AV909" s="80" t="str">
        <f>HYPERLINK("https://pbs.twimg.com/profile_images/833576943677214720/5ZyUgpEJ_normal.jpg")</f>
        <v>https://pbs.twimg.com/profile_images/833576943677214720/5ZyUgpEJ_normal.jpg</v>
      </c>
      <c r="AW909" s="81" t="s">
        <v>5254</v>
      </c>
      <c r="AX909" s="81" t="s">
        <v>5254</v>
      </c>
      <c r="AY909" s="77"/>
      <c r="AZ909" s="81" t="s">
        <v>5773</v>
      </c>
      <c r="BA909" s="81" t="s">
        <v>5773</v>
      </c>
      <c r="BB909" s="81" t="s">
        <v>5773</v>
      </c>
      <c r="BC909" s="81" t="s">
        <v>5254</v>
      </c>
      <c r="BD909" s="77">
        <v>297885438</v>
      </c>
      <c r="BE909" s="77"/>
      <c r="BF909" s="77"/>
      <c r="BG909" s="77"/>
      <c r="BH909" s="77"/>
      <c r="BI909" s="77"/>
    </row>
    <row r="910" spans="1:61" ht="15">
      <c r="A910" s="62" t="s">
        <v>299</v>
      </c>
      <c r="B910" s="62" t="s">
        <v>299</v>
      </c>
      <c r="C910" s="63"/>
      <c r="D910" s="64"/>
      <c r="E910" s="65"/>
      <c r="F910" s="66"/>
      <c r="G910" s="63"/>
      <c r="H910" s="67"/>
      <c r="I910" s="68"/>
      <c r="J910" s="68"/>
      <c r="K910" s="32" t="s">
        <v>65</v>
      </c>
      <c r="L910" s="75">
        <v>910</v>
      </c>
      <c r="M910" s="75"/>
      <c r="N910" s="70"/>
      <c r="O910" s="77" t="s">
        <v>179</v>
      </c>
      <c r="P910" s="79">
        <v>41747.309849537036</v>
      </c>
      <c r="Q910" s="77" t="s">
        <v>1297</v>
      </c>
      <c r="R910" s="77">
        <v>0</v>
      </c>
      <c r="S910" s="77">
        <v>1</v>
      </c>
      <c r="T910" s="77">
        <v>0</v>
      </c>
      <c r="U910" s="77">
        <v>0</v>
      </c>
      <c r="V910" s="77"/>
      <c r="W910" s="77"/>
      <c r="X910" s="80" t="str">
        <f>HYPERLINK("http://ow.ly/2FN5LF")</f>
        <v>http://ow.ly/2FN5LF</v>
      </c>
      <c r="Y910" s="77" t="s">
        <v>2041</v>
      </c>
      <c r="Z910" s="77"/>
      <c r="AA910" s="77"/>
      <c r="AB910" s="77"/>
      <c r="AC910" s="81" t="s">
        <v>2744</v>
      </c>
      <c r="AD910" s="77" t="s">
        <v>2751</v>
      </c>
      <c r="AE910" s="80" t="str">
        <f>HYPERLINK("https://twitter.com/inovies/status/457057486269587456")</f>
        <v>https://twitter.com/inovies/status/457057486269587456</v>
      </c>
      <c r="AF910" s="79">
        <v>41747.309849537036</v>
      </c>
      <c r="AG910" s="85">
        <v>41747</v>
      </c>
      <c r="AH910" s="81" t="s">
        <v>3505</v>
      </c>
      <c r="AI910" s="77" t="b">
        <v>0</v>
      </c>
      <c r="AJ910" s="77"/>
      <c r="AK910" s="77"/>
      <c r="AL910" s="77"/>
      <c r="AM910" s="77"/>
      <c r="AN910" s="77"/>
      <c r="AO910" s="77"/>
      <c r="AP910" s="77"/>
      <c r="AQ910" s="77"/>
      <c r="AR910" s="77"/>
      <c r="AS910" s="77"/>
      <c r="AT910" s="77"/>
      <c r="AU910" s="77"/>
      <c r="AV910" s="80" t="str">
        <f>HYPERLINK("https://pbs.twimg.com/profile_images/833576943677214720/5ZyUgpEJ_normal.jpg")</f>
        <v>https://pbs.twimg.com/profile_images/833576943677214720/5ZyUgpEJ_normal.jpg</v>
      </c>
      <c r="AW910" s="81" t="s">
        <v>5255</v>
      </c>
      <c r="AX910" s="81" t="s">
        <v>5255</v>
      </c>
      <c r="AY910" s="77"/>
      <c r="AZ910" s="81" t="s">
        <v>5773</v>
      </c>
      <c r="BA910" s="81" t="s">
        <v>5773</v>
      </c>
      <c r="BB910" s="81" t="s">
        <v>5773</v>
      </c>
      <c r="BC910" s="81" t="s">
        <v>5255</v>
      </c>
      <c r="BD910" s="77">
        <v>297885438</v>
      </c>
      <c r="BE910" s="77"/>
      <c r="BF910" s="77"/>
      <c r="BG910" s="77"/>
      <c r="BH910" s="77"/>
      <c r="BI910" s="77"/>
    </row>
    <row r="911" spans="1:61" ht="15">
      <c r="A911" s="62" t="s">
        <v>299</v>
      </c>
      <c r="B911" s="62" t="s">
        <v>299</v>
      </c>
      <c r="C911" s="63"/>
      <c r="D911" s="64"/>
      <c r="E911" s="65"/>
      <c r="F911" s="66"/>
      <c r="G911" s="63"/>
      <c r="H911" s="67"/>
      <c r="I911" s="68"/>
      <c r="J911" s="68"/>
      <c r="K911" s="32" t="s">
        <v>65</v>
      </c>
      <c r="L911" s="75">
        <v>911</v>
      </c>
      <c r="M911" s="75"/>
      <c r="N911" s="70"/>
      <c r="O911" s="77" t="s">
        <v>179</v>
      </c>
      <c r="P911" s="79">
        <v>41746.27079861111</v>
      </c>
      <c r="Q911" s="77" t="s">
        <v>1298</v>
      </c>
      <c r="R911" s="77">
        <v>0</v>
      </c>
      <c r="S911" s="77">
        <v>1</v>
      </c>
      <c r="T911" s="77">
        <v>0</v>
      </c>
      <c r="U911" s="77">
        <v>0</v>
      </c>
      <c r="V911" s="77"/>
      <c r="W911" s="77"/>
      <c r="X911" s="80" t="str">
        <f>HYPERLINK("http://ow.ly/2FKuAt")</f>
        <v>http://ow.ly/2FKuAt</v>
      </c>
      <c r="Y911" s="77" t="s">
        <v>2041</v>
      </c>
      <c r="Z911" s="77"/>
      <c r="AA911" s="77"/>
      <c r="AB911" s="77"/>
      <c r="AC911" s="81" t="s">
        <v>2744</v>
      </c>
      <c r="AD911" s="77" t="s">
        <v>2751</v>
      </c>
      <c r="AE911" s="80" t="str">
        <f>HYPERLINK("https://twitter.com/inovies/status/456680947824345088")</f>
        <v>https://twitter.com/inovies/status/456680947824345088</v>
      </c>
      <c r="AF911" s="79">
        <v>41746.27079861111</v>
      </c>
      <c r="AG911" s="85">
        <v>41746</v>
      </c>
      <c r="AH911" s="81" t="s">
        <v>3506</v>
      </c>
      <c r="AI911" s="77" t="b">
        <v>0</v>
      </c>
      <c r="AJ911" s="77"/>
      <c r="AK911" s="77"/>
      <c r="AL911" s="77"/>
      <c r="AM911" s="77"/>
      <c r="AN911" s="77"/>
      <c r="AO911" s="77"/>
      <c r="AP911" s="77"/>
      <c r="AQ911" s="77"/>
      <c r="AR911" s="77"/>
      <c r="AS911" s="77"/>
      <c r="AT911" s="77"/>
      <c r="AU911" s="77"/>
      <c r="AV911" s="80" t="str">
        <f>HYPERLINK("https://pbs.twimg.com/profile_images/833576943677214720/5ZyUgpEJ_normal.jpg")</f>
        <v>https://pbs.twimg.com/profile_images/833576943677214720/5ZyUgpEJ_normal.jpg</v>
      </c>
      <c r="AW911" s="81" t="s">
        <v>5256</v>
      </c>
      <c r="AX911" s="81" t="s">
        <v>5256</v>
      </c>
      <c r="AY911" s="77"/>
      <c r="AZ911" s="81" t="s">
        <v>5773</v>
      </c>
      <c r="BA911" s="81" t="s">
        <v>5773</v>
      </c>
      <c r="BB911" s="81" t="s">
        <v>5773</v>
      </c>
      <c r="BC911" s="81" t="s">
        <v>5256</v>
      </c>
      <c r="BD911" s="77">
        <v>297885438</v>
      </c>
      <c r="BE911" s="77"/>
      <c r="BF911" s="77"/>
      <c r="BG911" s="77"/>
      <c r="BH911" s="77"/>
      <c r="BI911" s="77"/>
    </row>
    <row r="912" spans="1:61" ht="15">
      <c r="A912" s="62" t="s">
        <v>299</v>
      </c>
      <c r="B912" s="62" t="s">
        <v>299</v>
      </c>
      <c r="C912" s="63"/>
      <c r="D912" s="64"/>
      <c r="E912" s="65"/>
      <c r="F912" s="66"/>
      <c r="G912" s="63"/>
      <c r="H912" s="67"/>
      <c r="I912" s="68"/>
      <c r="J912" s="68"/>
      <c r="K912" s="32" t="s">
        <v>65</v>
      </c>
      <c r="L912" s="75">
        <v>912</v>
      </c>
      <c r="M912" s="75"/>
      <c r="N912" s="70"/>
      <c r="O912" s="77" t="s">
        <v>179</v>
      </c>
      <c r="P912" s="79">
        <v>41745.3103587963</v>
      </c>
      <c r="Q912" s="77" t="s">
        <v>1299</v>
      </c>
      <c r="R912" s="77">
        <v>0</v>
      </c>
      <c r="S912" s="77">
        <v>1</v>
      </c>
      <c r="T912" s="77">
        <v>0</v>
      </c>
      <c r="U912" s="77">
        <v>0</v>
      </c>
      <c r="V912" s="77"/>
      <c r="W912" s="77"/>
      <c r="X912" s="80" t="str">
        <f>HYPERLINK("http://ow.ly/2FIg5S")</f>
        <v>http://ow.ly/2FIg5S</v>
      </c>
      <c r="Y912" s="77" t="s">
        <v>2041</v>
      </c>
      <c r="Z912" s="77"/>
      <c r="AA912" s="77"/>
      <c r="AB912" s="77"/>
      <c r="AC912" s="81" t="s">
        <v>2744</v>
      </c>
      <c r="AD912" s="77" t="s">
        <v>2751</v>
      </c>
      <c r="AE912" s="80" t="str">
        <f>HYPERLINK("https://twitter.com/inovies/status/456332895641030657")</f>
        <v>https://twitter.com/inovies/status/456332895641030657</v>
      </c>
      <c r="AF912" s="79">
        <v>41745.3103587963</v>
      </c>
      <c r="AG912" s="85">
        <v>41745</v>
      </c>
      <c r="AH912" s="81" t="s">
        <v>3507</v>
      </c>
      <c r="AI912" s="77" t="b">
        <v>0</v>
      </c>
      <c r="AJ912" s="77"/>
      <c r="AK912" s="77"/>
      <c r="AL912" s="77"/>
      <c r="AM912" s="77"/>
      <c r="AN912" s="77"/>
      <c r="AO912" s="77"/>
      <c r="AP912" s="77"/>
      <c r="AQ912" s="77"/>
      <c r="AR912" s="77"/>
      <c r="AS912" s="77"/>
      <c r="AT912" s="77"/>
      <c r="AU912" s="77"/>
      <c r="AV912" s="80" t="str">
        <f>HYPERLINK("https://pbs.twimg.com/profile_images/833576943677214720/5ZyUgpEJ_normal.jpg")</f>
        <v>https://pbs.twimg.com/profile_images/833576943677214720/5ZyUgpEJ_normal.jpg</v>
      </c>
      <c r="AW912" s="81" t="s">
        <v>5257</v>
      </c>
      <c r="AX912" s="81" t="s">
        <v>5257</v>
      </c>
      <c r="AY912" s="77"/>
      <c r="AZ912" s="81" t="s">
        <v>5773</v>
      </c>
      <c r="BA912" s="81" t="s">
        <v>5773</v>
      </c>
      <c r="BB912" s="81" t="s">
        <v>5773</v>
      </c>
      <c r="BC912" s="81" t="s">
        <v>5257</v>
      </c>
      <c r="BD912" s="77">
        <v>297885438</v>
      </c>
      <c r="BE912" s="77"/>
      <c r="BF912" s="77"/>
      <c r="BG912" s="77"/>
      <c r="BH912" s="77"/>
      <c r="BI912" s="77"/>
    </row>
    <row r="913" spans="1:61" ht="15">
      <c r="A913" s="62" t="s">
        <v>299</v>
      </c>
      <c r="B913" s="62" t="s">
        <v>299</v>
      </c>
      <c r="C913" s="63"/>
      <c r="D913" s="64"/>
      <c r="E913" s="65"/>
      <c r="F913" s="66"/>
      <c r="G913" s="63"/>
      <c r="H913" s="67"/>
      <c r="I913" s="68"/>
      <c r="J913" s="68"/>
      <c r="K913" s="32" t="s">
        <v>65</v>
      </c>
      <c r="L913" s="75">
        <v>913</v>
      </c>
      <c r="M913" s="75"/>
      <c r="N913" s="70"/>
      <c r="O913" s="77" t="s">
        <v>179</v>
      </c>
      <c r="P913" s="79">
        <v>41744.3103125</v>
      </c>
      <c r="Q913" s="77" t="s">
        <v>1300</v>
      </c>
      <c r="R913" s="77">
        <v>0</v>
      </c>
      <c r="S913" s="77">
        <v>1</v>
      </c>
      <c r="T913" s="77">
        <v>0</v>
      </c>
      <c r="U913" s="77">
        <v>0</v>
      </c>
      <c r="V913" s="77"/>
      <c r="W913" s="77"/>
      <c r="X913" s="80" t="str">
        <f>HYPERLINK("http://ow.ly/2FG9KC")</f>
        <v>http://ow.ly/2FG9KC</v>
      </c>
      <c r="Y913" s="77" t="s">
        <v>2041</v>
      </c>
      <c r="Z913" s="77"/>
      <c r="AA913" s="77"/>
      <c r="AB913" s="77"/>
      <c r="AC913" s="81" t="s">
        <v>2744</v>
      </c>
      <c r="AD913" s="77" t="s">
        <v>2751</v>
      </c>
      <c r="AE913" s="80" t="str">
        <f>HYPERLINK("https://twitter.com/inovies/status/455970490994425856")</f>
        <v>https://twitter.com/inovies/status/455970490994425856</v>
      </c>
      <c r="AF913" s="79">
        <v>41744.3103125</v>
      </c>
      <c r="AG913" s="85">
        <v>41744</v>
      </c>
      <c r="AH913" s="81" t="s">
        <v>3508</v>
      </c>
      <c r="AI913" s="77" t="b">
        <v>0</v>
      </c>
      <c r="AJ913" s="77"/>
      <c r="AK913" s="77"/>
      <c r="AL913" s="77"/>
      <c r="AM913" s="77"/>
      <c r="AN913" s="77"/>
      <c r="AO913" s="77"/>
      <c r="AP913" s="77"/>
      <c r="AQ913" s="77"/>
      <c r="AR913" s="77"/>
      <c r="AS913" s="77"/>
      <c r="AT913" s="77"/>
      <c r="AU913" s="77"/>
      <c r="AV913" s="80" t="str">
        <f>HYPERLINK("https://pbs.twimg.com/profile_images/833576943677214720/5ZyUgpEJ_normal.jpg")</f>
        <v>https://pbs.twimg.com/profile_images/833576943677214720/5ZyUgpEJ_normal.jpg</v>
      </c>
      <c r="AW913" s="81" t="s">
        <v>5258</v>
      </c>
      <c r="AX913" s="81" t="s">
        <v>5258</v>
      </c>
      <c r="AY913" s="77"/>
      <c r="AZ913" s="81" t="s">
        <v>5773</v>
      </c>
      <c r="BA913" s="81" t="s">
        <v>5773</v>
      </c>
      <c r="BB913" s="81" t="s">
        <v>5773</v>
      </c>
      <c r="BC913" s="81" t="s">
        <v>5258</v>
      </c>
      <c r="BD913" s="77">
        <v>297885438</v>
      </c>
      <c r="BE913" s="77"/>
      <c r="BF913" s="77"/>
      <c r="BG913" s="77"/>
      <c r="BH913" s="77"/>
      <c r="BI913" s="77"/>
    </row>
    <row r="914" spans="1:61" ht="15">
      <c r="A914" s="62" t="s">
        <v>299</v>
      </c>
      <c r="B914" s="62" t="s">
        <v>299</v>
      </c>
      <c r="C914" s="63"/>
      <c r="D914" s="64"/>
      <c r="E914" s="65"/>
      <c r="F914" s="66"/>
      <c r="G914" s="63"/>
      <c r="H914" s="67"/>
      <c r="I914" s="68"/>
      <c r="J914" s="68"/>
      <c r="K914" s="32" t="s">
        <v>65</v>
      </c>
      <c r="L914" s="75">
        <v>914</v>
      </c>
      <c r="M914" s="75"/>
      <c r="N914" s="70"/>
      <c r="O914" s="77" t="s">
        <v>571</v>
      </c>
      <c r="P914" s="79">
        <v>41744.29362268518</v>
      </c>
      <c r="Q914" s="77" t="s">
        <v>1301</v>
      </c>
      <c r="R914" s="77">
        <v>0</v>
      </c>
      <c r="S914" s="77">
        <v>1</v>
      </c>
      <c r="T914" s="77">
        <v>0</v>
      </c>
      <c r="U914" s="77">
        <v>0</v>
      </c>
      <c r="V914" s="77"/>
      <c r="W914" s="77"/>
      <c r="X914" s="80" t="str">
        <f>HYPERLINK("http://www.inovies.com/how-often-you-post-on-social-media-networks-66-inovies.html")</f>
        <v>http://www.inovies.com/how-often-you-post-on-social-media-networks-66-inovies.html</v>
      </c>
      <c r="Y914" s="77" t="s">
        <v>1982</v>
      </c>
      <c r="Z914" s="77" t="s">
        <v>299</v>
      </c>
      <c r="AA914" s="77"/>
      <c r="AB914" s="77"/>
      <c r="AC914" s="81" t="s">
        <v>2712</v>
      </c>
      <c r="AD914" s="77" t="s">
        <v>2751</v>
      </c>
      <c r="AE914" s="80" t="str">
        <f>HYPERLINK("https://twitter.com/inovies/status/455964443738796032")</f>
        <v>https://twitter.com/inovies/status/455964443738796032</v>
      </c>
      <c r="AF914" s="79">
        <v>41744.29362268518</v>
      </c>
      <c r="AG914" s="85">
        <v>41744</v>
      </c>
      <c r="AH914" s="81" t="s">
        <v>3509</v>
      </c>
      <c r="AI914" s="77" t="b">
        <v>0</v>
      </c>
      <c r="AJ914" s="77"/>
      <c r="AK914" s="77"/>
      <c r="AL914" s="77"/>
      <c r="AM914" s="77"/>
      <c r="AN914" s="77"/>
      <c r="AO914" s="77"/>
      <c r="AP914" s="77"/>
      <c r="AQ914" s="77"/>
      <c r="AR914" s="77"/>
      <c r="AS914" s="77"/>
      <c r="AT914" s="77"/>
      <c r="AU914" s="77"/>
      <c r="AV914" s="80" t="str">
        <f>HYPERLINK("https://pbs.twimg.com/profile_images/833576943677214720/5ZyUgpEJ_normal.jpg")</f>
        <v>https://pbs.twimg.com/profile_images/833576943677214720/5ZyUgpEJ_normal.jpg</v>
      </c>
      <c r="AW914" s="81" t="s">
        <v>5259</v>
      </c>
      <c r="AX914" s="81" t="s">
        <v>5259</v>
      </c>
      <c r="AY914" s="77"/>
      <c r="AZ914" s="81" t="s">
        <v>5773</v>
      </c>
      <c r="BA914" s="81" t="s">
        <v>5773</v>
      </c>
      <c r="BB914" s="81" t="s">
        <v>5773</v>
      </c>
      <c r="BC914" s="81" t="s">
        <v>5259</v>
      </c>
      <c r="BD914" s="77">
        <v>297885438</v>
      </c>
      <c r="BE914" s="77"/>
      <c r="BF914" s="77"/>
      <c r="BG914" s="77"/>
      <c r="BH914" s="77"/>
      <c r="BI914" s="77"/>
    </row>
    <row r="915" spans="1:61" ht="15">
      <c r="A915" s="62" t="s">
        <v>299</v>
      </c>
      <c r="B915" s="62" t="s">
        <v>299</v>
      </c>
      <c r="C915" s="63"/>
      <c r="D915" s="64"/>
      <c r="E915" s="65"/>
      <c r="F915" s="66"/>
      <c r="G915" s="63"/>
      <c r="H915" s="67"/>
      <c r="I915" s="68"/>
      <c r="J915" s="68"/>
      <c r="K915" s="32" t="s">
        <v>65</v>
      </c>
      <c r="L915" s="75">
        <v>915</v>
      </c>
      <c r="M915" s="75"/>
      <c r="N915" s="70"/>
      <c r="O915" s="77" t="s">
        <v>179</v>
      </c>
      <c r="P915" s="79">
        <v>45281.80128472222</v>
      </c>
      <c r="Q915" s="77" t="s">
        <v>1302</v>
      </c>
      <c r="R915" s="77">
        <v>0</v>
      </c>
      <c r="S915" s="77">
        <v>0</v>
      </c>
      <c r="T915" s="77">
        <v>0</v>
      </c>
      <c r="U915" s="77">
        <v>0</v>
      </c>
      <c r="V915" s="77">
        <v>7</v>
      </c>
      <c r="W915" s="81" t="s">
        <v>1890</v>
      </c>
      <c r="X915" s="77"/>
      <c r="Y915" s="77"/>
      <c r="Z915" s="77"/>
      <c r="AA915" s="77" t="s">
        <v>2436</v>
      </c>
      <c r="AB915" s="77" t="s">
        <v>2696</v>
      </c>
      <c r="AC915" s="81" t="s">
        <v>2707</v>
      </c>
      <c r="AD915" s="77" t="s">
        <v>2751</v>
      </c>
      <c r="AE915" s="80" t="str">
        <f>HYPERLINK("https://twitter.com/inovies/status/1737914296850420189")</f>
        <v>https://twitter.com/inovies/status/1737914296850420189</v>
      </c>
      <c r="AF915" s="79">
        <v>45281.80128472222</v>
      </c>
      <c r="AG915" s="85">
        <v>45281</v>
      </c>
      <c r="AH915" s="81" t="s">
        <v>3510</v>
      </c>
      <c r="AI915" s="77" t="b">
        <v>0</v>
      </c>
      <c r="AJ915" s="77"/>
      <c r="AK915" s="77"/>
      <c r="AL915" s="77"/>
      <c r="AM915" s="77"/>
      <c r="AN915" s="77"/>
      <c r="AO915" s="77"/>
      <c r="AP915" s="77"/>
      <c r="AQ915" s="77" t="s">
        <v>4250</v>
      </c>
      <c r="AR915" s="77"/>
      <c r="AS915" s="77"/>
      <c r="AT915" s="77"/>
      <c r="AU915" s="77"/>
      <c r="AV915" s="80" t="str">
        <f>HYPERLINK("https://pbs.twimg.com/media/GB5PjRFW8AAPKR_.jpg")</f>
        <v>https://pbs.twimg.com/media/GB5PjRFW8AAPKR_.jpg</v>
      </c>
      <c r="AW915" s="81" t="s">
        <v>5260</v>
      </c>
      <c r="AX915" s="81" t="s">
        <v>5260</v>
      </c>
      <c r="AY915" s="77"/>
      <c r="AZ915" s="81" t="s">
        <v>5773</v>
      </c>
      <c r="BA915" s="81" t="s">
        <v>5773</v>
      </c>
      <c r="BB915" s="81" t="s">
        <v>5773</v>
      </c>
      <c r="BC915" s="81" t="s">
        <v>5260</v>
      </c>
      <c r="BD915" s="77">
        <v>297885438</v>
      </c>
      <c r="BE915" s="77"/>
      <c r="BF915" s="77"/>
      <c r="BG915" s="77"/>
      <c r="BH915" s="77"/>
      <c r="BI915" s="77"/>
    </row>
    <row r="916" spans="1:61" ht="15">
      <c r="A916" s="62" t="s">
        <v>299</v>
      </c>
      <c r="B916" s="62" t="s">
        <v>299</v>
      </c>
      <c r="C916" s="63"/>
      <c r="D916" s="64"/>
      <c r="E916" s="65"/>
      <c r="F916" s="66"/>
      <c r="G916" s="63"/>
      <c r="H916" s="67"/>
      <c r="I916" s="68"/>
      <c r="J916" s="68"/>
      <c r="K916" s="32" t="s">
        <v>65</v>
      </c>
      <c r="L916" s="75">
        <v>916</v>
      </c>
      <c r="M916" s="75"/>
      <c r="N916" s="70"/>
      <c r="O916" s="77" t="s">
        <v>179</v>
      </c>
      <c r="P916" s="79">
        <v>45278.95931712963</v>
      </c>
      <c r="Q916" s="77" t="s">
        <v>1303</v>
      </c>
      <c r="R916" s="77">
        <v>0</v>
      </c>
      <c r="S916" s="77">
        <v>0</v>
      </c>
      <c r="T916" s="77">
        <v>0</v>
      </c>
      <c r="U916" s="77">
        <v>0</v>
      </c>
      <c r="V916" s="77">
        <v>559</v>
      </c>
      <c r="W916" s="81" t="s">
        <v>1891</v>
      </c>
      <c r="X916" s="77"/>
      <c r="Y916" s="77"/>
      <c r="Z916" s="77"/>
      <c r="AA916" s="77" t="s">
        <v>2437</v>
      </c>
      <c r="AB916" s="77" t="s">
        <v>2695</v>
      </c>
      <c r="AC916" s="81" t="s">
        <v>2707</v>
      </c>
      <c r="AD916" s="77" t="s">
        <v>2751</v>
      </c>
      <c r="AE916" s="80" t="str">
        <f>HYPERLINK("https://twitter.com/inovies/status/1736884399222735347")</f>
        <v>https://twitter.com/inovies/status/1736884399222735347</v>
      </c>
      <c r="AF916" s="79">
        <v>45278.95931712963</v>
      </c>
      <c r="AG916" s="85">
        <v>45278</v>
      </c>
      <c r="AH916" s="81" t="s">
        <v>3511</v>
      </c>
      <c r="AI916" s="77" t="b">
        <v>0</v>
      </c>
      <c r="AJ916" s="77"/>
      <c r="AK916" s="77"/>
      <c r="AL916" s="77"/>
      <c r="AM916" s="77"/>
      <c r="AN916" s="77"/>
      <c r="AO916" s="77"/>
      <c r="AP916" s="77"/>
      <c r="AQ916" s="77" t="s">
        <v>4251</v>
      </c>
      <c r="AR916" s="77">
        <v>560</v>
      </c>
      <c r="AS916" s="77"/>
      <c r="AT916" s="77"/>
      <c r="AU916" s="77"/>
      <c r="AV916" s="80" t="str">
        <f>HYPERLINK("https://pbs.twimg.com/ext_tw_video_thumb/1736883514581131264/pu/img/YzejkCvFsb1uURMc.jpg")</f>
        <v>https://pbs.twimg.com/ext_tw_video_thumb/1736883514581131264/pu/img/YzejkCvFsb1uURMc.jpg</v>
      </c>
      <c r="AW916" s="81" t="s">
        <v>5261</v>
      </c>
      <c r="AX916" s="81" t="s">
        <v>5261</v>
      </c>
      <c r="AY916" s="77"/>
      <c r="AZ916" s="81" t="s">
        <v>5773</v>
      </c>
      <c r="BA916" s="81" t="s">
        <v>5773</v>
      </c>
      <c r="BB916" s="81" t="s">
        <v>5773</v>
      </c>
      <c r="BC916" s="81" t="s">
        <v>5261</v>
      </c>
      <c r="BD916" s="77">
        <v>297885438</v>
      </c>
      <c r="BE916" s="77"/>
      <c r="BF916" s="77"/>
      <c r="BG916" s="77"/>
      <c r="BH916" s="77"/>
      <c r="BI916" s="77"/>
    </row>
    <row r="917" spans="1:61" ht="15">
      <c r="A917" s="62" t="s">
        <v>299</v>
      </c>
      <c r="B917" s="62" t="s">
        <v>299</v>
      </c>
      <c r="C917" s="63"/>
      <c r="D917" s="64"/>
      <c r="E917" s="65"/>
      <c r="F917" s="66"/>
      <c r="G917" s="63"/>
      <c r="H917" s="67"/>
      <c r="I917" s="68"/>
      <c r="J917" s="68"/>
      <c r="K917" s="32" t="s">
        <v>65</v>
      </c>
      <c r="L917" s="75">
        <v>917</v>
      </c>
      <c r="M917" s="75"/>
      <c r="N917" s="70"/>
      <c r="O917" s="77" t="s">
        <v>179</v>
      </c>
      <c r="P917" s="79">
        <v>45278.776921296296</v>
      </c>
      <c r="Q917" s="77" t="s">
        <v>1304</v>
      </c>
      <c r="R917" s="77">
        <v>0</v>
      </c>
      <c r="S917" s="77">
        <v>0</v>
      </c>
      <c r="T917" s="77">
        <v>0</v>
      </c>
      <c r="U917" s="77">
        <v>0</v>
      </c>
      <c r="V917" s="77">
        <v>217</v>
      </c>
      <c r="W917" s="81" t="s">
        <v>1892</v>
      </c>
      <c r="X917" s="80" t="str">
        <f>HYPERLINK("https://www.inovies.com/digital-marketing/")</f>
        <v>https://www.inovies.com/digital-marketing/</v>
      </c>
      <c r="Y917" s="77" t="s">
        <v>1982</v>
      </c>
      <c r="Z917" s="77"/>
      <c r="AA917" s="77"/>
      <c r="AB917" s="77"/>
      <c r="AC917" s="81" t="s">
        <v>2707</v>
      </c>
      <c r="AD917" s="77" t="s">
        <v>2751</v>
      </c>
      <c r="AE917" s="80" t="str">
        <f>HYPERLINK("https://twitter.com/inovies/status/1736818302503285192")</f>
        <v>https://twitter.com/inovies/status/1736818302503285192</v>
      </c>
      <c r="AF917" s="79">
        <v>45278.776921296296</v>
      </c>
      <c r="AG917" s="85">
        <v>45278</v>
      </c>
      <c r="AH917" s="81" t="s">
        <v>3512</v>
      </c>
      <c r="AI917" s="77" t="b">
        <v>0</v>
      </c>
      <c r="AJ917" s="77"/>
      <c r="AK917" s="77"/>
      <c r="AL917" s="77"/>
      <c r="AM917" s="77"/>
      <c r="AN917" s="77"/>
      <c r="AO917" s="77"/>
      <c r="AP917" s="77"/>
      <c r="AQ917" s="77"/>
      <c r="AR917" s="77"/>
      <c r="AS917" s="77"/>
      <c r="AT917" s="77"/>
      <c r="AU917" s="77"/>
      <c r="AV917" s="80" t="str">
        <f>HYPERLINK("https://pbs.twimg.com/profile_images/833576943677214720/5ZyUgpEJ_normal.jpg")</f>
        <v>https://pbs.twimg.com/profile_images/833576943677214720/5ZyUgpEJ_normal.jpg</v>
      </c>
      <c r="AW917" s="81" t="s">
        <v>5262</v>
      </c>
      <c r="AX917" s="81" t="s">
        <v>5262</v>
      </c>
      <c r="AY917" s="77"/>
      <c r="AZ917" s="81" t="s">
        <v>5773</v>
      </c>
      <c r="BA917" s="81" t="s">
        <v>5773</v>
      </c>
      <c r="BB917" s="81" t="s">
        <v>5773</v>
      </c>
      <c r="BC917" s="81" t="s">
        <v>5262</v>
      </c>
      <c r="BD917" s="77">
        <v>297885438</v>
      </c>
      <c r="BE917" s="77"/>
      <c r="BF917" s="77"/>
      <c r="BG917" s="77"/>
      <c r="BH917" s="77"/>
      <c r="BI917" s="77"/>
    </row>
    <row r="918" spans="1:61" ht="15">
      <c r="A918" s="62" t="s">
        <v>299</v>
      </c>
      <c r="B918" s="62" t="s">
        <v>299</v>
      </c>
      <c r="C918" s="63"/>
      <c r="D918" s="64"/>
      <c r="E918" s="65"/>
      <c r="F918" s="66"/>
      <c r="G918" s="63"/>
      <c r="H918" s="67"/>
      <c r="I918" s="68"/>
      <c r="J918" s="68"/>
      <c r="K918" s="32" t="s">
        <v>65</v>
      </c>
      <c r="L918" s="75">
        <v>918</v>
      </c>
      <c r="M918" s="75"/>
      <c r="N918" s="70"/>
      <c r="O918" s="77" t="s">
        <v>179</v>
      </c>
      <c r="P918" s="79">
        <v>45278.74627314815</v>
      </c>
      <c r="Q918" s="77" t="s">
        <v>1305</v>
      </c>
      <c r="R918" s="77">
        <v>0</v>
      </c>
      <c r="S918" s="77">
        <v>0</v>
      </c>
      <c r="T918" s="77">
        <v>0</v>
      </c>
      <c r="U918" s="77">
        <v>0</v>
      </c>
      <c r="V918" s="77">
        <v>64</v>
      </c>
      <c r="W918" s="81" t="s">
        <v>1893</v>
      </c>
      <c r="X918" s="77"/>
      <c r="Y918" s="77"/>
      <c r="Z918" s="77"/>
      <c r="AA918" s="77" t="s">
        <v>2438</v>
      </c>
      <c r="AB918" s="77" t="s">
        <v>2698</v>
      </c>
      <c r="AC918" s="81" t="s">
        <v>2707</v>
      </c>
      <c r="AD918" s="77" t="s">
        <v>2751</v>
      </c>
      <c r="AE918" s="80" t="str">
        <f>HYPERLINK("https://twitter.com/inovies/status/1736807194648260676")</f>
        <v>https://twitter.com/inovies/status/1736807194648260676</v>
      </c>
      <c r="AF918" s="79">
        <v>45278.74627314815</v>
      </c>
      <c r="AG918" s="85">
        <v>45278</v>
      </c>
      <c r="AH918" s="81" t="s">
        <v>3513</v>
      </c>
      <c r="AI918" s="77" t="b">
        <v>0</v>
      </c>
      <c r="AJ918" s="77"/>
      <c r="AK918" s="77"/>
      <c r="AL918" s="77"/>
      <c r="AM918" s="77"/>
      <c r="AN918" s="77"/>
      <c r="AO918" s="77"/>
      <c r="AP918" s="77"/>
      <c r="AQ918" s="77" t="s">
        <v>4252</v>
      </c>
      <c r="AR918" s="77"/>
      <c r="AS918" s="77"/>
      <c r="AT918" s="77"/>
      <c r="AU918" s="77"/>
      <c r="AV918" s="80" t="str">
        <f>HYPERLINK("https://pbs.twimg.com/tweet_video_thumb/GBpg7qoXIAAm5x8.jpg")</f>
        <v>https://pbs.twimg.com/tweet_video_thumb/GBpg7qoXIAAm5x8.jpg</v>
      </c>
      <c r="AW918" s="81" t="s">
        <v>5263</v>
      </c>
      <c r="AX918" s="81" t="s">
        <v>5263</v>
      </c>
      <c r="AY918" s="77"/>
      <c r="AZ918" s="81" t="s">
        <v>5773</v>
      </c>
      <c r="BA918" s="81" t="s">
        <v>5773</v>
      </c>
      <c r="BB918" s="81" t="s">
        <v>5773</v>
      </c>
      <c r="BC918" s="81" t="s">
        <v>5263</v>
      </c>
      <c r="BD918" s="77">
        <v>297885438</v>
      </c>
      <c r="BE918" s="77"/>
      <c r="BF918" s="77"/>
      <c r="BG918" s="77"/>
      <c r="BH918" s="77"/>
      <c r="BI918" s="77"/>
    </row>
    <row r="919" spans="1:61" ht="15">
      <c r="A919" s="62" t="s">
        <v>299</v>
      </c>
      <c r="B919" s="62" t="s">
        <v>299</v>
      </c>
      <c r="C919" s="63"/>
      <c r="D919" s="64"/>
      <c r="E919" s="65"/>
      <c r="F919" s="66"/>
      <c r="G919" s="63"/>
      <c r="H919" s="67"/>
      <c r="I919" s="68"/>
      <c r="J919" s="68"/>
      <c r="K919" s="32" t="s">
        <v>65</v>
      </c>
      <c r="L919" s="75">
        <v>919</v>
      </c>
      <c r="M919" s="75"/>
      <c r="N919" s="70"/>
      <c r="O919" s="77" t="s">
        <v>179</v>
      </c>
      <c r="P919" s="79">
        <v>45278.02162037037</v>
      </c>
      <c r="Q919" s="77" t="s">
        <v>1306</v>
      </c>
      <c r="R919" s="77">
        <v>2</v>
      </c>
      <c r="S919" s="77">
        <v>3</v>
      </c>
      <c r="T919" s="77">
        <v>1</v>
      </c>
      <c r="U919" s="77">
        <v>0</v>
      </c>
      <c r="V919" s="77">
        <v>339</v>
      </c>
      <c r="W919" s="81" t="s">
        <v>1726</v>
      </c>
      <c r="X919" s="80" t="str">
        <f>HYPERLINK("https://www.inovies.com/digital-marketing/")</f>
        <v>https://www.inovies.com/digital-marketing/</v>
      </c>
      <c r="Y919" s="77" t="s">
        <v>1982</v>
      </c>
      <c r="Z919" s="77"/>
      <c r="AA919" s="77" t="s">
        <v>2439</v>
      </c>
      <c r="AB919" s="77" t="s">
        <v>2696</v>
      </c>
      <c r="AC919" s="81" t="s">
        <v>2707</v>
      </c>
      <c r="AD919" s="77" t="s">
        <v>2751</v>
      </c>
      <c r="AE919" s="80" t="str">
        <f>HYPERLINK("https://twitter.com/inovies/status/1736544590679646710")</f>
        <v>https://twitter.com/inovies/status/1736544590679646710</v>
      </c>
      <c r="AF919" s="79">
        <v>45278.02162037037</v>
      </c>
      <c r="AG919" s="85">
        <v>45278</v>
      </c>
      <c r="AH919" s="81" t="s">
        <v>3514</v>
      </c>
      <c r="AI919" s="77" t="b">
        <v>0</v>
      </c>
      <c r="AJ919" s="77"/>
      <c r="AK919" s="77"/>
      <c r="AL919" s="77"/>
      <c r="AM919" s="77"/>
      <c r="AN919" s="77"/>
      <c r="AO919" s="77"/>
      <c r="AP919" s="77"/>
      <c r="AQ919" s="77" t="s">
        <v>4253</v>
      </c>
      <c r="AR919" s="77"/>
      <c r="AS919" s="77"/>
      <c r="AT919" s="77"/>
      <c r="AU919" s="77"/>
      <c r="AV919" s="80" t="str">
        <f>HYPERLINK("https://pbs.twimg.com/media/GBlxWnfWIAAu4qg.jpg")</f>
        <v>https://pbs.twimg.com/media/GBlxWnfWIAAu4qg.jpg</v>
      </c>
      <c r="AW919" s="81" t="s">
        <v>5264</v>
      </c>
      <c r="AX919" s="81" t="s">
        <v>5264</v>
      </c>
      <c r="AY919" s="77"/>
      <c r="AZ919" s="81" t="s">
        <v>5773</v>
      </c>
      <c r="BA919" s="81" t="s">
        <v>5773</v>
      </c>
      <c r="BB919" s="81" t="s">
        <v>5773</v>
      </c>
      <c r="BC919" s="81" t="s">
        <v>5264</v>
      </c>
      <c r="BD919" s="77">
        <v>297885438</v>
      </c>
      <c r="BE919" s="77"/>
      <c r="BF919" s="77"/>
      <c r="BG919" s="77"/>
      <c r="BH919" s="77"/>
      <c r="BI919" s="77"/>
    </row>
    <row r="920" spans="1:61" ht="15">
      <c r="A920" s="62" t="s">
        <v>299</v>
      </c>
      <c r="B920" s="62" t="s">
        <v>299</v>
      </c>
      <c r="C920" s="63"/>
      <c r="D920" s="64"/>
      <c r="E920" s="65"/>
      <c r="F920" s="66"/>
      <c r="G920" s="63"/>
      <c r="H920" s="67"/>
      <c r="I920" s="68"/>
      <c r="J920" s="68"/>
      <c r="K920" s="32" t="s">
        <v>65</v>
      </c>
      <c r="L920" s="75">
        <v>920</v>
      </c>
      <c r="M920" s="75"/>
      <c r="N920" s="70"/>
      <c r="O920" s="77" t="s">
        <v>179</v>
      </c>
      <c r="P920" s="79">
        <v>45277.99652777778</v>
      </c>
      <c r="Q920" s="77" t="s">
        <v>1307</v>
      </c>
      <c r="R920" s="77">
        <v>1</v>
      </c>
      <c r="S920" s="77">
        <v>1</v>
      </c>
      <c r="T920" s="77">
        <v>1</v>
      </c>
      <c r="U920" s="77">
        <v>0</v>
      </c>
      <c r="V920" s="77">
        <v>1035</v>
      </c>
      <c r="W920" s="81" t="s">
        <v>1804</v>
      </c>
      <c r="X920" s="80" t="str">
        <f>HYPERLINK("https://www.inovies.com/digital-marketing/")</f>
        <v>https://www.inovies.com/digital-marketing/</v>
      </c>
      <c r="Y920" s="77" t="s">
        <v>1982</v>
      </c>
      <c r="Z920" s="77"/>
      <c r="AA920" s="77" t="s">
        <v>2440</v>
      </c>
      <c r="AB920" s="77" t="s">
        <v>2696</v>
      </c>
      <c r="AC920" s="81" t="s">
        <v>2707</v>
      </c>
      <c r="AD920" s="77" t="s">
        <v>2751</v>
      </c>
      <c r="AE920" s="80" t="str">
        <f>HYPERLINK("https://twitter.com/inovies/status/1736535497789333928")</f>
        <v>https://twitter.com/inovies/status/1736535497789333928</v>
      </c>
      <c r="AF920" s="79">
        <v>45277.99652777778</v>
      </c>
      <c r="AG920" s="85">
        <v>45277</v>
      </c>
      <c r="AH920" s="81" t="s">
        <v>3515</v>
      </c>
      <c r="AI920" s="77" t="b">
        <v>0</v>
      </c>
      <c r="AJ920" s="77"/>
      <c r="AK920" s="77"/>
      <c r="AL920" s="77"/>
      <c r="AM920" s="77"/>
      <c r="AN920" s="77"/>
      <c r="AO920" s="77"/>
      <c r="AP920" s="77"/>
      <c r="AQ920" s="77" t="s">
        <v>4254</v>
      </c>
      <c r="AR920" s="77"/>
      <c r="AS920" s="77"/>
      <c r="AT920" s="77"/>
      <c r="AU920" s="77"/>
      <c r="AV920" s="80" t="str">
        <f>HYPERLINK("https://pbs.twimg.com/media/GBlpPWKXQAAKNg5.jpg")</f>
        <v>https://pbs.twimg.com/media/GBlpPWKXQAAKNg5.jpg</v>
      </c>
      <c r="AW920" s="81" t="s">
        <v>5265</v>
      </c>
      <c r="AX920" s="81" t="s">
        <v>5265</v>
      </c>
      <c r="AY920" s="77"/>
      <c r="AZ920" s="81" t="s">
        <v>5773</v>
      </c>
      <c r="BA920" s="81" t="s">
        <v>5773</v>
      </c>
      <c r="BB920" s="81" t="s">
        <v>5773</v>
      </c>
      <c r="BC920" s="81" t="s">
        <v>5265</v>
      </c>
      <c r="BD920" s="77">
        <v>297885438</v>
      </c>
      <c r="BE920" s="77"/>
      <c r="BF920" s="77"/>
      <c r="BG920" s="77"/>
      <c r="BH920" s="77"/>
      <c r="BI920" s="77"/>
    </row>
    <row r="921" spans="1:61" ht="15">
      <c r="A921" s="62" t="s">
        <v>299</v>
      </c>
      <c r="B921" s="62" t="s">
        <v>299</v>
      </c>
      <c r="C921" s="63"/>
      <c r="D921" s="64"/>
      <c r="E921" s="65"/>
      <c r="F921" s="66"/>
      <c r="G921" s="63"/>
      <c r="H921" s="67"/>
      <c r="I921" s="68"/>
      <c r="J921" s="68"/>
      <c r="K921" s="32" t="s">
        <v>65</v>
      </c>
      <c r="L921" s="75">
        <v>921</v>
      </c>
      <c r="M921" s="75"/>
      <c r="N921" s="70"/>
      <c r="O921" s="77" t="s">
        <v>571</v>
      </c>
      <c r="P921" s="79">
        <v>45275.68393518519</v>
      </c>
      <c r="Q921" s="77" t="s">
        <v>814</v>
      </c>
      <c r="R921" s="77">
        <v>0</v>
      </c>
      <c r="S921" s="77">
        <v>0</v>
      </c>
      <c r="T921" s="77">
        <v>0</v>
      </c>
      <c r="U921" s="77">
        <v>0</v>
      </c>
      <c r="V921" s="77">
        <v>26</v>
      </c>
      <c r="W921" s="81" t="s">
        <v>1776</v>
      </c>
      <c r="X921" s="80" t="str">
        <f>HYPERLINK("https://cnn.com/interactive/2023/12/politics/missing-russia-intelligence-trump-dg/")</f>
        <v>https://cnn.com/interactive/2023/12/politics/missing-russia-intelligence-trump-dg/</v>
      </c>
      <c r="Y921" s="77" t="s">
        <v>2003</v>
      </c>
      <c r="Z921" s="77" t="s">
        <v>2073</v>
      </c>
      <c r="AA921" s="77"/>
      <c r="AB921" s="77"/>
      <c r="AC921" s="81" t="s">
        <v>2707</v>
      </c>
      <c r="AD921" s="77" t="s">
        <v>2751</v>
      </c>
      <c r="AE921" s="80" t="str">
        <f>HYPERLINK("https://twitter.com/inovies/status/1735697442425778239")</f>
        <v>https://twitter.com/inovies/status/1735697442425778239</v>
      </c>
      <c r="AF921" s="79">
        <v>45275.68393518519</v>
      </c>
      <c r="AG921" s="85">
        <v>45275</v>
      </c>
      <c r="AH921" s="81" t="s">
        <v>3003</v>
      </c>
      <c r="AI921" s="77" t="b">
        <v>0</v>
      </c>
      <c r="AJ921" s="77"/>
      <c r="AK921" s="77"/>
      <c r="AL921" s="77"/>
      <c r="AM921" s="77"/>
      <c r="AN921" s="77"/>
      <c r="AO921" s="77"/>
      <c r="AP921" s="77"/>
      <c r="AQ921" s="77"/>
      <c r="AR921" s="77"/>
      <c r="AS921" s="77"/>
      <c r="AT921" s="77"/>
      <c r="AU921" s="77"/>
      <c r="AV921" s="80" t="str">
        <f>HYPERLINK("https://pbs.twimg.com/profile_images/833576943677214720/5ZyUgpEJ_normal.jpg")</f>
        <v>https://pbs.twimg.com/profile_images/833576943677214720/5ZyUgpEJ_normal.jpg</v>
      </c>
      <c r="AW921" s="81" t="s">
        <v>4749</v>
      </c>
      <c r="AX921" s="81" t="s">
        <v>4749</v>
      </c>
      <c r="AY921" s="77"/>
      <c r="AZ921" s="81" t="s">
        <v>5773</v>
      </c>
      <c r="BA921" s="81" t="s">
        <v>5773</v>
      </c>
      <c r="BB921" s="81" t="s">
        <v>5773</v>
      </c>
      <c r="BC921" s="81" t="s">
        <v>4749</v>
      </c>
      <c r="BD921" s="77">
        <v>297885438</v>
      </c>
      <c r="BE921" s="77"/>
      <c r="BF921" s="77"/>
      <c r="BG921" s="77"/>
      <c r="BH921" s="77"/>
      <c r="BI921" s="77"/>
    </row>
    <row r="922" spans="1:61" ht="15">
      <c r="A922" s="62" t="s">
        <v>299</v>
      </c>
      <c r="B922" s="62" t="s">
        <v>299</v>
      </c>
      <c r="C922" s="63"/>
      <c r="D922" s="64"/>
      <c r="E922" s="65"/>
      <c r="F922" s="66"/>
      <c r="G922" s="63"/>
      <c r="H922" s="67"/>
      <c r="I922" s="68"/>
      <c r="J922" s="68"/>
      <c r="K922" s="32" t="s">
        <v>65</v>
      </c>
      <c r="L922" s="75">
        <v>922</v>
      </c>
      <c r="M922" s="75"/>
      <c r="N922" s="70"/>
      <c r="O922" s="77" t="s">
        <v>179</v>
      </c>
      <c r="P922" s="79">
        <v>45272.45863425926</v>
      </c>
      <c r="Q922" s="77" t="s">
        <v>1308</v>
      </c>
      <c r="R922" s="77">
        <v>0</v>
      </c>
      <c r="S922" s="77">
        <v>0</v>
      </c>
      <c r="T922" s="77">
        <v>0</v>
      </c>
      <c r="U922" s="77">
        <v>0</v>
      </c>
      <c r="V922" s="77">
        <v>26</v>
      </c>
      <c r="W922" s="81" t="s">
        <v>1888</v>
      </c>
      <c r="X922" s="80" t="str">
        <f>HYPERLINK("https://www.inovies.com/digital-marketing/")</f>
        <v>https://www.inovies.com/digital-marketing/</v>
      </c>
      <c r="Y922" s="77" t="s">
        <v>1982</v>
      </c>
      <c r="Z922" s="77"/>
      <c r="AA922" s="77" t="s">
        <v>2441</v>
      </c>
      <c r="AB922" s="77" t="s">
        <v>2698</v>
      </c>
      <c r="AC922" s="81" t="s">
        <v>2707</v>
      </c>
      <c r="AD922" s="77" t="s">
        <v>2752</v>
      </c>
      <c r="AE922" s="80" t="str">
        <f>HYPERLINK("https://twitter.com/inovies/status/1734528633342193844")</f>
        <v>https://twitter.com/inovies/status/1734528633342193844</v>
      </c>
      <c r="AF922" s="79">
        <v>45272.45863425926</v>
      </c>
      <c r="AG922" s="85">
        <v>45272</v>
      </c>
      <c r="AH922" s="81" t="s">
        <v>3516</v>
      </c>
      <c r="AI922" s="77" t="b">
        <v>0</v>
      </c>
      <c r="AJ922" s="77"/>
      <c r="AK922" s="77"/>
      <c r="AL922" s="77"/>
      <c r="AM922" s="77"/>
      <c r="AN922" s="77"/>
      <c r="AO922" s="77"/>
      <c r="AP922" s="77"/>
      <c r="AQ922" s="77" t="s">
        <v>4255</v>
      </c>
      <c r="AR922" s="77"/>
      <c r="AS922" s="77"/>
      <c r="AT922" s="77"/>
      <c r="AU922" s="77"/>
      <c r="AV922" s="80" t="str">
        <f>HYPERLINK("https://pbs.twimg.com/tweet_video_thumb/GBJImBuaYAAoDmx.jpg")</f>
        <v>https://pbs.twimg.com/tweet_video_thumb/GBJImBuaYAAoDmx.jpg</v>
      </c>
      <c r="AW922" s="81" t="s">
        <v>5266</v>
      </c>
      <c r="AX922" s="81" t="s">
        <v>5266</v>
      </c>
      <c r="AY922" s="77"/>
      <c r="AZ922" s="81" t="s">
        <v>5773</v>
      </c>
      <c r="BA922" s="81" t="s">
        <v>5773</v>
      </c>
      <c r="BB922" s="81" t="s">
        <v>5773</v>
      </c>
      <c r="BC922" s="81" t="s">
        <v>5266</v>
      </c>
      <c r="BD922" s="77">
        <v>297885438</v>
      </c>
      <c r="BE922" s="77"/>
      <c r="BF922" s="77"/>
      <c r="BG922" s="77"/>
      <c r="BH922" s="77"/>
      <c r="BI922" s="77"/>
    </row>
    <row r="923" spans="1:61" ht="15">
      <c r="A923" s="62" t="s">
        <v>299</v>
      </c>
      <c r="B923" s="62" t="s">
        <v>299</v>
      </c>
      <c r="C923" s="63"/>
      <c r="D923" s="64"/>
      <c r="E923" s="65"/>
      <c r="F923" s="66"/>
      <c r="G923" s="63"/>
      <c r="H923" s="67"/>
      <c r="I923" s="68"/>
      <c r="J923" s="68"/>
      <c r="K923" s="32" t="s">
        <v>65</v>
      </c>
      <c r="L923" s="75">
        <v>923</v>
      </c>
      <c r="M923" s="75"/>
      <c r="N923" s="70"/>
      <c r="O923" s="77" t="s">
        <v>179</v>
      </c>
      <c r="P923" s="79">
        <v>42956.43158564815</v>
      </c>
      <c r="Q923" s="77" t="s">
        <v>1309</v>
      </c>
      <c r="R923" s="77">
        <v>0</v>
      </c>
      <c r="S923" s="77">
        <v>1</v>
      </c>
      <c r="T923" s="77">
        <v>0</v>
      </c>
      <c r="U923" s="77">
        <v>0</v>
      </c>
      <c r="V923" s="77"/>
      <c r="W923" s="81" t="s">
        <v>1873</v>
      </c>
      <c r="X923" s="80" t="str">
        <f>HYPERLINK("http://goo.gl/pzNsxM")</f>
        <v>http://goo.gl/pzNsxM</v>
      </c>
      <c r="Y923" s="77" t="s">
        <v>1975</v>
      </c>
      <c r="Z923" s="77"/>
      <c r="AA923" s="77" t="s">
        <v>2442</v>
      </c>
      <c r="AB923" s="77" t="s">
        <v>2696</v>
      </c>
      <c r="AC923" s="81" t="s">
        <v>2705</v>
      </c>
      <c r="AD923" s="77" t="s">
        <v>2752</v>
      </c>
      <c r="AE923" s="80" t="str">
        <f>HYPERLINK("https://twitter.com/inovies/status/895228532611141633")</f>
        <v>https://twitter.com/inovies/status/895228532611141633</v>
      </c>
      <c r="AF923" s="79">
        <v>42956.43158564815</v>
      </c>
      <c r="AG923" s="85">
        <v>42956</v>
      </c>
      <c r="AH923" s="81" t="s">
        <v>3517</v>
      </c>
      <c r="AI923" s="77" t="b">
        <v>0</v>
      </c>
      <c r="AJ923" s="77" t="s">
        <v>3887</v>
      </c>
      <c r="AK923" s="77" t="s">
        <v>3889</v>
      </c>
      <c r="AL923" s="77" t="s">
        <v>3892</v>
      </c>
      <c r="AM923" s="77" t="s">
        <v>3889</v>
      </c>
      <c r="AN923" s="77" t="s">
        <v>3908</v>
      </c>
      <c r="AO923" s="77" t="s">
        <v>3889</v>
      </c>
      <c r="AP923" s="77" t="s">
        <v>3919</v>
      </c>
      <c r="AQ923" s="77" t="s">
        <v>4256</v>
      </c>
      <c r="AR923" s="77"/>
      <c r="AS923" s="77"/>
      <c r="AT923" s="77"/>
      <c r="AU923" s="77"/>
      <c r="AV923" s="80" t="str">
        <f>HYPERLINK("https://pbs.twimg.com/media/DGx9jVOVoAAn5mi.jpg")</f>
        <v>https://pbs.twimg.com/media/DGx9jVOVoAAn5mi.jpg</v>
      </c>
      <c r="AW923" s="81" t="s">
        <v>5267</v>
      </c>
      <c r="AX923" s="81" t="s">
        <v>5267</v>
      </c>
      <c r="AY923" s="77"/>
      <c r="AZ923" s="81" t="s">
        <v>5773</v>
      </c>
      <c r="BA923" s="81" t="s">
        <v>5773</v>
      </c>
      <c r="BB923" s="81" t="s">
        <v>5773</v>
      </c>
      <c r="BC923" s="81" t="s">
        <v>5267</v>
      </c>
      <c r="BD923" s="77">
        <v>297885438</v>
      </c>
      <c r="BE923" s="77"/>
      <c r="BF923" s="77"/>
      <c r="BG923" s="77"/>
      <c r="BH923" s="77"/>
      <c r="BI923" s="77"/>
    </row>
    <row r="924" spans="1:61" ht="15">
      <c r="A924" s="62" t="s">
        <v>299</v>
      </c>
      <c r="B924" s="62" t="s">
        <v>299</v>
      </c>
      <c r="C924" s="63"/>
      <c r="D924" s="64"/>
      <c r="E924" s="65"/>
      <c r="F924" s="66"/>
      <c r="G924" s="63"/>
      <c r="H924" s="67"/>
      <c r="I924" s="68"/>
      <c r="J924" s="68"/>
      <c r="K924" s="32" t="s">
        <v>65</v>
      </c>
      <c r="L924" s="75">
        <v>924</v>
      </c>
      <c r="M924" s="75"/>
      <c r="N924" s="70"/>
      <c r="O924" s="77" t="s">
        <v>179</v>
      </c>
      <c r="P924" s="79">
        <v>42956.373773148145</v>
      </c>
      <c r="Q924" s="77" t="s">
        <v>1310</v>
      </c>
      <c r="R924" s="77">
        <v>0</v>
      </c>
      <c r="S924" s="77">
        <v>1</v>
      </c>
      <c r="T924" s="77">
        <v>0</v>
      </c>
      <c r="U924" s="77">
        <v>0</v>
      </c>
      <c r="V924" s="77"/>
      <c r="W924" s="81" t="s">
        <v>1894</v>
      </c>
      <c r="X924" s="77"/>
      <c r="Y924" s="77"/>
      <c r="Z924" s="77"/>
      <c r="AA924" s="77" t="s">
        <v>2443</v>
      </c>
      <c r="AB924" s="77" t="s">
        <v>2696</v>
      </c>
      <c r="AC924" s="81" t="s">
        <v>2704</v>
      </c>
      <c r="AD924" s="77" t="s">
        <v>2751</v>
      </c>
      <c r="AE924" s="80" t="str">
        <f>HYPERLINK("https://twitter.com/inovies/status/895207584369528832")</f>
        <v>https://twitter.com/inovies/status/895207584369528832</v>
      </c>
      <c r="AF924" s="79">
        <v>42956.373773148145</v>
      </c>
      <c r="AG924" s="85">
        <v>42956</v>
      </c>
      <c r="AH924" s="81" t="s">
        <v>3518</v>
      </c>
      <c r="AI924" s="77" t="b">
        <v>0</v>
      </c>
      <c r="AJ924" s="77" t="s">
        <v>3882</v>
      </c>
      <c r="AK924" s="77" t="s">
        <v>3889</v>
      </c>
      <c r="AL924" s="77" t="s">
        <v>3892</v>
      </c>
      <c r="AM924" s="77" t="s">
        <v>3896</v>
      </c>
      <c r="AN924" s="77" t="s">
        <v>3903</v>
      </c>
      <c r="AO924" s="77" t="s">
        <v>3911</v>
      </c>
      <c r="AP924" s="77" t="s">
        <v>3917</v>
      </c>
      <c r="AQ924" s="77" t="s">
        <v>4257</v>
      </c>
      <c r="AR924" s="77"/>
      <c r="AS924" s="77"/>
      <c r="AT924" s="77"/>
      <c r="AU924" s="77"/>
      <c r="AV924" s="80" t="str">
        <f>HYPERLINK("https://pbs.twimg.com/media/DGxqiNCV0AAHVPB.jpg")</f>
        <v>https://pbs.twimg.com/media/DGxqiNCV0AAHVPB.jpg</v>
      </c>
      <c r="AW924" s="81" t="s">
        <v>5268</v>
      </c>
      <c r="AX924" s="81" t="s">
        <v>5268</v>
      </c>
      <c r="AY924" s="77"/>
      <c r="AZ924" s="81" t="s">
        <v>5773</v>
      </c>
      <c r="BA924" s="81" t="s">
        <v>5773</v>
      </c>
      <c r="BB924" s="81" t="s">
        <v>5773</v>
      </c>
      <c r="BC924" s="81" t="s">
        <v>5268</v>
      </c>
      <c r="BD924" s="77">
        <v>297885438</v>
      </c>
      <c r="BE924" s="77"/>
      <c r="BF924" s="77"/>
      <c r="BG924" s="77"/>
      <c r="BH924" s="77"/>
      <c r="BI924" s="77"/>
    </row>
    <row r="925" spans="1:61" ht="15">
      <c r="A925" s="62" t="s">
        <v>299</v>
      </c>
      <c r="B925" s="62" t="s">
        <v>299</v>
      </c>
      <c r="C925" s="63"/>
      <c r="D925" s="64"/>
      <c r="E925" s="65"/>
      <c r="F925" s="66"/>
      <c r="G925" s="63"/>
      <c r="H925" s="67"/>
      <c r="I925" s="68"/>
      <c r="J925" s="68"/>
      <c r="K925" s="32" t="s">
        <v>65</v>
      </c>
      <c r="L925" s="75">
        <v>925</v>
      </c>
      <c r="M925" s="75"/>
      <c r="N925" s="70"/>
      <c r="O925" s="77" t="s">
        <v>179</v>
      </c>
      <c r="P925" s="79">
        <v>45281.81736111111</v>
      </c>
      <c r="Q925" s="77" t="s">
        <v>1311</v>
      </c>
      <c r="R925" s="77">
        <v>0</v>
      </c>
      <c r="S925" s="77">
        <v>1</v>
      </c>
      <c r="T925" s="77">
        <v>0</v>
      </c>
      <c r="U925" s="77">
        <v>0</v>
      </c>
      <c r="V925" s="77">
        <v>10</v>
      </c>
      <c r="W925" s="81" t="s">
        <v>1895</v>
      </c>
      <c r="X925" s="80" t="str">
        <f>HYPERLINK("https://inovies.com/digital-marketing/")</f>
        <v>https://inovies.com/digital-marketing/</v>
      </c>
      <c r="Y925" s="77" t="s">
        <v>1982</v>
      </c>
      <c r="Z925" s="77"/>
      <c r="AA925" s="77" t="s">
        <v>2444</v>
      </c>
      <c r="AB925" s="77" t="s">
        <v>2696</v>
      </c>
      <c r="AC925" s="81" t="s">
        <v>2707</v>
      </c>
      <c r="AD925" s="77" t="s">
        <v>2751</v>
      </c>
      <c r="AE925" s="80" t="str">
        <f>HYPERLINK("https://twitter.com/inovies/status/1737920119165100254")</f>
        <v>https://twitter.com/inovies/status/1737920119165100254</v>
      </c>
      <c r="AF925" s="79">
        <v>45281.81736111111</v>
      </c>
      <c r="AG925" s="85">
        <v>45281</v>
      </c>
      <c r="AH925" s="81" t="s">
        <v>3519</v>
      </c>
      <c r="AI925" s="77" t="b">
        <v>0</v>
      </c>
      <c r="AJ925" s="77"/>
      <c r="AK925" s="77"/>
      <c r="AL925" s="77"/>
      <c r="AM925" s="77"/>
      <c r="AN925" s="77"/>
      <c r="AO925" s="77"/>
      <c r="AP925" s="77"/>
      <c r="AQ925" s="77" t="s">
        <v>4258</v>
      </c>
      <c r="AR925" s="77"/>
      <c r="AS925" s="77"/>
      <c r="AT925" s="77"/>
      <c r="AU925" s="77"/>
      <c r="AV925" s="80" t="str">
        <f>HYPERLINK("https://pbs.twimg.com/media/GB5VHqcWMAAEm05.jpg")</f>
        <v>https://pbs.twimg.com/media/GB5VHqcWMAAEm05.jpg</v>
      </c>
      <c r="AW925" s="81" t="s">
        <v>5269</v>
      </c>
      <c r="AX925" s="81" t="s">
        <v>5269</v>
      </c>
      <c r="AY925" s="77"/>
      <c r="AZ925" s="81" t="s">
        <v>5773</v>
      </c>
      <c r="BA925" s="81" t="s">
        <v>5773</v>
      </c>
      <c r="BB925" s="81" t="s">
        <v>5773</v>
      </c>
      <c r="BC925" s="81" t="s">
        <v>5269</v>
      </c>
      <c r="BD925" s="77">
        <v>297885438</v>
      </c>
      <c r="BE925" s="77"/>
      <c r="BF925" s="77"/>
      <c r="BG925" s="77"/>
      <c r="BH925" s="77"/>
      <c r="BI925" s="77"/>
    </row>
    <row r="926" spans="1:61" ht="15">
      <c r="A926" s="62" t="s">
        <v>299</v>
      </c>
      <c r="B926" s="62" t="s">
        <v>299</v>
      </c>
      <c r="C926" s="63"/>
      <c r="D926" s="64"/>
      <c r="E926" s="65"/>
      <c r="F926" s="66"/>
      <c r="G926" s="63"/>
      <c r="H926" s="67"/>
      <c r="I926" s="68"/>
      <c r="J926" s="68"/>
      <c r="K926" s="32" t="s">
        <v>65</v>
      </c>
      <c r="L926" s="75">
        <v>926</v>
      </c>
      <c r="M926" s="75"/>
      <c r="N926" s="70"/>
      <c r="O926" s="77" t="s">
        <v>572</v>
      </c>
      <c r="P926" s="79">
        <v>45271.341574074075</v>
      </c>
      <c r="Q926" s="77" t="s">
        <v>1312</v>
      </c>
      <c r="R926" s="77">
        <v>0</v>
      </c>
      <c r="S926" s="77">
        <v>0</v>
      </c>
      <c r="T926" s="77">
        <v>1</v>
      </c>
      <c r="U926" s="77">
        <v>0</v>
      </c>
      <c r="V926" s="77">
        <v>3</v>
      </c>
      <c r="W926" s="81" t="s">
        <v>1880</v>
      </c>
      <c r="X926" s="80" t="str">
        <f>HYPERLINK("https://www.inovies.com")</f>
        <v>https://www.inovies.com</v>
      </c>
      <c r="Y926" s="77" t="s">
        <v>1982</v>
      </c>
      <c r="Z926" s="77"/>
      <c r="AA926" s="77"/>
      <c r="AB926" s="77"/>
      <c r="AC926" s="81" t="s">
        <v>2707</v>
      </c>
      <c r="AD926" s="77" t="s">
        <v>2751</v>
      </c>
      <c r="AE926" s="80" t="str">
        <f>HYPERLINK("https://twitter.com/inovies/status/1734123824168210547")</f>
        <v>https://twitter.com/inovies/status/1734123824168210547</v>
      </c>
      <c r="AF926" s="79">
        <v>45271.341574074075</v>
      </c>
      <c r="AG926" s="85">
        <v>45271</v>
      </c>
      <c r="AH926" s="81" t="s">
        <v>3520</v>
      </c>
      <c r="AI926" s="77" t="b">
        <v>0</v>
      </c>
      <c r="AJ926" s="77"/>
      <c r="AK926" s="77"/>
      <c r="AL926" s="77"/>
      <c r="AM926" s="77"/>
      <c r="AN926" s="77"/>
      <c r="AO926" s="77"/>
      <c r="AP926" s="77"/>
      <c r="AQ926" s="77"/>
      <c r="AR926" s="77"/>
      <c r="AS926" s="77"/>
      <c r="AT926" s="77"/>
      <c r="AU926" s="77"/>
      <c r="AV926" s="80" t="str">
        <f>HYPERLINK("https://pbs.twimg.com/profile_images/833576943677214720/5ZyUgpEJ_normal.jpg")</f>
        <v>https://pbs.twimg.com/profile_images/833576943677214720/5ZyUgpEJ_normal.jpg</v>
      </c>
      <c r="AW926" s="81" t="s">
        <v>5270</v>
      </c>
      <c r="AX926" s="81" t="s">
        <v>5339</v>
      </c>
      <c r="AY926" s="81" t="s">
        <v>5721</v>
      </c>
      <c r="AZ926" s="81" t="s">
        <v>5271</v>
      </c>
      <c r="BA926" s="81" t="s">
        <v>5773</v>
      </c>
      <c r="BB926" s="81" t="s">
        <v>5773</v>
      </c>
      <c r="BC926" s="81" t="s">
        <v>5271</v>
      </c>
      <c r="BD926" s="77">
        <v>297885438</v>
      </c>
      <c r="BE926" s="77"/>
      <c r="BF926" s="77"/>
      <c r="BG926" s="77"/>
      <c r="BH926" s="77"/>
      <c r="BI926" s="77"/>
    </row>
    <row r="927" spans="1:61" ht="15">
      <c r="A927" s="62" t="s">
        <v>299</v>
      </c>
      <c r="B927" s="62" t="s">
        <v>299</v>
      </c>
      <c r="C927" s="63"/>
      <c r="D927" s="64"/>
      <c r="E927" s="65"/>
      <c r="F927" s="66"/>
      <c r="G927" s="63"/>
      <c r="H927" s="67"/>
      <c r="I927" s="68"/>
      <c r="J927" s="68"/>
      <c r="K927" s="32" t="s">
        <v>65</v>
      </c>
      <c r="L927" s="75">
        <v>927</v>
      </c>
      <c r="M927" s="75"/>
      <c r="N927" s="70"/>
      <c r="O927" s="77" t="s">
        <v>572</v>
      </c>
      <c r="P927" s="79">
        <v>45271.341574074075</v>
      </c>
      <c r="Q927" s="77" t="s">
        <v>1313</v>
      </c>
      <c r="R927" s="77">
        <v>0</v>
      </c>
      <c r="S927" s="77">
        <v>0</v>
      </c>
      <c r="T927" s="77">
        <v>1</v>
      </c>
      <c r="U927" s="77">
        <v>0</v>
      </c>
      <c r="V927" s="77">
        <v>3</v>
      </c>
      <c r="W927" s="81" t="s">
        <v>1880</v>
      </c>
      <c r="X927" s="80" t="str">
        <f>HYPERLINK("https://www.inovies.com")</f>
        <v>https://www.inovies.com</v>
      </c>
      <c r="Y927" s="77" t="s">
        <v>1982</v>
      </c>
      <c r="Z927" s="77"/>
      <c r="AA927" s="77"/>
      <c r="AB927" s="77"/>
      <c r="AC927" s="81" t="s">
        <v>2707</v>
      </c>
      <c r="AD927" s="77" t="s">
        <v>2751</v>
      </c>
      <c r="AE927" s="80" t="str">
        <f>HYPERLINK("https://twitter.com/inovies/status/1734123821672599667")</f>
        <v>https://twitter.com/inovies/status/1734123821672599667</v>
      </c>
      <c r="AF927" s="79">
        <v>45271.341574074075</v>
      </c>
      <c r="AG927" s="85">
        <v>45271</v>
      </c>
      <c r="AH927" s="81" t="s">
        <v>3520</v>
      </c>
      <c r="AI927" s="77" t="b">
        <v>0</v>
      </c>
      <c r="AJ927" s="77"/>
      <c r="AK927" s="77"/>
      <c r="AL927" s="77"/>
      <c r="AM927" s="77"/>
      <c r="AN927" s="77"/>
      <c r="AO927" s="77"/>
      <c r="AP927" s="77"/>
      <c r="AQ927" s="77"/>
      <c r="AR927" s="77"/>
      <c r="AS927" s="77"/>
      <c r="AT927" s="77"/>
      <c r="AU927" s="77"/>
      <c r="AV927" s="80" t="str">
        <f>HYPERLINK("https://pbs.twimg.com/profile_images/833576943677214720/5ZyUgpEJ_normal.jpg")</f>
        <v>https://pbs.twimg.com/profile_images/833576943677214720/5ZyUgpEJ_normal.jpg</v>
      </c>
      <c r="AW927" s="81" t="s">
        <v>5271</v>
      </c>
      <c r="AX927" s="81" t="s">
        <v>5339</v>
      </c>
      <c r="AY927" s="81" t="s">
        <v>5721</v>
      </c>
      <c r="AZ927" s="81" t="s">
        <v>5336</v>
      </c>
      <c r="BA927" s="81" t="s">
        <v>5773</v>
      </c>
      <c r="BB927" s="81" t="s">
        <v>5773</v>
      </c>
      <c r="BC927" s="81" t="s">
        <v>5336</v>
      </c>
      <c r="BD927" s="77">
        <v>297885438</v>
      </c>
      <c r="BE927" s="77"/>
      <c r="BF927" s="77"/>
      <c r="BG927" s="77"/>
      <c r="BH927" s="77"/>
      <c r="BI927" s="77"/>
    </row>
    <row r="928" spans="1:61" ht="15">
      <c r="A928" s="62" t="s">
        <v>299</v>
      </c>
      <c r="B928" s="62" t="s">
        <v>299</v>
      </c>
      <c r="C928" s="63"/>
      <c r="D928" s="64"/>
      <c r="E928" s="65"/>
      <c r="F928" s="66"/>
      <c r="G928" s="63"/>
      <c r="H928" s="67"/>
      <c r="I928" s="68"/>
      <c r="J928" s="68"/>
      <c r="K928" s="32" t="s">
        <v>65</v>
      </c>
      <c r="L928" s="75">
        <v>928</v>
      </c>
      <c r="M928" s="75"/>
      <c r="N928" s="70"/>
      <c r="O928" s="77" t="s">
        <v>572</v>
      </c>
      <c r="P928" s="79">
        <v>45271.34153935185</v>
      </c>
      <c r="Q928" s="77" t="s">
        <v>1314</v>
      </c>
      <c r="R928" s="77">
        <v>0</v>
      </c>
      <c r="S928" s="77">
        <v>0</v>
      </c>
      <c r="T928" s="77">
        <v>1</v>
      </c>
      <c r="U928" s="77">
        <v>0</v>
      </c>
      <c r="V928" s="77">
        <v>3</v>
      </c>
      <c r="W928" s="81" t="s">
        <v>1880</v>
      </c>
      <c r="X928" s="80" t="str">
        <f>HYPERLINK("https://www.inovies.com")</f>
        <v>https://www.inovies.com</v>
      </c>
      <c r="Y928" s="77" t="s">
        <v>1982</v>
      </c>
      <c r="Z928" s="77"/>
      <c r="AA928" s="77"/>
      <c r="AB928" s="77"/>
      <c r="AC928" s="81" t="s">
        <v>2707</v>
      </c>
      <c r="AD928" s="77" t="s">
        <v>2751</v>
      </c>
      <c r="AE928" s="80" t="str">
        <f>HYPERLINK("https://twitter.com/inovies/status/1734123809202901480")</f>
        <v>https://twitter.com/inovies/status/1734123809202901480</v>
      </c>
      <c r="AF928" s="79">
        <v>45271.34153935185</v>
      </c>
      <c r="AG928" s="85">
        <v>45271</v>
      </c>
      <c r="AH928" s="81" t="s">
        <v>3521</v>
      </c>
      <c r="AI928" s="77" t="b">
        <v>0</v>
      </c>
      <c r="AJ928" s="77"/>
      <c r="AK928" s="77"/>
      <c r="AL928" s="77"/>
      <c r="AM928" s="77"/>
      <c r="AN928" s="77"/>
      <c r="AO928" s="77"/>
      <c r="AP928" s="77"/>
      <c r="AQ928" s="77"/>
      <c r="AR928" s="77"/>
      <c r="AS928" s="77"/>
      <c r="AT928" s="77"/>
      <c r="AU928" s="77"/>
      <c r="AV928" s="80" t="str">
        <f>HYPERLINK("https://pbs.twimg.com/profile_images/833576943677214720/5ZyUgpEJ_normal.jpg")</f>
        <v>https://pbs.twimg.com/profile_images/833576943677214720/5ZyUgpEJ_normal.jpg</v>
      </c>
      <c r="AW928" s="81" t="s">
        <v>5272</v>
      </c>
      <c r="AX928" s="81" t="s">
        <v>5339</v>
      </c>
      <c r="AY928" s="81" t="s">
        <v>5721</v>
      </c>
      <c r="AZ928" s="81" t="s">
        <v>5273</v>
      </c>
      <c r="BA928" s="81" t="s">
        <v>5773</v>
      </c>
      <c r="BB928" s="81" t="s">
        <v>5773</v>
      </c>
      <c r="BC928" s="81" t="s">
        <v>5273</v>
      </c>
      <c r="BD928" s="77">
        <v>297885438</v>
      </c>
      <c r="BE928" s="77"/>
      <c r="BF928" s="77"/>
      <c r="BG928" s="77"/>
      <c r="BH928" s="77"/>
      <c r="BI928" s="77"/>
    </row>
    <row r="929" spans="1:61" ht="15">
      <c r="A929" s="62" t="s">
        <v>299</v>
      </c>
      <c r="B929" s="62" t="s">
        <v>299</v>
      </c>
      <c r="C929" s="63"/>
      <c r="D929" s="64"/>
      <c r="E929" s="65"/>
      <c r="F929" s="66"/>
      <c r="G929" s="63"/>
      <c r="H929" s="67"/>
      <c r="I929" s="68"/>
      <c r="J929" s="68"/>
      <c r="K929" s="32" t="s">
        <v>65</v>
      </c>
      <c r="L929" s="75">
        <v>929</v>
      </c>
      <c r="M929" s="75"/>
      <c r="N929" s="70"/>
      <c r="O929" s="77" t="s">
        <v>572</v>
      </c>
      <c r="P929" s="79">
        <v>45271.341527777775</v>
      </c>
      <c r="Q929" s="77" t="s">
        <v>1315</v>
      </c>
      <c r="R929" s="77">
        <v>0</v>
      </c>
      <c r="S929" s="77">
        <v>0</v>
      </c>
      <c r="T929" s="77">
        <v>1</v>
      </c>
      <c r="U929" s="77">
        <v>0</v>
      </c>
      <c r="V929" s="77">
        <v>3</v>
      </c>
      <c r="W929" s="81" t="s">
        <v>1880</v>
      </c>
      <c r="X929" s="80" t="str">
        <f>HYPERLINK("https://www.inovies.com")</f>
        <v>https://www.inovies.com</v>
      </c>
      <c r="Y929" s="77" t="s">
        <v>1982</v>
      </c>
      <c r="Z929" s="77"/>
      <c r="AA929" s="77"/>
      <c r="AB929" s="77"/>
      <c r="AC929" s="81" t="s">
        <v>2707</v>
      </c>
      <c r="AD929" s="77" t="s">
        <v>2751</v>
      </c>
      <c r="AE929" s="80" t="str">
        <f>HYPERLINK("https://twitter.com/inovies/status/1734123807080628646")</f>
        <v>https://twitter.com/inovies/status/1734123807080628646</v>
      </c>
      <c r="AF929" s="79">
        <v>45271.341527777775</v>
      </c>
      <c r="AG929" s="85">
        <v>45271</v>
      </c>
      <c r="AH929" s="81" t="s">
        <v>3522</v>
      </c>
      <c r="AI929" s="77" t="b">
        <v>0</v>
      </c>
      <c r="AJ929" s="77"/>
      <c r="AK929" s="77"/>
      <c r="AL929" s="77"/>
      <c r="AM929" s="77"/>
      <c r="AN929" s="77"/>
      <c r="AO929" s="77"/>
      <c r="AP929" s="77"/>
      <c r="AQ929" s="77"/>
      <c r="AR929" s="77"/>
      <c r="AS929" s="77"/>
      <c r="AT929" s="77"/>
      <c r="AU929" s="77"/>
      <c r="AV929" s="80" t="str">
        <f>HYPERLINK("https://pbs.twimg.com/profile_images/833576943677214720/5ZyUgpEJ_normal.jpg")</f>
        <v>https://pbs.twimg.com/profile_images/833576943677214720/5ZyUgpEJ_normal.jpg</v>
      </c>
      <c r="AW929" s="81" t="s">
        <v>5273</v>
      </c>
      <c r="AX929" s="81" t="s">
        <v>5339</v>
      </c>
      <c r="AY929" s="81" t="s">
        <v>5721</v>
      </c>
      <c r="AZ929" s="81" t="s">
        <v>5339</v>
      </c>
      <c r="BA929" s="81" t="s">
        <v>5773</v>
      </c>
      <c r="BB929" s="81" t="s">
        <v>5773</v>
      </c>
      <c r="BC929" s="81" t="s">
        <v>5339</v>
      </c>
      <c r="BD929" s="77">
        <v>297885438</v>
      </c>
      <c r="BE929" s="77"/>
      <c r="BF929" s="77"/>
      <c r="BG929" s="77"/>
      <c r="BH929" s="77"/>
      <c r="BI929" s="77"/>
    </row>
    <row r="930" spans="1:61" ht="15">
      <c r="A930" s="62" t="s">
        <v>299</v>
      </c>
      <c r="B930" s="62" t="s">
        <v>299</v>
      </c>
      <c r="C930" s="63"/>
      <c r="D930" s="64"/>
      <c r="E930" s="65"/>
      <c r="F930" s="66"/>
      <c r="G930" s="63"/>
      <c r="H930" s="67"/>
      <c r="I930" s="68"/>
      <c r="J930" s="68"/>
      <c r="K930" s="32" t="s">
        <v>65</v>
      </c>
      <c r="L930" s="75">
        <v>930</v>
      </c>
      <c r="M930" s="75"/>
      <c r="N930" s="70"/>
      <c r="O930" s="77" t="s">
        <v>572</v>
      </c>
      <c r="P930" s="79">
        <v>45271.325370370374</v>
      </c>
      <c r="Q930" s="77" t="s">
        <v>1316</v>
      </c>
      <c r="R930" s="77">
        <v>0</v>
      </c>
      <c r="S930" s="77">
        <v>0</v>
      </c>
      <c r="T930" s="77">
        <v>1</v>
      </c>
      <c r="U930" s="77">
        <v>0</v>
      </c>
      <c r="V930" s="77">
        <v>22</v>
      </c>
      <c r="W930" s="81" t="s">
        <v>1880</v>
      </c>
      <c r="X930" s="80" t="str">
        <f>HYPERLINK("https://inovies.com")</f>
        <v>https://inovies.com</v>
      </c>
      <c r="Y930" s="77" t="s">
        <v>1982</v>
      </c>
      <c r="Z930" s="77"/>
      <c r="AA930" s="77"/>
      <c r="AB930" s="77"/>
      <c r="AC930" s="81" t="s">
        <v>2707</v>
      </c>
      <c r="AD930" s="77" t="s">
        <v>2751</v>
      </c>
      <c r="AE930" s="80" t="str">
        <f>HYPERLINK("https://twitter.com/inovies/status/1734117952507576322")</f>
        <v>https://twitter.com/inovies/status/1734117952507576322</v>
      </c>
      <c r="AF930" s="79">
        <v>45271.325370370374</v>
      </c>
      <c r="AG930" s="85">
        <v>45271</v>
      </c>
      <c r="AH930" s="81" t="s">
        <v>3523</v>
      </c>
      <c r="AI930" s="77" t="b">
        <v>0</v>
      </c>
      <c r="AJ930" s="77"/>
      <c r="AK930" s="77"/>
      <c r="AL930" s="77"/>
      <c r="AM930" s="77"/>
      <c r="AN930" s="77"/>
      <c r="AO930" s="77"/>
      <c r="AP930" s="77"/>
      <c r="AQ930" s="77"/>
      <c r="AR930" s="77"/>
      <c r="AS930" s="77"/>
      <c r="AT930" s="77"/>
      <c r="AU930" s="77"/>
      <c r="AV930" s="80" t="str">
        <f>HYPERLINK("https://pbs.twimg.com/profile_images/833576943677214720/5ZyUgpEJ_normal.jpg")</f>
        <v>https://pbs.twimg.com/profile_images/833576943677214720/5ZyUgpEJ_normal.jpg</v>
      </c>
      <c r="AW930" s="81" t="s">
        <v>5274</v>
      </c>
      <c r="AX930" s="81" t="s">
        <v>5534</v>
      </c>
      <c r="AY930" s="81" t="s">
        <v>5721</v>
      </c>
      <c r="AZ930" s="81" t="s">
        <v>5275</v>
      </c>
      <c r="BA930" s="81" t="s">
        <v>5773</v>
      </c>
      <c r="BB930" s="81" t="s">
        <v>5773</v>
      </c>
      <c r="BC930" s="81" t="s">
        <v>5275</v>
      </c>
      <c r="BD930" s="77">
        <v>297885438</v>
      </c>
      <c r="BE930" s="77"/>
      <c r="BF930" s="77"/>
      <c r="BG930" s="77"/>
      <c r="BH930" s="77"/>
      <c r="BI930" s="77"/>
    </row>
    <row r="931" spans="1:61" ht="15">
      <c r="A931" s="62" t="s">
        <v>299</v>
      </c>
      <c r="B931" s="62" t="s">
        <v>299</v>
      </c>
      <c r="C931" s="63"/>
      <c r="D931" s="64"/>
      <c r="E931" s="65"/>
      <c r="F931" s="66"/>
      <c r="G931" s="63"/>
      <c r="H931" s="67"/>
      <c r="I931" s="68"/>
      <c r="J931" s="68"/>
      <c r="K931" s="32" t="s">
        <v>65</v>
      </c>
      <c r="L931" s="75">
        <v>931</v>
      </c>
      <c r="M931" s="75"/>
      <c r="N931" s="70"/>
      <c r="O931" s="77" t="s">
        <v>572</v>
      </c>
      <c r="P931" s="79">
        <v>45271.325370370374</v>
      </c>
      <c r="Q931" s="77" t="s">
        <v>1317</v>
      </c>
      <c r="R931" s="77">
        <v>0</v>
      </c>
      <c r="S931" s="77">
        <v>0</v>
      </c>
      <c r="T931" s="77">
        <v>1</v>
      </c>
      <c r="U931" s="77">
        <v>0</v>
      </c>
      <c r="V931" s="77">
        <v>13</v>
      </c>
      <c r="W931" s="81" t="s">
        <v>1880</v>
      </c>
      <c r="X931" s="80" t="str">
        <f>HYPERLINK("https://inovies.com")</f>
        <v>https://inovies.com</v>
      </c>
      <c r="Y931" s="77" t="s">
        <v>1982</v>
      </c>
      <c r="Z931" s="77"/>
      <c r="AA931" s="77"/>
      <c r="AB931" s="77"/>
      <c r="AC931" s="81" t="s">
        <v>2707</v>
      </c>
      <c r="AD931" s="77" t="s">
        <v>2751</v>
      </c>
      <c r="AE931" s="80" t="str">
        <f>HYPERLINK("https://twitter.com/inovies/status/1734117950209061026")</f>
        <v>https://twitter.com/inovies/status/1734117950209061026</v>
      </c>
      <c r="AF931" s="79">
        <v>45271.325370370374</v>
      </c>
      <c r="AG931" s="85">
        <v>45271</v>
      </c>
      <c r="AH931" s="81" t="s">
        <v>3523</v>
      </c>
      <c r="AI931" s="77" t="b">
        <v>0</v>
      </c>
      <c r="AJ931" s="77"/>
      <c r="AK931" s="77"/>
      <c r="AL931" s="77"/>
      <c r="AM931" s="77"/>
      <c r="AN931" s="77"/>
      <c r="AO931" s="77"/>
      <c r="AP931" s="77"/>
      <c r="AQ931" s="77"/>
      <c r="AR931" s="77"/>
      <c r="AS931" s="77"/>
      <c r="AT931" s="77"/>
      <c r="AU931" s="77"/>
      <c r="AV931" s="80" t="str">
        <f>HYPERLINK("https://pbs.twimg.com/profile_images/833576943677214720/5ZyUgpEJ_normal.jpg")</f>
        <v>https://pbs.twimg.com/profile_images/833576943677214720/5ZyUgpEJ_normal.jpg</v>
      </c>
      <c r="AW931" s="81" t="s">
        <v>5275</v>
      </c>
      <c r="AX931" s="81" t="s">
        <v>5534</v>
      </c>
      <c r="AY931" s="81" t="s">
        <v>5721</v>
      </c>
      <c r="AZ931" s="81" t="s">
        <v>5606</v>
      </c>
      <c r="BA931" s="81" t="s">
        <v>5773</v>
      </c>
      <c r="BB931" s="81" t="s">
        <v>5773</v>
      </c>
      <c r="BC931" s="81" t="s">
        <v>5606</v>
      </c>
      <c r="BD931" s="77">
        <v>297885438</v>
      </c>
      <c r="BE931" s="77"/>
      <c r="BF931" s="77"/>
      <c r="BG931" s="77"/>
      <c r="BH931" s="77"/>
      <c r="BI931" s="77"/>
    </row>
    <row r="932" spans="1:61" ht="15">
      <c r="A932" s="62" t="s">
        <v>299</v>
      </c>
      <c r="B932" s="62" t="s">
        <v>299</v>
      </c>
      <c r="C932" s="63"/>
      <c r="D932" s="64"/>
      <c r="E932" s="65"/>
      <c r="F932" s="66"/>
      <c r="G932" s="63"/>
      <c r="H932" s="67"/>
      <c r="I932" s="68"/>
      <c r="J932" s="68"/>
      <c r="K932" s="32" t="s">
        <v>65</v>
      </c>
      <c r="L932" s="75">
        <v>932</v>
      </c>
      <c r="M932" s="75"/>
      <c r="N932" s="70"/>
      <c r="O932" s="77" t="s">
        <v>572</v>
      </c>
      <c r="P932" s="79">
        <v>45271.3253125</v>
      </c>
      <c r="Q932" s="77" t="s">
        <v>1318</v>
      </c>
      <c r="R932" s="77">
        <v>0</v>
      </c>
      <c r="S932" s="77">
        <v>0</v>
      </c>
      <c r="T932" s="77">
        <v>1</v>
      </c>
      <c r="U932" s="77">
        <v>0</v>
      </c>
      <c r="V932" s="77">
        <v>2</v>
      </c>
      <c r="W932" s="81" t="s">
        <v>1880</v>
      </c>
      <c r="X932" s="80" t="str">
        <f>HYPERLINK("https://inovies.com")</f>
        <v>https://inovies.com</v>
      </c>
      <c r="Y932" s="77" t="s">
        <v>1982</v>
      </c>
      <c r="Z932" s="77"/>
      <c r="AA932" s="77"/>
      <c r="AB932" s="77"/>
      <c r="AC932" s="81" t="s">
        <v>2707</v>
      </c>
      <c r="AD932" s="77" t="s">
        <v>2751</v>
      </c>
      <c r="AE932" s="80" t="str">
        <f>HYPERLINK("https://twitter.com/inovies/status/1734117931435413971")</f>
        <v>https://twitter.com/inovies/status/1734117931435413971</v>
      </c>
      <c r="AF932" s="79">
        <v>45271.3253125</v>
      </c>
      <c r="AG932" s="85">
        <v>45271</v>
      </c>
      <c r="AH932" s="81" t="s">
        <v>3524</v>
      </c>
      <c r="AI932" s="77" t="b">
        <v>0</v>
      </c>
      <c r="AJ932" s="77"/>
      <c r="AK932" s="77"/>
      <c r="AL932" s="77"/>
      <c r="AM932" s="77"/>
      <c r="AN932" s="77"/>
      <c r="AO932" s="77"/>
      <c r="AP932" s="77"/>
      <c r="AQ932" s="77"/>
      <c r="AR932" s="77"/>
      <c r="AS932" s="77"/>
      <c r="AT932" s="77"/>
      <c r="AU932" s="77"/>
      <c r="AV932" s="80" t="str">
        <f>HYPERLINK("https://pbs.twimg.com/profile_images/833576943677214720/5ZyUgpEJ_normal.jpg")</f>
        <v>https://pbs.twimg.com/profile_images/833576943677214720/5ZyUgpEJ_normal.jpg</v>
      </c>
      <c r="AW932" s="81" t="s">
        <v>5276</v>
      </c>
      <c r="AX932" s="81" t="s">
        <v>5534</v>
      </c>
      <c r="AY932" s="81" t="s">
        <v>5721</v>
      </c>
      <c r="AZ932" s="81" t="s">
        <v>5277</v>
      </c>
      <c r="BA932" s="81" t="s">
        <v>5773</v>
      </c>
      <c r="BB932" s="81" t="s">
        <v>5773</v>
      </c>
      <c r="BC932" s="81" t="s">
        <v>5277</v>
      </c>
      <c r="BD932" s="77">
        <v>297885438</v>
      </c>
      <c r="BE932" s="77"/>
      <c r="BF932" s="77"/>
      <c r="BG932" s="77"/>
      <c r="BH932" s="77"/>
      <c r="BI932" s="77"/>
    </row>
    <row r="933" spans="1:61" ht="15">
      <c r="A933" s="62" t="s">
        <v>299</v>
      </c>
      <c r="B933" s="62" t="s">
        <v>299</v>
      </c>
      <c r="C933" s="63"/>
      <c r="D933" s="64"/>
      <c r="E933" s="65"/>
      <c r="F933" s="66"/>
      <c r="G933" s="63"/>
      <c r="H933" s="67"/>
      <c r="I933" s="68"/>
      <c r="J933" s="68"/>
      <c r="K933" s="32" t="s">
        <v>65</v>
      </c>
      <c r="L933" s="75">
        <v>933</v>
      </c>
      <c r="M933" s="75"/>
      <c r="N933" s="70"/>
      <c r="O933" s="77" t="s">
        <v>572</v>
      </c>
      <c r="P933" s="79">
        <v>45271.3253125</v>
      </c>
      <c r="Q933" s="77" t="s">
        <v>1319</v>
      </c>
      <c r="R933" s="77">
        <v>0</v>
      </c>
      <c r="S933" s="77">
        <v>0</v>
      </c>
      <c r="T933" s="77">
        <v>1</v>
      </c>
      <c r="U933" s="77">
        <v>0</v>
      </c>
      <c r="V933" s="77">
        <v>2</v>
      </c>
      <c r="W933" s="81" t="s">
        <v>1880</v>
      </c>
      <c r="X933" s="80" t="str">
        <f>HYPERLINK("https://inovies.com")</f>
        <v>https://inovies.com</v>
      </c>
      <c r="Y933" s="77" t="s">
        <v>1982</v>
      </c>
      <c r="Z933" s="77"/>
      <c r="AA933" s="77"/>
      <c r="AB933" s="77"/>
      <c r="AC933" s="81" t="s">
        <v>2707</v>
      </c>
      <c r="AD933" s="77" t="s">
        <v>2751</v>
      </c>
      <c r="AE933" s="80" t="str">
        <f>HYPERLINK("https://twitter.com/inovies/status/1734117929262752173")</f>
        <v>https://twitter.com/inovies/status/1734117929262752173</v>
      </c>
      <c r="AF933" s="79">
        <v>45271.3253125</v>
      </c>
      <c r="AG933" s="85">
        <v>45271</v>
      </c>
      <c r="AH933" s="81" t="s">
        <v>3524</v>
      </c>
      <c r="AI933" s="77" t="b">
        <v>0</v>
      </c>
      <c r="AJ933" s="77"/>
      <c r="AK933" s="77"/>
      <c r="AL933" s="77"/>
      <c r="AM933" s="77"/>
      <c r="AN933" s="77"/>
      <c r="AO933" s="77"/>
      <c r="AP933" s="77"/>
      <c r="AQ933" s="77"/>
      <c r="AR933" s="77"/>
      <c r="AS933" s="77"/>
      <c r="AT933" s="77"/>
      <c r="AU933" s="77"/>
      <c r="AV933" s="80" t="str">
        <f>HYPERLINK("https://pbs.twimg.com/profile_images/833576943677214720/5ZyUgpEJ_normal.jpg")</f>
        <v>https://pbs.twimg.com/profile_images/833576943677214720/5ZyUgpEJ_normal.jpg</v>
      </c>
      <c r="AW933" s="81" t="s">
        <v>5277</v>
      </c>
      <c r="AX933" s="81" t="s">
        <v>5534</v>
      </c>
      <c r="AY933" s="81" t="s">
        <v>5721</v>
      </c>
      <c r="AZ933" s="81" t="s">
        <v>5278</v>
      </c>
      <c r="BA933" s="81" t="s">
        <v>5773</v>
      </c>
      <c r="BB933" s="81" t="s">
        <v>5773</v>
      </c>
      <c r="BC933" s="81" t="s">
        <v>5278</v>
      </c>
      <c r="BD933" s="77">
        <v>297885438</v>
      </c>
      <c r="BE933" s="77"/>
      <c r="BF933" s="77"/>
      <c r="BG933" s="77"/>
      <c r="BH933" s="77"/>
      <c r="BI933" s="77"/>
    </row>
    <row r="934" spans="1:61" ht="15">
      <c r="A934" s="62" t="s">
        <v>299</v>
      </c>
      <c r="B934" s="62" t="s">
        <v>299</v>
      </c>
      <c r="C934" s="63"/>
      <c r="D934" s="64"/>
      <c r="E934" s="65"/>
      <c r="F934" s="66"/>
      <c r="G934" s="63"/>
      <c r="H934" s="67"/>
      <c r="I934" s="68"/>
      <c r="J934" s="68"/>
      <c r="K934" s="32" t="s">
        <v>65</v>
      </c>
      <c r="L934" s="75">
        <v>934</v>
      </c>
      <c r="M934" s="75"/>
      <c r="N934" s="70"/>
      <c r="O934" s="77" t="s">
        <v>572</v>
      </c>
      <c r="P934" s="79">
        <v>45271.32530092593</v>
      </c>
      <c r="Q934" s="77" t="s">
        <v>1320</v>
      </c>
      <c r="R934" s="77">
        <v>0</v>
      </c>
      <c r="S934" s="77">
        <v>0</v>
      </c>
      <c r="T934" s="77">
        <v>1</v>
      </c>
      <c r="U934" s="77">
        <v>0</v>
      </c>
      <c r="V934" s="77">
        <v>3</v>
      </c>
      <c r="W934" s="81" t="s">
        <v>1880</v>
      </c>
      <c r="X934" s="80" t="str">
        <f>HYPERLINK("https://inovies.com")</f>
        <v>https://inovies.com</v>
      </c>
      <c r="Y934" s="77" t="s">
        <v>1982</v>
      </c>
      <c r="Z934" s="77"/>
      <c r="AA934" s="77"/>
      <c r="AB934" s="77"/>
      <c r="AC934" s="81" t="s">
        <v>2707</v>
      </c>
      <c r="AD934" s="77" t="s">
        <v>2751</v>
      </c>
      <c r="AE934" s="80" t="str">
        <f>HYPERLINK("https://twitter.com/inovies/status/1734117926595150041")</f>
        <v>https://twitter.com/inovies/status/1734117926595150041</v>
      </c>
      <c r="AF934" s="79">
        <v>45271.32530092593</v>
      </c>
      <c r="AG934" s="85">
        <v>45271</v>
      </c>
      <c r="AH934" s="81" t="s">
        <v>3525</v>
      </c>
      <c r="AI934" s="77" t="b">
        <v>0</v>
      </c>
      <c r="AJ934" s="77"/>
      <c r="AK934" s="77"/>
      <c r="AL934" s="77"/>
      <c r="AM934" s="77"/>
      <c r="AN934" s="77"/>
      <c r="AO934" s="77"/>
      <c r="AP934" s="77"/>
      <c r="AQ934" s="77"/>
      <c r="AR934" s="77"/>
      <c r="AS934" s="77"/>
      <c r="AT934" s="77"/>
      <c r="AU934" s="77"/>
      <c r="AV934" s="80" t="str">
        <f>HYPERLINK("https://pbs.twimg.com/profile_images/833576943677214720/5ZyUgpEJ_normal.jpg")</f>
        <v>https://pbs.twimg.com/profile_images/833576943677214720/5ZyUgpEJ_normal.jpg</v>
      </c>
      <c r="AW934" s="81" t="s">
        <v>5278</v>
      </c>
      <c r="AX934" s="81" t="s">
        <v>5534</v>
      </c>
      <c r="AY934" s="81" t="s">
        <v>5721</v>
      </c>
      <c r="AZ934" s="81" t="s">
        <v>5279</v>
      </c>
      <c r="BA934" s="81" t="s">
        <v>5773</v>
      </c>
      <c r="BB934" s="81" t="s">
        <v>5773</v>
      </c>
      <c r="BC934" s="81" t="s">
        <v>5279</v>
      </c>
      <c r="BD934" s="77">
        <v>297885438</v>
      </c>
      <c r="BE934" s="77"/>
      <c r="BF934" s="77"/>
      <c r="BG934" s="77"/>
      <c r="BH934" s="77"/>
      <c r="BI934" s="77"/>
    </row>
    <row r="935" spans="1:61" ht="15">
      <c r="A935" s="62" t="s">
        <v>299</v>
      </c>
      <c r="B935" s="62" t="s">
        <v>299</v>
      </c>
      <c r="C935" s="63"/>
      <c r="D935" s="64"/>
      <c r="E935" s="65"/>
      <c r="F935" s="66"/>
      <c r="G935" s="63"/>
      <c r="H935" s="67"/>
      <c r="I935" s="68"/>
      <c r="J935" s="68"/>
      <c r="K935" s="32" t="s">
        <v>65</v>
      </c>
      <c r="L935" s="75">
        <v>935</v>
      </c>
      <c r="M935" s="75"/>
      <c r="N935" s="70"/>
      <c r="O935" s="77" t="s">
        <v>572</v>
      </c>
      <c r="P935" s="79">
        <v>45271.32530092593</v>
      </c>
      <c r="Q935" s="77" t="s">
        <v>1321</v>
      </c>
      <c r="R935" s="77">
        <v>0</v>
      </c>
      <c r="S935" s="77">
        <v>0</v>
      </c>
      <c r="T935" s="77">
        <v>1</v>
      </c>
      <c r="U935" s="77">
        <v>0</v>
      </c>
      <c r="V935" s="77">
        <v>2</v>
      </c>
      <c r="W935" s="81" t="s">
        <v>1880</v>
      </c>
      <c r="X935" s="80" t="str">
        <f>HYPERLINK("https://inovies.com")</f>
        <v>https://inovies.com</v>
      </c>
      <c r="Y935" s="77" t="s">
        <v>1982</v>
      </c>
      <c r="Z935" s="77"/>
      <c r="AA935" s="77"/>
      <c r="AB935" s="77"/>
      <c r="AC935" s="81" t="s">
        <v>2707</v>
      </c>
      <c r="AD935" s="77" t="s">
        <v>2751</v>
      </c>
      <c r="AE935" s="80" t="str">
        <f>HYPERLINK("https://twitter.com/inovies/status/1734117924028264740")</f>
        <v>https://twitter.com/inovies/status/1734117924028264740</v>
      </c>
      <c r="AF935" s="79">
        <v>45271.32530092593</v>
      </c>
      <c r="AG935" s="85">
        <v>45271</v>
      </c>
      <c r="AH935" s="81" t="s">
        <v>3525</v>
      </c>
      <c r="AI935" s="77" t="b">
        <v>0</v>
      </c>
      <c r="AJ935" s="77"/>
      <c r="AK935" s="77"/>
      <c r="AL935" s="77"/>
      <c r="AM935" s="77"/>
      <c r="AN935" s="77"/>
      <c r="AO935" s="77"/>
      <c r="AP935" s="77"/>
      <c r="AQ935" s="77"/>
      <c r="AR935" s="77"/>
      <c r="AS935" s="77"/>
      <c r="AT935" s="77"/>
      <c r="AU935" s="77"/>
      <c r="AV935" s="80" t="str">
        <f>HYPERLINK("https://pbs.twimg.com/profile_images/833576943677214720/5ZyUgpEJ_normal.jpg")</f>
        <v>https://pbs.twimg.com/profile_images/833576943677214720/5ZyUgpEJ_normal.jpg</v>
      </c>
      <c r="AW935" s="81" t="s">
        <v>5279</v>
      </c>
      <c r="AX935" s="81" t="s">
        <v>5534</v>
      </c>
      <c r="AY935" s="81" t="s">
        <v>5721</v>
      </c>
      <c r="AZ935" s="81" t="s">
        <v>5608</v>
      </c>
      <c r="BA935" s="81" t="s">
        <v>5773</v>
      </c>
      <c r="BB935" s="81" t="s">
        <v>5773</v>
      </c>
      <c r="BC935" s="81" t="s">
        <v>5608</v>
      </c>
      <c r="BD935" s="77">
        <v>297885438</v>
      </c>
      <c r="BE935" s="77"/>
      <c r="BF935" s="77"/>
      <c r="BG935" s="77"/>
      <c r="BH935" s="77"/>
      <c r="BI935" s="77"/>
    </row>
    <row r="936" spans="1:61" ht="15">
      <c r="A936" s="62" t="s">
        <v>299</v>
      </c>
      <c r="B936" s="62" t="s">
        <v>299</v>
      </c>
      <c r="C936" s="63"/>
      <c r="D936" s="64"/>
      <c r="E936" s="65"/>
      <c r="F936" s="66"/>
      <c r="G936" s="63"/>
      <c r="H936" s="67"/>
      <c r="I936" s="68"/>
      <c r="J936" s="68"/>
      <c r="K936" s="32" t="s">
        <v>65</v>
      </c>
      <c r="L936" s="75">
        <v>936</v>
      </c>
      <c r="M936" s="75"/>
      <c r="N936" s="70"/>
      <c r="O936" s="77" t="s">
        <v>572</v>
      </c>
      <c r="P936" s="79">
        <v>45271.319340277776</v>
      </c>
      <c r="Q936" s="77" t="s">
        <v>1322</v>
      </c>
      <c r="R936" s="77">
        <v>0</v>
      </c>
      <c r="S936" s="77">
        <v>0</v>
      </c>
      <c r="T936" s="77">
        <v>1</v>
      </c>
      <c r="U936" s="77">
        <v>0</v>
      </c>
      <c r="V936" s="77">
        <v>2</v>
      </c>
      <c r="W936" s="81" t="s">
        <v>1880</v>
      </c>
      <c r="X936" s="80" t="str">
        <f>HYPERLINK("https://www.inovies.com")</f>
        <v>https://www.inovies.com</v>
      </c>
      <c r="Y936" s="77" t="s">
        <v>1982</v>
      </c>
      <c r="Z936" s="77"/>
      <c r="AA936" s="77"/>
      <c r="AB936" s="77"/>
      <c r="AC936" s="81" t="s">
        <v>2707</v>
      </c>
      <c r="AD936" s="77" t="s">
        <v>2751</v>
      </c>
      <c r="AE936" s="80" t="str">
        <f>HYPERLINK("https://twitter.com/inovies/status/1734115765735899593")</f>
        <v>https://twitter.com/inovies/status/1734115765735899593</v>
      </c>
      <c r="AF936" s="79">
        <v>45271.319340277776</v>
      </c>
      <c r="AG936" s="85">
        <v>45271</v>
      </c>
      <c r="AH936" s="81" t="s">
        <v>3526</v>
      </c>
      <c r="AI936" s="77" t="b">
        <v>0</v>
      </c>
      <c r="AJ936" s="77"/>
      <c r="AK936" s="77"/>
      <c r="AL936" s="77"/>
      <c r="AM936" s="77"/>
      <c r="AN936" s="77"/>
      <c r="AO936" s="77"/>
      <c r="AP936" s="77"/>
      <c r="AQ936" s="77"/>
      <c r="AR936" s="77"/>
      <c r="AS936" s="77"/>
      <c r="AT936" s="77"/>
      <c r="AU936" s="77"/>
      <c r="AV936" s="80" t="str">
        <f>HYPERLINK("https://pbs.twimg.com/profile_images/833576943677214720/5ZyUgpEJ_normal.jpg")</f>
        <v>https://pbs.twimg.com/profile_images/833576943677214720/5ZyUgpEJ_normal.jpg</v>
      </c>
      <c r="AW936" s="81" t="s">
        <v>5280</v>
      </c>
      <c r="AX936" s="81" t="s">
        <v>5610</v>
      </c>
      <c r="AY936" s="81" t="s">
        <v>5721</v>
      </c>
      <c r="AZ936" s="81" t="s">
        <v>5281</v>
      </c>
      <c r="BA936" s="81" t="s">
        <v>5773</v>
      </c>
      <c r="BB936" s="81" t="s">
        <v>5773</v>
      </c>
      <c r="BC936" s="81" t="s">
        <v>5281</v>
      </c>
      <c r="BD936" s="77">
        <v>297885438</v>
      </c>
      <c r="BE936" s="77"/>
      <c r="BF936" s="77"/>
      <c r="BG936" s="77"/>
      <c r="BH936" s="77"/>
      <c r="BI936" s="77"/>
    </row>
    <row r="937" spans="1:61" ht="15">
      <c r="A937" s="62" t="s">
        <v>299</v>
      </c>
      <c r="B937" s="62" t="s">
        <v>299</v>
      </c>
      <c r="C937" s="63"/>
      <c r="D937" s="64"/>
      <c r="E937" s="65"/>
      <c r="F937" s="66"/>
      <c r="G937" s="63"/>
      <c r="H937" s="67"/>
      <c r="I937" s="68"/>
      <c r="J937" s="68"/>
      <c r="K937" s="32" t="s">
        <v>65</v>
      </c>
      <c r="L937" s="75">
        <v>937</v>
      </c>
      <c r="M937" s="75"/>
      <c r="N937" s="70"/>
      <c r="O937" s="77" t="s">
        <v>572</v>
      </c>
      <c r="P937" s="79">
        <v>45271.31932870371</v>
      </c>
      <c r="Q937" s="77" t="s">
        <v>1323</v>
      </c>
      <c r="R937" s="77">
        <v>0</v>
      </c>
      <c r="S937" s="77">
        <v>0</v>
      </c>
      <c r="T937" s="77">
        <v>1</v>
      </c>
      <c r="U937" s="77">
        <v>0</v>
      </c>
      <c r="V937" s="77">
        <v>2</v>
      </c>
      <c r="W937" s="81" t="s">
        <v>1880</v>
      </c>
      <c r="X937" s="80" t="str">
        <f>HYPERLINK("https://www.inovies.com")</f>
        <v>https://www.inovies.com</v>
      </c>
      <c r="Y937" s="77" t="s">
        <v>1982</v>
      </c>
      <c r="Z937" s="77"/>
      <c r="AA937" s="77"/>
      <c r="AB937" s="77"/>
      <c r="AC937" s="81" t="s">
        <v>2707</v>
      </c>
      <c r="AD937" s="77" t="s">
        <v>2751</v>
      </c>
      <c r="AE937" s="80" t="str">
        <f>HYPERLINK("https://twitter.com/inovies/status/1734115763252813855")</f>
        <v>https://twitter.com/inovies/status/1734115763252813855</v>
      </c>
      <c r="AF937" s="79">
        <v>45271.31932870371</v>
      </c>
      <c r="AG937" s="85">
        <v>45271</v>
      </c>
      <c r="AH937" s="81" t="s">
        <v>3527</v>
      </c>
      <c r="AI937" s="77" t="b">
        <v>0</v>
      </c>
      <c r="AJ937" s="77"/>
      <c r="AK937" s="77"/>
      <c r="AL937" s="77"/>
      <c r="AM937" s="77"/>
      <c r="AN937" s="77"/>
      <c r="AO937" s="77"/>
      <c r="AP937" s="77"/>
      <c r="AQ937" s="77"/>
      <c r="AR937" s="77"/>
      <c r="AS937" s="77"/>
      <c r="AT937" s="77"/>
      <c r="AU937" s="77"/>
      <c r="AV937" s="80" t="str">
        <f>HYPERLINK("https://pbs.twimg.com/profile_images/833576943677214720/5ZyUgpEJ_normal.jpg")</f>
        <v>https://pbs.twimg.com/profile_images/833576943677214720/5ZyUgpEJ_normal.jpg</v>
      </c>
      <c r="AW937" s="81" t="s">
        <v>5281</v>
      </c>
      <c r="AX937" s="81" t="s">
        <v>5610</v>
      </c>
      <c r="AY937" s="81" t="s">
        <v>5721</v>
      </c>
      <c r="AZ937" s="81" t="s">
        <v>5282</v>
      </c>
      <c r="BA937" s="81" t="s">
        <v>5773</v>
      </c>
      <c r="BB937" s="81" t="s">
        <v>5773</v>
      </c>
      <c r="BC937" s="81" t="s">
        <v>5282</v>
      </c>
      <c r="BD937" s="77">
        <v>297885438</v>
      </c>
      <c r="BE937" s="77"/>
      <c r="BF937" s="77"/>
      <c r="BG937" s="77"/>
      <c r="BH937" s="77"/>
      <c r="BI937" s="77"/>
    </row>
    <row r="938" spans="1:61" ht="15">
      <c r="A938" s="62" t="s">
        <v>299</v>
      </c>
      <c r="B938" s="62" t="s">
        <v>299</v>
      </c>
      <c r="C938" s="63"/>
      <c r="D938" s="64"/>
      <c r="E938" s="65"/>
      <c r="F938" s="66"/>
      <c r="G938" s="63"/>
      <c r="H938" s="67"/>
      <c r="I938" s="68"/>
      <c r="J938" s="68"/>
      <c r="K938" s="32" t="s">
        <v>65</v>
      </c>
      <c r="L938" s="75">
        <v>938</v>
      </c>
      <c r="M938" s="75"/>
      <c r="N938" s="70"/>
      <c r="O938" s="77" t="s">
        <v>572</v>
      </c>
      <c r="P938" s="79">
        <v>45271.31932870371</v>
      </c>
      <c r="Q938" s="77" t="s">
        <v>1324</v>
      </c>
      <c r="R938" s="77">
        <v>0</v>
      </c>
      <c r="S938" s="77">
        <v>0</v>
      </c>
      <c r="T938" s="77">
        <v>1</v>
      </c>
      <c r="U938" s="77">
        <v>0</v>
      </c>
      <c r="V938" s="77">
        <v>2</v>
      </c>
      <c r="W938" s="81" t="s">
        <v>1880</v>
      </c>
      <c r="X938" s="80" t="str">
        <f>HYPERLINK("https://www.inovies.com")</f>
        <v>https://www.inovies.com</v>
      </c>
      <c r="Y938" s="77" t="s">
        <v>1982</v>
      </c>
      <c r="Z938" s="77"/>
      <c r="AA938" s="77"/>
      <c r="AB938" s="77"/>
      <c r="AC938" s="81" t="s">
        <v>2707</v>
      </c>
      <c r="AD938" s="77" t="s">
        <v>2751</v>
      </c>
      <c r="AE938" s="80" t="str">
        <f>HYPERLINK("https://twitter.com/inovies/status/1734115760614633849")</f>
        <v>https://twitter.com/inovies/status/1734115760614633849</v>
      </c>
      <c r="AF938" s="79">
        <v>45271.31932870371</v>
      </c>
      <c r="AG938" s="85">
        <v>45271</v>
      </c>
      <c r="AH938" s="81" t="s">
        <v>3527</v>
      </c>
      <c r="AI938" s="77" t="b">
        <v>0</v>
      </c>
      <c r="AJ938" s="77"/>
      <c r="AK938" s="77"/>
      <c r="AL938" s="77"/>
      <c r="AM938" s="77"/>
      <c r="AN938" s="77"/>
      <c r="AO938" s="77"/>
      <c r="AP938" s="77"/>
      <c r="AQ938" s="77"/>
      <c r="AR938" s="77"/>
      <c r="AS938" s="77"/>
      <c r="AT938" s="77"/>
      <c r="AU938" s="77"/>
      <c r="AV938" s="80" t="str">
        <f>HYPERLINK("https://pbs.twimg.com/profile_images/833576943677214720/5ZyUgpEJ_normal.jpg")</f>
        <v>https://pbs.twimg.com/profile_images/833576943677214720/5ZyUgpEJ_normal.jpg</v>
      </c>
      <c r="AW938" s="81" t="s">
        <v>5282</v>
      </c>
      <c r="AX938" s="81" t="s">
        <v>5610</v>
      </c>
      <c r="AY938" s="81" t="s">
        <v>5721</v>
      </c>
      <c r="AZ938" s="81" t="s">
        <v>5283</v>
      </c>
      <c r="BA938" s="81" t="s">
        <v>5773</v>
      </c>
      <c r="BB938" s="81" t="s">
        <v>5773</v>
      </c>
      <c r="BC938" s="81" t="s">
        <v>5283</v>
      </c>
      <c r="BD938" s="77">
        <v>297885438</v>
      </c>
      <c r="BE938" s="77"/>
      <c r="BF938" s="77"/>
      <c r="BG938" s="77"/>
      <c r="BH938" s="77"/>
      <c r="BI938" s="77"/>
    </row>
    <row r="939" spans="1:61" ht="15">
      <c r="A939" s="62" t="s">
        <v>299</v>
      </c>
      <c r="B939" s="62" t="s">
        <v>299</v>
      </c>
      <c r="C939" s="63"/>
      <c r="D939" s="64"/>
      <c r="E939" s="65"/>
      <c r="F939" s="66"/>
      <c r="G939" s="63"/>
      <c r="H939" s="67"/>
      <c r="I939" s="68"/>
      <c r="J939" s="68"/>
      <c r="K939" s="32" t="s">
        <v>65</v>
      </c>
      <c r="L939" s="75">
        <v>939</v>
      </c>
      <c r="M939" s="75"/>
      <c r="N939" s="70"/>
      <c r="O939" s="77" t="s">
        <v>572</v>
      </c>
      <c r="P939" s="79">
        <v>45271.31931712963</v>
      </c>
      <c r="Q939" s="77" t="s">
        <v>1325</v>
      </c>
      <c r="R939" s="77">
        <v>0</v>
      </c>
      <c r="S939" s="77">
        <v>0</v>
      </c>
      <c r="T939" s="77">
        <v>1</v>
      </c>
      <c r="U939" s="77">
        <v>0</v>
      </c>
      <c r="V939" s="77">
        <v>1</v>
      </c>
      <c r="W939" s="81" t="s">
        <v>1880</v>
      </c>
      <c r="X939" s="80" t="str">
        <f>HYPERLINK("https://www.inovies.com")</f>
        <v>https://www.inovies.com</v>
      </c>
      <c r="Y939" s="77" t="s">
        <v>1982</v>
      </c>
      <c r="Z939" s="77"/>
      <c r="AA939" s="77"/>
      <c r="AB939" s="77"/>
      <c r="AC939" s="81" t="s">
        <v>2707</v>
      </c>
      <c r="AD939" s="77" t="s">
        <v>2751</v>
      </c>
      <c r="AE939" s="80" t="str">
        <f>HYPERLINK("https://twitter.com/inovies/status/1734115758450397284")</f>
        <v>https://twitter.com/inovies/status/1734115758450397284</v>
      </c>
      <c r="AF939" s="79">
        <v>45271.31931712963</v>
      </c>
      <c r="AG939" s="85">
        <v>45271</v>
      </c>
      <c r="AH939" s="81" t="s">
        <v>3528</v>
      </c>
      <c r="AI939" s="77" t="b">
        <v>0</v>
      </c>
      <c r="AJ939" s="77"/>
      <c r="AK939" s="77"/>
      <c r="AL939" s="77"/>
      <c r="AM939" s="77"/>
      <c r="AN939" s="77"/>
      <c r="AO939" s="77"/>
      <c r="AP939" s="77"/>
      <c r="AQ939" s="77"/>
      <c r="AR939" s="77"/>
      <c r="AS939" s="77"/>
      <c r="AT939" s="77"/>
      <c r="AU939" s="77"/>
      <c r="AV939" s="80" t="str">
        <f>HYPERLINK("https://pbs.twimg.com/profile_images/833576943677214720/5ZyUgpEJ_normal.jpg")</f>
        <v>https://pbs.twimg.com/profile_images/833576943677214720/5ZyUgpEJ_normal.jpg</v>
      </c>
      <c r="AW939" s="81" t="s">
        <v>5283</v>
      </c>
      <c r="AX939" s="81" t="s">
        <v>5610</v>
      </c>
      <c r="AY939" s="81" t="s">
        <v>5721</v>
      </c>
      <c r="AZ939" s="81" t="s">
        <v>5610</v>
      </c>
      <c r="BA939" s="81" t="s">
        <v>5773</v>
      </c>
      <c r="BB939" s="81" t="s">
        <v>5773</v>
      </c>
      <c r="BC939" s="81" t="s">
        <v>5610</v>
      </c>
      <c r="BD939" s="77">
        <v>297885438</v>
      </c>
      <c r="BE939" s="77"/>
      <c r="BF939" s="77"/>
      <c r="BG939" s="77"/>
      <c r="BH939" s="77"/>
      <c r="BI939" s="77"/>
    </row>
    <row r="940" spans="1:61" ht="15">
      <c r="A940" s="62" t="s">
        <v>299</v>
      </c>
      <c r="B940" s="62" t="s">
        <v>299</v>
      </c>
      <c r="C940" s="63"/>
      <c r="D940" s="64"/>
      <c r="E940" s="65"/>
      <c r="F940" s="66"/>
      <c r="G940" s="63"/>
      <c r="H940" s="67"/>
      <c r="I940" s="68"/>
      <c r="J940" s="68"/>
      <c r="K940" s="32" t="s">
        <v>65</v>
      </c>
      <c r="L940" s="75">
        <v>940</v>
      </c>
      <c r="M940" s="75"/>
      <c r="N940" s="70"/>
      <c r="O940" s="77" t="s">
        <v>572</v>
      </c>
      <c r="P940" s="79">
        <v>45271.311006944445</v>
      </c>
      <c r="Q940" s="77" t="s">
        <v>1326</v>
      </c>
      <c r="R940" s="77">
        <v>0</v>
      </c>
      <c r="S940" s="77">
        <v>0</v>
      </c>
      <c r="T940" s="77">
        <v>1</v>
      </c>
      <c r="U940" s="77">
        <v>0</v>
      </c>
      <c r="V940" s="77">
        <v>2</v>
      </c>
      <c r="W940" s="81" t="s">
        <v>1880</v>
      </c>
      <c r="X940" s="77"/>
      <c r="Y940" s="77"/>
      <c r="Z940" s="77"/>
      <c r="AA940" s="77"/>
      <c r="AB940" s="77"/>
      <c r="AC940" s="81" t="s">
        <v>2707</v>
      </c>
      <c r="AD940" s="77" t="s">
        <v>2751</v>
      </c>
      <c r="AE940" s="80" t="str">
        <f>HYPERLINK("https://twitter.com/inovies/status/1734112743806963782")</f>
        <v>https://twitter.com/inovies/status/1734112743806963782</v>
      </c>
      <c r="AF940" s="79">
        <v>45271.311006944445</v>
      </c>
      <c r="AG940" s="85">
        <v>45271</v>
      </c>
      <c r="AH940" s="81" t="s">
        <v>3381</v>
      </c>
      <c r="AI940" s="77"/>
      <c r="AJ940" s="77"/>
      <c r="AK940" s="77"/>
      <c r="AL940" s="77"/>
      <c r="AM940" s="77"/>
      <c r="AN940" s="77"/>
      <c r="AO940" s="77"/>
      <c r="AP940" s="77"/>
      <c r="AQ940" s="77"/>
      <c r="AR940" s="77"/>
      <c r="AS940" s="77"/>
      <c r="AT940" s="77"/>
      <c r="AU940" s="77"/>
      <c r="AV940" s="80" t="str">
        <f>HYPERLINK("https://pbs.twimg.com/profile_images/833576943677214720/5ZyUgpEJ_normal.jpg")</f>
        <v>https://pbs.twimg.com/profile_images/833576943677214720/5ZyUgpEJ_normal.jpg</v>
      </c>
      <c r="AW940" s="81" t="s">
        <v>5284</v>
      </c>
      <c r="AX940" s="81" t="s">
        <v>5129</v>
      </c>
      <c r="AY940" s="81" t="s">
        <v>5721</v>
      </c>
      <c r="AZ940" s="81" t="s">
        <v>5285</v>
      </c>
      <c r="BA940" s="81" t="s">
        <v>5773</v>
      </c>
      <c r="BB940" s="81" t="s">
        <v>5773</v>
      </c>
      <c r="BC940" s="81" t="s">
        <v>5285</v>
      </c>
      <c r="BD940" s="77">
        <v>297885438</v>
      </c>
      <c r="BE940" s="77"/>
      <c r="BF940" s="77"/>
      <c r="BG940" s="77"/>
      <c r="BH940" s="77"/>
      <c r="BI940" s="77"/>
    </row>
    <row r="941" spans="1:61" ht="15">
      <c r="A941" s="62" t="s">
        <v>299</v>
      </c>
      <c r="B941" s="62" t="s">
        <v>299</v>
      </c>
      <c r="C941" s="63"/>
      <c r="D941" s="64"/>
      <c r="E941" s="65"/>
      <c r="F941" s="66"/>
      <c r="G941" s="63"/>
      <c r="H941" s="67"/>
      <c r="I941" s="68"/>
      <c r="J941" s="68"/>
      <c r="K941" s="32" t="s">
        <v>65</v>
      </c>
      <c r="L941" s="75">
        <v>941</v>
      </c>
      <c r="M941" s="75"/>
      <c r="N941" s="70"/>
      <c r="O941" s="77" t="s">
        <v>572</v>
      </c>
      <c r="P941" s="79">
        <v>45271.31099537037</v>
      </c>
      <c r="Q941" s="77" t="s">
        <v>1327</v>
      </c>
      <c r="R941" s="77">
        <v>0</v>
      </c>
      <c r="S941" s="77">
        <v>0</v>
      </c>
      <c r="T941" s="77">
        <v>1</v>
      </c>
      <c r="U941" s="77">
        <v>0</v>
      </c>
      <c r="V941" s="77">
        <v>1</v>
      </c>
      <c r="W941" s="81" t="s">
        <v>1880</v>
      </c>
      <c r="X941" s="77"/>
      <c r="Y941" s="77"/>
      <c r="Z941" s="77"/>
      <c r="AA941" s="77"/>
      <c r="AB941" s="77"/>
      <c r="AC941" s="81" t="s">
        <v>2707</v>
      </c>
      <c r="AD941" s="77" t="s">
        <v>2751</v>
      </c>
      <c r="AE941" s="80" t="str">
        <f>HYPERLINK("https://twitter.com/inovies/status/1734112741743296705")</f>
        <v>https://twitter.com/inovies/status/1734112741743296705</v>
      </c>
      <c r="AF941" s="79">
        <v>45271.31099537037</v>
      </c>
      <c r="AG941" s="85">
        <v>45271</v>
      </c>
      <c r="AH941" s="81" t="s">
        <v>3529</v>
      </c>
      <c r="AI941" s="77"/>
      <c r="AJ941" s="77"/>
      <c r="AK941" s="77"/>
      <c r="AL941" s="77"/>
      <c r="AM941" s="77"/>
      <c r="AN941" s="77"/>
      <c r="AO941" s="77"/>
      <c r="AP941" s="77"/>
      <c r="AQ941" s="77"/>
      <c r="AR941" s="77"/>
      <c r="AS941" s="77"/>
      <c r="AT941" s="77"/>
      <c r="AU941" s="77"/>
      <c r="AV941" s="80" t="str">
        <f>HYPERLINK("https://pbs.twimg.com/profile_images/833576943677214720/5ZyUgpEJ_normal.jpg")</f>
        <v>https://pbs.twimg.com/profile_images/833576943677214720/5ZyUgpEJ_normal.jpg</v>
      </c>
      <c r="AW941" s="81" t="s">
        <v>5285</v>
      </c>
      <c r="AX941" s="81" t="s">
        <v>5129</v>
      </c>
      <c r="AY941" s="81" t="s">
        <v>5721</v>
      </c>
      <c r="AZ941" s="81" t="s">
        <v>5286</v>
      </c>
      <c r="BA941" s="81" t="s">
        <v>5773</v>
      </c>
      <c r="BB941" s="81" t="s">
        <v>5773</v>
      </c>
      <c r="BC941" s="81" t="s">
        <v>5286</v>
      </c>
      <c r="BD941" s="77">
        <v>297885438</v>
      </c>
      <c r="BE941" s="77"/>
      <c r="BF941" s="77"/>
      <c r="BG941" s="77"/>
      <c r="BH941" s="77"/>
      <c r="BI941" s="77"/>
    </row>
    <row r="942" spans="1:61" ht="15">
      <c r="A942" s="62" t="s">
        <v>299</v>
      </c>
      <c r="B942" s="62" t="s">
        <v>299</v>
      </c>
      <c r="C942" s="63"/>
      <c r="D942" s="64"/>
      <c r="E942" s="65"/>
      <c r="F942" s="66"/>
      <c r="G942" s="63"/>
      <c r="H942" s="67"/>
      <c r="I942" s="68"/>
      <c r="J942" s="68"/>
      <c r="K942" s="32" t="s">
        <v>65</v>
      </c>
      <c r="L942" s="75">
        <v>942</v>
      </c>
      <c r="M942" s="75"/>
      <c r="N942" s="70"/>
      <c r="O942" s="77" t="s">
        <v>572</v>
      </c>
      <c r="P942" s="79">
        <v>45271.3109837963</v>
      </c>
      <c r="Q942" s="77" t="s">
        <v>1328</v>
      </c>
      <c r="R942" s="77">
        <v>0</v>
      </c>
      <c r="S942" s="77">
        <v>0</v>
      </c>
      <c r="T942" s="77">
        <v>1</v>
      </c>
      <c r="U942" s="77">
        <v>0</v>
      </c>
      <c r="V942" s="77">
        <v>2</v>
      </c>
      <c r="W942" s="81" t="s">
        <v>1880</v>
      </c>
      <c r="X942" s="77"/>
      <c r="Y942" s="77"/>
      <c r="Z942" s="77"/>
      <c r="AA942" s="77"/>
      <c r="AB942" s="77"/>
      <c r="AC942" s="81" t="s">
        <v>2707</v>
      </c>
      <c r="AD942" s="77" t="s">
        <v>2751</v>
      </c>
      <c r="AE942" s="80" t="str">
        <f>HYPERLINK("https://twitter.com/inovies/status/1734112739440631900")</f>
        <v>https://twitter.com/inovies/status/1734112739440631900</v>
      </c>
      <c r="AF942" s="79">
        <v>45271.3109837963</v>
      </c>
      <c r="AG942" s="85">
        <v>45271</v>
      </c>
      <c r="AH942" s="81" t="s">
        <v>3255</v>
      </c>
      <c r="AI942" s="77"/>
      <c r="AJ942" s="77"/>
      <c r="AK942" s="77"/>
      <c r="AL942" s="77"/>
      <c r="AM942" s="77"/>
      <c r="AN942" s="77"/>
      <c r="AO942" s="77"/>
      <c r="AP942" s="77"/>
      <c r="AQ942" s="77"/>
      <c r="AR942" s="77"/>
      <c r="AS942" s="77"/>
      <c r="AT942" s="77"/>
      <c r="AU942" s="77"/>
      <c r="AV942" s="80" t="str">
        <f>HYPERLINK("https://pbs.twimg.com/profile_images/833576943677214720/5ZyUgpEJ_normal.jpg")</f>
        <v>https://pbs.twimg.com/profile_images/833576943677214720/5ZyUgpEJ_normal.jpg</v>
      </c>
      <c r="AW942" s="81" t="s">
        <v>5286</v>
      </c>
      <c r="AX942" s="81" t="s">
        <v>5129</v>
      </c>
      <c r="AY942" s="81" t="s">
        <v>5721</v>
      </c>
      <c r="AZ942" s="81" t="s">
        <v>5287</v>
      </c>
      <c r="BA942" s="81" t="s">
        <v>5773</v>
      </c>
      <c r="BB942" s="81" t="s">
        <v>5773</v>
      </c>
      <c r="BC942" s="81" t="s">
        <v>5287</v>
      </c>
      <c r="BD942" s="77">
        <v>297885438</v>
      </c>
      <c r="BE942" s="77"/>
      <c r="BF942" s="77"/>
      <c r="BG942" s="77"/>
      <c r="BH942" s="77"/>
      <c r="BI942" s="77"/>
    </row>
    <row r="943" spans="1:61" ht="15">
      <c r="A943" s="62" t="s">
        <v>299</v>
      </c>
      <c r="B943" s="62" t="s">
        <v>299</v>
      </c>
      <c r="C943" s="63"/>
      <c r="D943" s="64"/>
      <c r="E943" s="65"/>
      <c r="F943" s="66"/>
      <c r="G943" s="63"/>
      <c r="H943" s="67"/>
      <c r="I943" s="68"/>
      <c r="J943" s="68"/>
      <c r="K943" s="32" t="s">
        <v>65</v>
      </c>
      <c r="L943" s="75">
        <v>943</v>
      </c>
      <c r="M943" s="75"/>
      <c r="N943" s="70"/>
      <c r="O943" s="77" t="s">
        <v>572</v>
      </c>
      <c r="P943" s="79">
        <v>45271.3109837963</v>
      </c>
      <c r="Q943" s="77" t="s">
        <v>1329</v>
      </c>
      <c r="R943" s="77">
        <v>0</v>
      </c>
      <c r="S943" s="77">
        <v>1</v>
      </c>
      <c r="T943" s="77">
        <v>1</v>
      </c>
      <c r="U943" s="77">
        <v>0</v>
      </c>
      <c r="V943" s="77">
        <v>1</v>
      </c>
      <c r="W943" s="81" t="s">
        <v>1880</v>
      </c>
      <c r="X943" s="77"/>
      <c r="Y943" s="77"/>
      <c r="Z943" s="77"/>
      <c r="AA943" s="77"/>
      <c r="AB943" s="77"/>
      <c r="AC943" s="81" t="s">
        <v>2707</v>
      </c>
      <c r="AD943" s="77" t="s">
        <v>2751</v>
      </c>
      <c r="AE943" s="80" t="str">
        <f>HYPERLINK("https://twitter.com/inovies/status/1734112736932491523")</f>
        <v>https://twitter.com/inovies/status/1734112736932491523</v>
      </c>
      <c r="AF943" s="79">
        <v>45271.3109837963</v>
      </c>
      <c r="AG943" s="85">
        <v>45271</v>
      </c>
      <c r="AH943" s="81" t="s">
        <v>3255</v>
      </c>
      <c r="AI943" s="77"/>
      <c r="AJ943" s="77"/>
      <c r="AK943" s="77"/>
      <c r="AL943" s="77"/>
      <c r="AM943" s="77"/>
      <c r="AN943" s="77"/>
      <c r="AO943" s="77"/>
      <c r="AP943" s="77"/>
      <c r="AQ943" s="77"/>
      <c r="AR943" s="77"/>
      <c r="AS943" s="77"/>
      <c r="AT943" s="77"/>
      <c r="AU943" s="77"/>
      <c r="AV943" s="80" t="str">
        <f>HYPERLINK("https://pbs.twimg.com/profile_images/833576943677214720/5ZyUgpEJ_normal.jpg")</f>
        <v>https://pbs.twimg.com/profile_images/833576943677214720/5ZyUgpEJ_normal.jpg</v>
      </c>
      <c r="AW943" s="81" t="s">
        <v>5287</v>
      </c>
      <c r="AX943" s="81" t="s">
        <v>5129</v>
      </c>
      <c r="AY943" s="81" t="s">
        <v>5721</v>
      </c>
      <c r="AZ943" s="81" t="s">
        <v>5128</v>
      </c>
      <c r="BA943" s="81" t="s">
        <v>5773</v>
      </c>
      <c r="BB943" s="81" t="s">
        <v>5773</v>
      </c>
      <c r="BC943" s="81" t="s">
        <v>5128</v>
      </c>
      <c r="BD943" s="77">
        <v>297885438</v>
      </c>
      <c r="BE943" s="77"/>
      <c r="BF943" s="77"/>
      <c r="BG943" s="77"/>
      <c r="BH943" s="77"/>
      <c r="BI943" s="77"/>
    </row>
    <row r="944" spans="1:61" ht="15">
      <c r="A944" s="62" t="s">
        <v>299</v>
      </c>
      <c r="B944" s="62" t="s">
        <v>299</v>
      </c>
      <c r="C944" s="63"/>
      <c r="D944" s="64"/>
      <c r="E944" s="65"/>
      <c r="F944" s="66"/>
      <c r="G944" s="63"/>
      <c r="H944" s="67"/>
      <c r="I944" s="68"/>
      <c r="J944" s="68"/>
      <c r="K944" s="32" t="s">
        <v>65</v>
      </c>
      <c r="L944" s="75">
        <v>944</v>
      </c>
      <c r="M944" s="75"/>
      <c r="N944" s="70"/>
      <c r="O944" s="77" t="s">
        <v>572</v>
      </c>
      <c r="P944" s="79">
        <v>45269.392696759256</v>
      </c>
      <c r="Q944" s="77" t="s">
        <v>1330</v>
      </c>
      <c r="R944" s="77">
        <v>0</v>
      </c>
      <c r="S944" s="77">
        <v>0</v>
      </c>
      <c r="T944" s="77">
        <v>0</v>
      </c>
      <c r="U944" s="77">
        <v>0</v>
      </c>
      <c r="V944" s="77">
        <v>9</v>
      </c>
      <c r="W944" s="81" t="s">
        <v>1881</v>
      </c>
      <c r="X944" s="80" t="str">
        <f>HYPERLINK("https://inovies.com")</f>
        <v>https://inovies.com</v>
      </c>
      <c r="Y944" s="77" t="s">
        <v>1982</v>
      </c>
      <c r="Z944" s="77"/>
      <c r="AA944" s="77" t="s">
        <v>2445</v>
      </c>
      <c r="AB944" s="77" t="s">
        <v>2696</v>
      </c>
      <c r="AC944" s="81" t="s">
        <v>2707</v>
      </c>
      <c r="AD944" s="77" t="s">
        <v>2752</v>
      </c>
      <c r="AE944" s="80" t="str">
        <f>HYPERLINK("https://twitter.com/inovies/status/1733417573121724887")</f>
        <v>https://twitter.com/inovies/status/1733417573121724887</v>
      </c>
      <c r="AF944" s="79">
        <v>45269.392696759256</v>
      </c>
      <c r="AG944" s="85">
        <v>45269</v>
      </c>
      <c r="AH944" s="81" t="s">
        <v>3530</v>
      </c>
      <c r="AI944" s="77" t="b">
        <v>0</v>
      </c>
      <c r="AJ944" s="77"/>
      <c r="AK944" s="77"/>
      <c r="AL944" s="77"/>
      <c r="AM944" s="77"/>
      <c r="AN944" s="77"/>
      <c r="AO944" s="77"/>
      <c r="AP944" s="77"/>
      <c r="AQ944" s="77" t="s">
        <v>4259</v>
      </c>
      <c r="AR944" s="77"/>
      <c r="AS944" s="77"/>
      <c r="AT944" s="77"/>
      <c r="AU944" s="77"/>
      <c r="AV944" s="80" t="str">
        <f>HYPERLINK("https://pbs.twimg.com/media/GA5WFXqXAAAVOqJ.jpg")</f>
        <v>https://pbs.twimg.com/media/GA5WFXqXAAAVOqJ.jpg</v>
      </c>
      <c r="AW944" s="81" t="s">
        <v>5288</v>
      </c>
      <c r="AX944" s="81" t="s">
        <v>5294</v>
      </c>
      <c r="AY944" s="81" t="s">
        <v>5721</v>
      </c>
      <c r="AZ944" s="81" t="s">
        <v>5294</v>
      </c>
      <c r="BA944" s="81" t="s">
        <v>5773</v>
      </c>
      <c r="BB944" s="81" t="s">
        <v>5773</v>
      </c>
      <c r="BC944" s="81" t="s">
        <v>5294</v>
      </c>
      <c r="BD944" s="77">
        <v>297885438</v>
      </c>
      <c r="BE944" s="77"/>
      <c r="BF944" s="77"/>
      <c r="BG944" s="77"/>
      <c r="BH944" s="77"/>
      <c r="BI944" s="77"/>
    </row>
    <row r="945" spans="1:61" ht="15">
      <c r="A945" s="62" t="s">
        <v>299</v>
      </c>
      <c r="B945" s="62" t="s">
        <v>299</v>
      </c>
      <c r="C945" s="63"/>
      <c r="D945" s="64"/>
      <c r="E945" s="65"/>
      <c r="F945" s="66"/>
      <c r="G945" s="63"/>
      <c r="H945" s="67"/>
      <c r="I945" s="68"/>
      <c r="J945" s="68"/>
      <c r="K945" s="32" t="s">
        <v>65</v>
      </c>
      <c r="L945" s="75">
        <v>945</v>
      </c>
      <c r="M945" s="75"/>
      <c r="N945" s="70"/>
      <c r="O945" s="77" t="s">
        <v>572</v>
      </c>
      <c r="P945" s="79">
        <v>45269.39181712963</v>
      </c>
      <c r="Q945" s="77" t="s">
        <v>1331</v>
      </c>
      <c r="R945" s="77">
        <v>0</v>
      </c>
      <c r="S945" s="77">
        <v>0</v>
      </c>
      <c r="T945" s="77">
        <v>0</v>
      </c>
      <c r="U945" s="77">
        <v>0</v>
      </c>
      <c r="V945" s="77">
        <v>9</v>
      </c>
      <c r="W945" s="81" t="s">
        <v>1881</v>
      </c>
      <c r="X945" s="80" t="str">
        <f>HYPERLINK("https://inovies.com")</f>
        <v>https://inovies.com</v>
      </c>
      <c r="Y945" s="77" t="s">
        <v>1982</v>
      </c>
      <c r="Z945" s="77"/>
      <c r="AA945" s="77" t="s">
        <v>2446</v>
      </c>
      <c r="AB945" s="77" t="s">
        <v>2696</v>
      </c>
      <c r="AC945" s="81" t="s">
        <v>2707</v>
      </c>
      <c r="AD945" s="77" t="s">
        <v>2752</v>
      </c>
      <c r="AE945" s="80" t="str">
        <f>HYPERLINK("https://twitter.com/inovies/status/1733417253859721546")</f>
        <v>https://twitter.com/inovies/status/1733417253859721546</v>
      </c>
      <c r="AF945" s="79">
        <v>45269.39181712963</v>
      </c>
      <c r="AG945" s="85">
        <v>45269</v>
      </c>
      <c r="AH945" s="81" t="s">
        <v>3531</v>
      </c>
      <c r="AI945" s="77" t="b">
        <v>0</v>
      </c>
      <c r="AJ945" s="77"/>
      <c r="AK945" s="77"/>
      <c r="AL945" s="77"/>
      <c r="AM945" s="77"/>
      <c r="AN945" s="77"/>
      <c r="AO945" s="77"/>
      <c r="AP945" s="77"/>
      <c r="AQ945" s="77" t="s">
        <v>4260</v>
      </c>
      <c r="AR945" s="77"/>
      <c r="AS945" s="77"/>
      <c r="AT945" s="77"/>
      <c r="AU945" s="77"/>
      <c r="AV945" s="80" t="str">
        <f>HYPERLINK("https://pbs.twimg.com/media/GA5VxXGWwAArPZi.jpg")</f>
        <v>https://pbs.twimg.com/media/GA5VxXGWwAArPZi.jpg</v>
      </c>
      <c r="AW945" s="81" t="s">
        <v>5289</v>
      </c>
      <c r="AX945" s="81" t="s">
        <v>5294</v>
      </c>
      <c r="AY945" s="81" t="s">
        <v>5721</v>
      </c>
      <c r="AZ945" s="81" t="s">
        <v>5294</v>
      </c>
      <c r="BA945" s="81" t="s">
        <v>5773</v>
      </c>
      <c r="BB945" s="81" t="s">
        <v>5773</v>
      </c>
      <c r="BC945" s="81" t="s">
        <v>5294</v>
      </c>
      <c r="BD945" s="77">
        <v>297885438</v>
      </c>
      <c r="BE945" s="77"/>
      <c r="BF945" s="77"/>
      <c r="BG945" s="77"/>
      <c r="BH945" s="77"/>
      <c r="BI945" s="77"/>
    </row>
    <row r="946" spans="1:61" ht="15">
      <c r="A946" s="62" t="s">
        <v>299</v>
      </c>
      <c r="B946" s="62" t="s">
        <v>299</v>
      </c>
      <c r="C946" s="63"/>
      <c r="D946" s="64"/>
      <c r="E946" s="65"/>
      <c r="F946" s="66"/>
      <c r="G946" s="63"/>
      <c r="H946" s="67"/>
      <c r="I946" s="68"/>
      <c r="J946" s="68"/>
      <c r="K946" s="32" t="s">
        <v>65</v>
      </c>
      <c r="L946" s="75">
        <v>946</v>
      </c>
      <c r="M946" s="75"/>
      <c r="N946" s="70"/>
      <c r="O946" s="77" t="s">
        <v>572</v>
      </c>
      <c r="P946" s="79">
        <v>45269.390868055554</v>
      </c>
      <c r="Q946" s="77" t="s">
        <v>1332</v>
      </c>
      <c r="R946" s="77">
        <v>0</v>
      </c>
      <c r="S946" s="77">
        <v>0</v>
      </c>
      <c r="T946" s="77">
        <v>0</v>
      </c>
      <c r="U946" s="77">
        <v>0</v>
      </c>
      <c r="V946" s="77">
        <v>8</v>
      </c>
      <c r="W946" s="81" t="s">
        <v>1881</v>
      </c>
      <c r="X946" s="80" t="str">
        <f>HYPERLINK("https://inovies.com")</f>
        <v>https://inovies.com</v>
      </c>
      <c r="Y946" s="77" t="s">
        <v>1982</v>
      </c>
      <c r="Z946" s="77"/>
      <c r="AA946" s="77" t="s">
        <v>2447</v>
      </c>
      <c r="AB946" s="77" t="s">
        <v>2696</v>
      </c>
      <c r="AC946" s="81" t="s">
        <v>2707</v>
      </c>
      <c r="AD946" s="77" t="s">
        <v>2752</v>
      </c>
      <c r="AE946" s="80" t="str">
        <f>HYPERLINK("https://twitter.com/inovies/status/1733416912049111114")</f>
        <v>https://twitter.com/inovies/status/1733416912049111114</v>
      </c>
      <c r="AF946" s="79">
        <v>45269.390868055554</v>
      </c>
      <c r="AG946" s="85">
        <v>45269</v>
      </c>
      <c r="AH946" s="81" t="s">
        <v>3532</v>
      </c>
      <c r="AI946" s="77" t="b">
        <v>0</v>
      </c>
      <c r="AJ946" s="77"/>
      <c r="AK946" s="77"/>
      <c r="AL946" s="77"/>
      <c r="AM946" s="77"/>
      <c r="AN946" s="77"/>
      <c r="AO946" s="77"/>
      <c r="AP946" s="77"/>
      <c r="AQ946" s="77" t="s">
        <v>4261</v>
      </c>
      <c r="AR946" s="77"/>
      <c r="AS946" s="77"/>
      <c r="AT946" s="77"/>
      <c r="AU946" s="77"/>
      <c r="AV946" s="80" t="str">
        <f>HYPERLINK("https://pbs.twimg.com/media/GA5VdVtXcAIVQxJ.jpg")</f>
        <v>https://pbs.twimg.com/media/GA5VdVtXcAIVQxJ.jpg</v>
      </c>
      <c r="AW946" s="81" t="s">
        <v>5290</v>
      </c>
      <c r="AX946" s="81" t="s">
        <v>5294</v>
      </c>
      <c r="AY946" s="81" t="s">
        <v>5721</v>
      </c>
      <c r="AZ946" s="81" t="s">
        <v>5294</v>
      </c>
      <c r="BA946" s="81" t="s">
        <v>5773</v>
      </c>
      <c r="BB946" s="81" t="s">
        <v>5773</v>
      </c>
      <c r="BC946" s="81" t="s">
        <v>5294</v>
      </c>
      <c r="BD946" s="77">
        <v>297885438</v>
      </c>
      <c r="BE946" s="77"/>
      <c r="BF946" s="77"/>
      <c r="BG946" s="77"/>
      <c r="BH946" s="77"/>
      <c r="BI946" s="77"/>
    </row>
    <row r="947" spans="1:61" ht="15">
      <c r="A947" s="62" t="s">
        <v>299</v>
      </c>
      <c r="B947" s="62" t="s">
        <v>299</v>
      </c>
      <c r="C947" s="63"/>
      <c r="D947" s="64"/>
      <c r="E947" s="65"/>
      <c r="F947" s="66"/>
      <c r="G947" s="63"/>
      <c r="H947" s="67"/>
      <c r="I947" s="68"/>
      <c r="J947" s="68"/>
      <c r="K947" s="32" t="s">
        <v>65</v>
      </c>
      <c r="L947" s="75">
        <v>947</v>
      </c>
      <c r="M947" s="75"/>
      <c r="N947" s="70"/>
      <c r="O947" s="77" t="s">
        <v>572</v>
      </c>
      <c r="P947" s="79">
        <v>45269.38946759259</v>
      </c>
      <c r="Q947" s="77" t="s">
        <v>1333</v>
      </c>
      <c r="R947" s="77">
        <v>0</v>
      </c>
      <c r="S947" s="77">
        <v>0</v>
      </c>
      <c r="T947" s="77">
        <v>0</v>
      </c>
      <c r="U947" s="77">
        <v>0</v>
      </c>
      <c r="V947" s="77">
        <v>9</v>
      </c>
      <c r="W947" s="81" t="s">
        <v>1881</v>
      </c>
      <c r="X947" s="80" t="str">
        <f>HYPERLINK("https://inovies.com")</f>
        <v>https://inovies.com</v>
      </c>
      <c r="Y947" s="77" t="s">
        <v>1982</v>
      </c>
      <c r="Z947" s="77"/>
      <c r="AA947" s="77" t="s">
        <v>2448</v>
      </c>
      <c r="AB947" s="77" t="s">
        <v>2696</v>
      </c>
      <c r="AC947" s="81" t="s">
        <v>2707</v>
      </c>
      <c r="AD947" s="77" t="s">
        <v>2752</v>
      </c>
      <c r="AE947" s="80" t="str">
        <f>HYPERLINK("https://twitter.com/inovies/status/1733416401296081043")</f>
        <v>https://twitter.com/inovies/status/1733416401296081043</v>
      </c>
      <c r="AF947" s="79">
        <v>45269.38946759259</v>
      </c>
      <c r="AG947" s="85">
        <v>45269</v>
      </c>
      <c r="AH947" s="81" t="s">
        <v>3533</v>
      </c>
      <c r="AI947" s="77" t="b">
        <v>0</v>
      </c>
      <c r="AJ947" s="77"/>
      <c r="AK947" s="77"/>
      <c r="AL947" s="77"/>
      <c r="AM947" s="77"/>
      <c r="AN947" s="77"/>
      <c r="AO947" s="77"/>
      <c r="AP947" s="77"/>
      <c r="AQ947" s="77" t="s">
        <v>4262</v>
      </c>
      <c r="AR947" s="77"/>
      <c r="AS947" s="77"/>
      <c r="AT947" s="77"/>
      <c r="AU947" s="77"/>
      <c r="AV947" s="80" t="str">
        <f>HYPERLINK("https://pbs.twimg.com/media/GA5VBBvWkAATcdX.jpg")</f>
        <v>https://pbs.twimg.com/media/GA5VBBvWkAATcdX.jpg</v>
      </c>
      <c r="AW947" s="81" t="s">
        <v>5291</v>
      </c>
      <c r="AX947" s="81" t="s">
        <v>5294</v>
      </c>
      <c r="AY947" s="81" t="s">
        <v>5721</v>
      </c>
      <c r="AZ947" s="81" t="s">
        <v>5294</v>
      </c>
      <c r="BA947" s="81" t="s">
        <v>5773</v>
      </c>
      <c r="BB947" s="81" t="s">
        <v>5773</v>
      </c>
      <c r="BC947" s="81" t="s">
        <v>5294</v>
      </c>
      <c r="BD947" s="77">
        <v>297885438</v>
      </c>
      <c r="BE947" s="77"/>
      <c r="BF947" s="77"/>
      <c r="BG947" s="77"/>
      <c r="BH947" s="77"/>
      <c r="BI947" s="77"/>
    </row>
    <row r="948" spans="1:61" ht="15">
      <c r="A948" s="62" t="s">
        <v>299</v>
      </c>
      <c r="B948" s="62" t="s">
        <v>299</v>
      </c>
      <c r="C948" s="63"/>
      <c r="D948" s="64"/>
      <c r="E948" s="65"/>
      <c r="F948" s="66"/>
      <c r="G948" s="63"/>
      <c r="H948" s="67"/>
      <c r="I948" s="68"/>
      <c r="J948" s="68"/>
      <c r="K948" s="32" t="s">
        <v>65</v>
      </c>
      <c r="L948" s="75">
        <v>948</v>
      </c>
      <c r="M948" s="75"/>
      <c r="N948" s="70"/>
      <c r="O948" s="77" t="s">
        <v>572</v>
      </c>
      <c r="P948" s="79">
        <v>45269.38862268518</v>
      </c>
      <c r="Q948" s="77" t="s">
        <v>1334</v>
      </c>
      <c r="R948" s="77">
        <v>0</v>
      </c>
      <c r="S948" s="77">
        <v>0</v>
      </c>
      <c r="T948" s="77">
        <v>0</v>
      </c>
      <c r="U948" s="77">
        <v>0</v>
      </c>
      <c r="V948" s="77">
        <v>10</v>
      </c>
      <c r="W948" s="81" t="s">
        <v>1881</v>
      </c>
      <c r="X948" s="80" t="str">
        <f>HYPERLINK("https://inovies.com")</f>
        <v>https://inovies.com</v>
      </c>
      <c r="Y948" s="77" t="s">
        <v>1982</v>
      </c>
      <c r="Z948" s="77"/>
      <c r="AA948" s="77" t="s">
        <v>2449</v>
      </c>
      <c r="AB948" s="77" t="s">
        <v>2696</v>
      </c>
      <c r="AC948" s="81" t="s">
        <v>2707</v>
      </c>
      <c r="AD948" s="77" t="s">
        <v>2752</v>
      </c>
      <c r="AE948" s="80" t="str">
        <f>HYPERLINK("https://twitter.com/inovies/status/1733416097880162657")</f>
        <v>https://twitter.com/inovies/status/1733416097880162657</v>
      </c>
      <c r="AF948" s="79">
        <v>45269.38862268518</v>
      </c>
      <c r="AG948" s="85">
        <v>45269</v>
      </c>
      <c r="AH948" s="81" t="s">
        <v>3534</v>
      </c>
      <c r="AI948" s="77" t="b">
        <v>0</v>
      </c>
      <c r="AJ948" s="77"/>
      <c r="AK948" s="77"/>
      <c r="AL948" s="77"/>
      <c r="AM948" s="77"/>
      <c r="AN948" s="77"/>
      <c r="AO948" s="77"/>
      <c r="AP948" s="77"/>
      <c r="AQ948" s="77" t="s">
        <v>4263</v>
      </c>
      <c r="AR948" s="77"/>
      <c r="AS948" s="77"/>
      <c r="AT948" s="77"/>
      <c r="AU948" s="77"/>
      <c r="AV948" s="80" t="str">
        <f>HYPERLINK("https://pbs.twimg.com/media/GA5Uu7vW8AAe2C6.jpg")</f>
        <v>https://pbs.twimg.com/media/GA5Uu7vW8AAe2C6.jpg</v>
      </c>
      <c r="AW948" s="81" t="s">
        <v>5292</v>
      </c>
      <c r="AX948" s="81" t="s">
        <v>5294</v>
      </c>
      <c r="AY948" s="81" t="s">
        <v>5721</v>
      </c>
      <c r="AZ948" s="81" t="s">
        <v>5294</v>
      </c>
      <c r="BA948" s="81" t="s">
        <v>5773</v>
      </c>
      <c r="BB948" s="81" t="s">
        <v>5773</v>
      </c>
      <c r="BC948" s="81" t="s">
        <v>5294</v>
      </c>
      <c r="BD948" s="77">
        <v>297885438</v>
      </c>
      <c r="BE948" s="77"/>
      <c r="BF948" s="77"/>
      <c r="BG948" s="77"/>
      <c r="BH948" s="77"/>
      <c r="BI948" s="77"/>
    </row>
    <row r="949" spans="1:61" ht="15">
      <c r="A949" s="62" t="s">
        <v>299</v>
      </c>
      <c r="B949" s="62" t="s">
        <v>299</v>
      </c>
      <c r="C949" s="63"/>
      <c r="D949" s="64"/>
      <c r="E949" s="65"/>
      <c r="F949" s="66"/>
      <c r="G949" s="63"/>
      <c r="H949" s="67"/>
      <c r="I949" s="68"/>
      <c r="J949" s="68"/>
      <c r="K949" s="32" t="s">
        <v>65</v>
      </c>
      <c r="L949" s="75">
        <v>949</v>
      </c>
      <c r="M949" s="75"/>
      <c r="N949" s="70"/>
      <c r="O949" s="77" t="s">
        <v>572</v>
      </c>
      <c r="P949" s="79">
        <v>45269.3875462963</v>
      </c>
      <c r="Q949" s="77" t="s">
        <v>1335</v>
      </c>
      <c r="R949" s="77">
        <v>0</v>
      </c>
      <c r="S949" s="77">
        <v>0</v>
      </c>
      <c r="T949" s="77">
        <v>0</v>
      </c>
      <c r="U949" s="77">
        <v>0</v>
      </c>
      <c r="V949" s="77">
        <v>11</v>
      </c>
      <c r="W949" s="81" t="s">
        <v>1881</v>
      </c>
      <c r="X949" s="80" t="str">
        <f>HYPERLINK("https://inovies.com")</f>
        <v>https://inovies.com</v>
      </c>
      <c r="Y949" s="77" t="s">
        <v>1982</v>
      </c>
      <c r="Z949" s="77"/>
      <c r="AA949" s="77" t="s">
        <v>2450</v>
      </c>
      <c r="AB949" s="77" t="s">
        <v>2696</v>
      </c>
      <c r="AC949" s="81" t="s">
        <v>2707</v>
      </c>
      <c r="AD949" s="77" t="s">
        <v>2752</v>
      </c>
      <c r="AE949" s="80" t="str">
        <f>HYPERLINK("https://twitter.com/inovies/status/1733415708086698050")</f>
        <v>https://twitter.com/inovies/status/1733415708086698050</v>
      </c>
      <c r="AF949" s="79">
        <v>45269.3875462963</v>
      </c>
      <c r="AG949" s="85">
        <v>45269</v>
      </c>
      <c r="AH949" s="81" t="s">
        <v>3535</v>
      </c>
      <c r="AI949" s="77" t="b">
        <v>0</v>
      </c>
      <c r="AJ949" s="77"/>
      <c r="AK949" s="77"/>
      <c r="AL949" s="77"/>
      <c r="AM949" s="77"/>
      <c r="AN949" s="77"/>
      <c r="AO949" s="77"/>
      <c r="AP949" s="77"/>
      <c r="AQ949" s="77" t="s">
        <v>4264</v>
      </c>
      <c r="AR949" s="77"/>
      <c r="AS949" s="77"/>
      <c r="AT949" s="77"/>
      <c r="AU949" s="77"/>
      <c r="AV949" s="80" t="str">
        <f>HYPERLINK("https://pbs.twimg.com/media/GA5UYLhW8AA8pYn.jpg")</f>
        <v>https://pbs.twimg.com/media/GA5UYLhW8AA8pYn.jpg</v>
      </c>
      <c r="AW949" s="81" t="s">
        <v>5293</v>
      </c>
      <c r="AX949" s="81" t="s">
        <v>5294</v>
      </c>
      <c r="AY949" s="81" t="s">
        <v>5721</v>
      </c>
      <c r="AZ949" s="81" t="s">
        <v>5294</v>
      </c>
      <c r="BA949" s="81" t="s">
        <v>5773</v>
      </c>
      <c r="BB949" s="81" t="s">
        <v>5773</v>
      </c>
      <c r="BC949" s="81" t="s">
        <v>5294</v>
      </c>
      <c r="BD949" s="77">
        <v>297885438</v>
      </c>
      <c r="BE949" s="77"/>
      <c r="BF949" s="77"/>
      <c r="BG949" s="77"/>
      <c r="BH949" s="77"/>
      <c r="BI949" s="77"/>
    </row>
    <row r="950" spans="1:61" ht="15">
      <c r="A950" s="62" t="s">
        <v>299</v>
      </c>
      <c r="B950" s="62" t="s">
        <v>299</v>
      </c>
      <c r="C950" s="63"/>
      <c r="D950" s="64"/>
      <c r="E950" s="65"/>
      <c r="F950" s="66"/>
      <c r="G950" s="63"/>
      <c r="H950" s="67"/>
      <c r="I950" s="68"/>
      <c r="J950" s="68"/>
      <c r="K950" s="32" t="s">
        <v>65</v>
      </c>
      <c r="L950" s="75">
        <v>950</v>
      </c>
      <c r="M950" s="75"/>
      <c r="N950" s="70"/>
      <c r="O950" s="77" t="s">
        <v>179</v>
      </c>
      <c r="P950" s="79">
        <v>45269.385925925926</v>
      </c>
      <c r="Q950" s="77" t="s">
        <v>1336</v>
      </c>
      <c r="R950" s="77">
        <v>0</v>
      </c>
      <c r="S950" s="77">
        <v>0</v>
      </c>
      <c r="T950" s="77">
        <v>14</v>
      </c>
      <c r="U950" s="77">
        <v>0</v>
      </c>
      <c r="V950" s="77">
        <v>27</v>
      </c>
      <c r="W950" s="81" t="s">
        <v>1881</v>
      </c>
      <c r="X950" s="80" t="str">
        <f>HYPERLINK("https://inovies.com")</f>
        <v>https://inovies.com</v>
      </c>
      <c r="Y950" s="77" t="s">
        <v>1982</v>
      </c>
      <c r="Z950" s="77"/>
      <c r="AA950" s="77" t="s">
        <v>2451</v>
      </c>
      <c r="AB950" s="77" t="s">
        <v>2696</v>
      </c>
      <c r="AC950" s="81" t="s">
        <v>2707</v>
      </c>
      <c r="AD950" s="77" t="s">
        <v>2752</v>
      </c>
      <c r="AE950" s="80" t="str">
        <f>HYPERLINK("https://twitter.com/inovies/status/1733415118086533261")</f>
        <v>https://twitter.com/inovies/status/1733415118086533261</v>
      </c>
      <c r="AF950" s="79">
        <v>45269.385925925926</v>
      </c>
      <c r="AG950" s="85">
        <v>45269</v>
      </c>
      <c r="AH950" s="81" t="s">
        <v>3536</v>
      </c>
      <c r="AI950" s="77" t="b">
        <v>0</v>
      </c>
      <c r="AJ950" s="77"/>
      <c r="AK950" s="77"/>
      <c r="AL950" s="77"/>
      <c r="AM950" s="77"/>
      <c r="AN950" s="77"/>
      <c r="AO950" s="77"/>
      <c r="AP950" s="77"/>
      <c r="AQ950" s="77" t="s">
        <v>4265</v>
      </c>
      <c r="AR950" s="77"/>
      <c r="AS950" s="77"/>
      <c r="AT950" s="77"/>
      <c r="AU950" s="77"/>
      <c r="AV950" s="80" t="str">
        <f>HYPERLINK("https://pbs.twimg.com/media/GA5TUh_XkAApEkd.jpg")</f>
        <v>https://pbs.twimg.com/media/GA5TUh_XkAApEkd.jpg</v>
      </c>
      <c r="AW950" s="81" t="s">
        <v>5294</v>
      </c>
      <c r="AX950" s="81" t="s">
        <v>5294</v>
      </c>
      <c r="AY950" s="77"/>
      <c r="AZ950" s="81" t="s">
        <v>5773</v>
      </c>
      <c r="BA950" s="81" t="s">
        <v>5773</v>
      </c>
      <c r="BB950" s="81" t="s">
        <v>5773</v>
      </c>
      <c r="BC950" s="81" t="s">
        <v>5294</v>
      </c>
      <c r="BD950" s="77">
        <v>297885438</v>
      </c>
      <c r="BE950" s="77"/>
      <c r="BF950" s="77"/>
      <c r="BG950" s="77"/>
      <c r="BH950" s="77"/>
      <c r="BI950" s="77"/>
    </row>
    <row r="951" spans="1:61" ht="15">
      <c r="A951" s="62" t="s">
        <v>299</v>
      </c>
      <c r="B951" s="62" t="s">
        <v>299</v>
      </c>
      <c r="C951" s="63"/>
      <c r="D951" s="64"/>
      <c r="E951" s="65"/>
      <c r="F951" s="66"/>
      <c r="G951" s="63"/>
      <c r="H951" s="67"/>
      <c r="I951" s="68"/>
      <c r="J951" s="68"/>
      <c r="K951" s="32" t="s">
        <v>65</v>
      </c>
      <c r="L951" s="75">
        <v>951</v>
      </c>
      <c r="M951" s="75"/>
      <c r="N951" s="70"/>
      <c r="O951" s="77" t="s">
        <v>571</v>
      </c>
      <c r="P951" s="79">
        <v>45269.164560185185</v>
      </c>
      <c r="Q951" s="77" t="s">
        <v>1337</v>
      </c>
      <c r="R951" s="77">
        <v>0</v>
      </c>
      <c r="S951" s="77">
        <v>0</v>
      </c>
      <c r="T951" s="77">
        <v>0</v>
      </c>
      <c r="U951" s="77">
        <v>0</v>
      </c>
      <c r="V951" s="77">
        <v>19</v>
      </c>
      <c r="W951" s="81" t="s">
        <v>1896</v>
      </c>
      <c r="X951" s="77"/>
      <c r="Y951" s="77"/>
      <c r="Z951" s="77" t="s">
        <v>299</v>
      </c>
      <c r="AA951" s="77"/>
      <c r="AB951" s="77"/>
      <c r="AC951" s="81" t="s">
        <v>2707</v>
      </c>
      <c r="AD951" s="77" t="s">
        <v>2751</v>
      </c>
      <c r="AE951" s="80" t="str">
        <f>HYPERLINK("https://twitter.com/inovies/status/1733334898306392355")</f>
        <v>https://twitter.com/inovies/status/1733334898306392355</v>
      </c>
      <c r="AF951" s="79">
        <v>45269.164560185185</v>
      </c>
      <c r="AG951" s="85">
        <v>45269</v>
      </c>
      <c r="AH951" s="81" t="s">
        <v>3537</v>
      </c>
      <c r="AI951" s="77" t="b">
        <v>0</v>
      </c>
      <c r="AJ951" s="77"/>
      <c r="AK951" s="77"/>
      <c r="AL951" s="77"/>
      <c r="AM951" s="77"/>
      <c r="AN951" s="77"/>
      <c r="AO951" s="77"/>
      <c r="AP951" s="77"/>
      <c r="AQ951" s="77"/>
      <c r="AR951" s="77"/>
      <c r="AS951" s="77"/>
      <c r="AT951" s="77"/>
      <c r="AU951" s="77"/>
      <c r="AV951" s="80" t="str">
        <f>HYPERLINK("https://pbs.twimg.com/profile_images/833576943677214720/5ZyUgpEJ_normal.jpg")</f>
        <v>https://pbs.twimg.com/profile_images/833576943677214720/5ZyUgpEJ_normal.jpg</v>
      </c>
      <c r="AW951" s="81" t="s">
        <v>5295</v>
      </c>
      <c r="AX951" s="81" t="s">
        <v>5295</v>
      </c>
      <c r="AY951" s="77"/>
      <c r="AZ951" s="81" t="s">
        <v>5773</v>
      </c>
      <c r="BA951" s="81" t="s">
        <v>5773</v>
      </c>
      <c r="BB951" s="81" t="s">
        <v>5773</v>
      </c>
      <c r="BC951" s="81" t="s">
        <v>5295</v>
      </c>
      <c r="BD951" s="77">
        <v>297885438</v>
      </c>
      <c r="BE951" s="77" t="s">
        <v>5831</v>
      </c>
      <c r="BF951" s="77" t="s">
        <v>5832</v>
      </c>
      <c r="BG951" s="77">
        <v>1440</v>
      </c>
      <c r="BH951" s="77" t="s">
        <v>5833</v>
      </c>
      <c r="BI951" s="77" t="s">
        <v>5834</v>
      </c>
    </row>
    <row r="952" spans="1:61" ht="15">
      <c r="A952" s="62" t="s">
        <v>299</v>
      </c>
      <c r="B952" s="62" t="s">
        <v>299</v>
      </c>
      <c r="C952" s="63"/>
      <c r="D952" s="64"/>
      <c r="E952" s="65"/>
      <c r="F952" s="66"/>
      <c r="G952" s="63"/>
      <c r="H952" s="67"/>
      <c r="I952" s="68"/>
      <c r="J952" s="68"/>
      <c r="K952" s="32" t="s">
        <v>65</v>
      </c>
      <c r="L952" s="75">
        <v>952</v>
      </c>
      <c r="M952" s="75"/>
      <c r="N952" s="70"/>
      <c r="O952" s="77" t="s">
        <v>179</v>
      </c>
      <c r="P952" s="79">
        <v>45267.8034837963</v>
      </c>
      <c r="Q952" s="77" t="s">
        <v>1338</v>
      </c>
      <c r="R952" s="77">
        <v>0</v>
      </c>
      <c r="S952" s="77">
        <v>0</v>
      </c>
      <c r="T952" s="77">
        <v>0</v>
      </c>
      <c r="U952" s="77">
        <v>0</v>
      </c>
      <c r="V952" s="77">
        <v>7</v>
      </c>
      <c r="W952" s="81" t="s">
        <v>1871</v>
      </c>
      <c r="X952" s="80" t="str">
        <f>HYPERLINK("https://inovies.com")</f>
        <v>https://inovies.com</v>
      </c>
      <c r="Y952" s="77" t="s">
        <v>1982</v>
      </c>
      <c r="Z952" s="77"/>
      <c r="AA952" s="77" t="s">
        <v>2452</v>
      </c>
      <c r="AB952" s="77" t="s">
        <v>2696</v>
      </c>
      <c r="AC952" s="81" t="s">
        <v>2707</v>
      </c>
      <c r="AD952" s="77" t="s">
        <v>2752</v>
      </c>
      <c r="AE952" s="80" t="str">
        <f>HYPERLINK("https://twitter.com/inovies/status/1732841662123045233")</f>
        <v>https://twitter.com/inovies/status/1732841662123045233</v>
      </c>
      <c r="AF952" s="79">
        <v>45267.8034837963</v>
      </c>
      <c r="AG952" s="85">
        <v>45267</v>
      </c>
      <c r="AH952" s="81" t="s">
        <v>3538</v>
      </c>
      <c r="AI952" s="77" t="b">
        <v>0</v>
      </c>
      <c r="AJ952" s="77"/>
      <c r="AK952" s="77"/>
      <c r="AL952" s="77"/>
      <c r="AM952" s="77"/>
      <c r="AN952" s="77"/>
      <c r="AO952" s="77"/>
      <c r="AP952" s="77"/>
      <c r="AQ952" s="77" t="s">
        <v>4266</v>
      </c>
      <c r="AR952" s="77"/>
      <c r="AS952" s="77"/>
      <c r="AT952" s="77"/>
      <c r="AU952" s="77"/>
      <c r="AV952" s="80" t="str">
        <f>HYPERLINK("https://pbs.twimg.com/media/GAxKTR9XsAA1BCU.jpg")</f>
        <v>https://pbs.twimg.com/media/GAxKTR9XsAA1BCU.jpg</v>
      </c>
      <c r="AW952" s="81" t="s">
        <v>5296</v>
      </c>
      <c r="AX952" s="81" t="s">
        <v>5296</v>
      </c>
      <c r="AY952" s="77"/>
      <c r="AZ952" s="81" t="s">
        <v>5773</v>
      </c>
      <c r="BA952" s="81" t="s">
        <v>5773</v>
      </c>
      <c r="BB952" s="81" t="s">
        <v>5773</v>
      </c>
      <c r="BC952" s="81" t="s">
        <v>5296</v>
      </c>
      <c r="BD952" s="77">
        <v>297885438</v>
      </c>
      <c r="BE952" s="77"/>
      <c r="BF952" s="77"/>
      <c r="BG952" s="77"/>
      <c r="BH952" s="77"/>
      <c r="BI952" s="77"/>
    </row>
    <row r="953" spans="1:61" ht="15">
      <c r="A953" s="62" t="s">
        <v>299</v>
      </c>
      <c r="B953" s="62" t="s">
        <v>299</v>
      </c>
      <c r="C953" s="63"/>
      <c r="D953" s="64"/>
      <c r="E953" s="65"/>
      <c r="F953" s="66"/>
      <c r="G953" s="63"/>
      <c r="H953" s="67"/>
      <c r="I953" s="68"/>
      <c r="J953" s="68"/>
      <c r="K953" s="32" t="s">
        <v>65</v>
      </c>
      <c r="L953" s="75">
        <v>953</v>
      </c>
      <c r="M953" s="75"/>
      <c r="N953" s="70"/>
      <c r="O953" s="77" t="s">
        <v>179</v>
      </c>
      <c r="P953" s="79">
        <v>45267.802569444444</v>
      </c>
      <c r="Q953" s="77" t="s">
        <v>1339</v>
      </c>
      <c r="R953" s="77">
        <v>0</v>
      </c>
      <c r="S953" s="77">
        <v>0</v>
      </c>
      <c r="T953" s="77">
        <v>0</v>
      </c>
      <c r="U953" s="77">
        <v>0</v>
      </c>
      <c r="V953" s="77">
        <v>8</v>
      </c>
      <c r="W953" s="81" t="s">
        <v>1871</v>
      </c>
      <c r="X953" s="80" t="str">
        <f>HYPERLINK("https://inovies.com")</f>
        <v>https://inovies.com</v>
      </c>
      <c r="Y953" s="77" t="s">
        <v>1982</v>
      </c>
      <c r="Z953" s="77"/>
      <c r="AA953" s="77" t="s">
        <v>2453</v>
      </c>
      <c r="AB953" s="77" t="s">
        <v>2696</v>
      </c>
      <c r="AC953" s="81" t="s">
        <v>2707</v>
      </c>
      <c r="AD953" s="77" t="s">
        <v>2752</v>
      </c>
      <c r="AE953" s="80" t="str">
        <f>HYPERLINK("https://twitter.com/inovies/status/1732841329091060180")</f>
        <v>https://twitter.com/inovies/status/1732841329091060180</v>
      </c>
      <c r="AF953" s="79">
        <v>45267.802569444444</v>
      </c>
      <c r="AG953" s="85">
        <v>45267</v>
      </c>
      <c r="AH953" s="81" t="s">
        <v>3539</v>
      </c>
      <c r="AI953" s="77" t="b">
        <v>0</v>
      </c>
      <c r="AJ953" s="77"/>
      <c r="AK953" s="77"/>
      <c r="AL953" s="77"/>
      <c r="AM953" s="77"/>
      <c r="AN953" s="77"/>
      <c r="AO953" s="77"/>
      <c r="AP953" s="77"/>
      <c r="AQ953" s="77" t="s">
        <v>4267</v>
      </c>
      <c r="AR953" s="77"/>
      <c r="AS953" s="77"/>
      <c r="AT953" s="77"/>
      <c r="AU953" s="77"/>
      <c r="AV953" s="80" t="str">
        <f>HYPERLINK("https://pbs.twimg.com/media/GAxJ_1yWIAA5Kex.jpg")</f>
        <v>https://pbs.twimg.com/media/GAxJ_1yWIAA5Kex.jpg</v>
      </c>
      <c r="AW953" s="81" t="s">
        <v>5297</v>
      </c>
      <c r="AX953" s="81" t="s">
        <v>5297</v>
      </c>
      <c r="AY953" s="77"/>
      <c r="AZ953" s="81" t="s">
        <v>5773</v>
      </c>
      <c r="BA953" s="81" t="s">
        <v>5773</v>
      </c>
      <c r="BB953" s="81" t="s">
        <v>5773</v>
      </c>
      <c r="BC953" s="81" t="s">
        <v>5297</v>
      </c>
      <c r="BD953" s="77">
        <v>297885438</v>
      </c>
      <c r="BE953" s="77"/>
      <c r="BF953" s="77"/>
      <c r="BG953" s="77"/>
      <c r="BH953" s="77"/>
      <c r="BI953" s="77"/>
    </row>
    <row r="954" spans="1:61" ht="15">
      <c r="A954" s="62" t="s">
        <v>299</v>
      </c>
      <c r="B954" s="62" t="s">
        <v>299</v>
      </c>
      <c r="C954" s="63"/>
      <c r="D954" s="64"/>
      <c r="E954" s="65"/>
      <c r="F954" s="66"/>
      <c r="G954" s="63"/>
      <c r="H954" s="67"/>
      <c r="I954" s="68"/>
      <c r="J954" s="68"/>
      <c r="K954" s="32" t="s">
        <v>65</v>
      </c>
      <c r="L954" s="75">
        <v>954</v>
      </c>
      <c r="M954" s="75"/>
      <c r="N954" s="70"/>
      <c r="O954" s="77" t="s">
        <v>179</v>
      </c>
      <c r="P954" s="79">
        <v>45267.80221064815</v>
      </c>
      <c r="Q954" s="77" t="s">
        <v>1340</v>
      </c>
      <c r="R954" s="77">
        <v>0</v>
      </c>
      <c r="S954" s="77">
        <v>0</v>
      </c>
      <c r="T954" s="77">
        <v>0</v>
      </c>
      <c r="U954" s="77">
        <v>0</v>
      </c>
      <c r="V954" s="77">
        <v>7</v>
      </c>
      <c r="W954" s="81" t="s">
        <v>1871</v>
      </c>
      <c r="X954" s="80" t="str">
        <f>HYPERLINK("https://inovies.com")</f>
        <v>https://inovies.com</v>
      </c>
      <c r="Y954" s="77" t="s">
        <v>1982</v>
      </c>
      <c r="Z954" s="77"/>
      <c r="AA954" s="77" t="s">
        <v>2454</v>
      </c>
      <c r="AB954" s="77" t="s">
        <v>2696</v>
      </c>
      <c r="AC954" s="81" t="s">
        <v>2707</v>
      </c>
      <c r="AD954" s="77" t="s">
        <v>2752</v>
      </c>
      <c r="AE954" s="80" t="str">
        <f>HYPERLINK("https://twitter.com/inovies/status/1732841200560869667")</f>
        <v>https://twitter.com/inovies/status/1732841200560869667</v>
      </c>
      <c r="AF954" s="79">
        <v>45267.80221064815</v>
      </c>
      <c r="AG954" s="85">
        <v>45267</v>
      </c>
      <c r="AH954" s="81" t="s">
        <v>3540</v>
      </c>
      <c r="AI954" s="77" t="b">
        <v>0</v>
      </c>
      <c r="AJ954" s="77"/>
      <c r="AK954" s="77"/>
      <c r="AL954" s="77"/>
      <c r="AM954" s="77"/>
      <c r="AN954" s="77"/>
      <c r="AO954" s="77"/>
      <c r="AP954" s="77"/>
      <c r="AQ954" s="77" t="s">
        <v>4268</v>
      </c>
      <c r="AR954" s="77"/>
      <c r="AS954" s="77"/>
      <c r="AT954" s="77"/>
      <c r="AU954" s="77"/>
      <c r="AV954" s="80" t="str">
        <f>HYPERLINK("https://pbs.twimg.com/media/GAxJ4XgWUAABFFI.jpg")</f>
        <v>https://pbs.twimg.com/media/GAxJ4XgWUAABFFI.jpg</v>
      </c>
      <c r="AW954" s="81" t="s">
        <v>5298</v>
      </c>
      <c r="AX954" s="81" t="s">
        <v>5298</v>
      </c>
      <c r="AY954" s="77"/>
      <c r="AZ954" s="81" t="s">
        <v>5773</v>
      </c>
      <c r="BA954" s="81" t="s">
        <v>5773</v>
      </c>
      <c r="BB954" s="81" t="s">
        <v>5773</v>
      </c>
      <c r="BC954" s="81" t="s">
        <v>5298</v>
      </c>
      <c r="BD954" s="77">
        <v>297885438</v>
      </c>
      <c r="BE954" s="77"/>
      <c r="BF954" s="77"/>
      <c r="BG954" s="77"/>
      <c r="BH954" s="77"/>
      <c r="BI954" s="77"/>
    </row>
    <row r="955" spans="1:61" ht="15">
      <c r="A955" s="62" t="s">
        <v>299</v>
      </c>
      <c r="B955" s="62" t="s">
        <v>299</v>
      </c>
      <c r="C955" s="63"/>
      <c r="D955" s="64"/>
      <c r="E955" s="65"/>
      <c r="F955" s="66"/>
      <c r="G955" s="63"/>
      <c r="H955" s="67"/>
      <c r="I955" s="68"/>
      <c r="J955" s="68"/>
      <c r="K955" s="32" t="s">
        <v>65</v>
      </c>
      <c r="L955" s="75">
        <v>955</v>
      </c>
      <c r="M955" s="75"/>
      <c r="N955" s="70"/>
      <c r="O955" s="77" t="s">
        <v>179</v>
      </c>
      <c r="P955" s="79">
        <v>45267.771527777775</v>
      </c>
      <c r="Q955" s="77" t="s">
        <v>1341</v>
      </c>
      <c r="R955" s="77">
        <v>0</v>
      </c>
      <c r="S955" s="77">
        <v>0</v>
      </c>
      <c r="T955" s="77">
        <v>0</v>
      </c>
      <c r="U955" s="77">
        <v>0</v>
      </c>
      <c r="V955" s="77">
        <v>11</v>
      </c>
      <c r="W955" s="81" t="s">
        <v>1871</v>
      </c>
      <c r="X955" s="80" t="str">
        <f>HYPERLINK("https://www.inovies.com")</f>
        <v>https://www.inovies.com</v>
      </c>
      <c r="Y955" s="77" t="s">
        <v>1982</v>
      </c>
      <c r="Z955" s="77"/>
      <c r="AA955" s="77" t="s">
        <v>2455</v>
      </c>
      <c r="AB955" s="77" t="s">
        <v>2696</v>
      </c>
      <c r="AC955" s="81" t="s">
        <v>2707</v>
      </c>
      <c r="AD955" s="77" t="s">
        <v>2752</v>
      </c>
      <c r="AE955" s="80" t="str">
        <f>HYPERLINK("https://twitter.com/inovies/status/1732830080328445986")</f>
        <v>https://twitter.com/inovies/status/1732830080328445986</v>
      </c>
      <c r="AF955" s="79">
        <v>45267.771527777775</v>
      </c>
      <c r="AG955" s="85">
        <v>45267</v>
      </c>
      <c r="AH955" s="81" t="s">
        <v>3541</v>
      </c>
      <c r="AI955" s="77" t="b">
        <v>0</v>
      </c>
      <c r="AJ955" s="77"/>
      <c r="AK955" s="77"/>
      <c r="AL955" s="77"/>
      <c r="AM955" s="77"/>
      <c r="AN955" s="77"/>
      <c r="AO955" s="77"/>
      <c r="AP955" s="77"/>
      <c r="AQ955" s="77" t="s">
        <v>4269</v>
      </c>
      <c r="AR955" s="77"/>
      <c r="AS955" s="77"/>
      <c r="AT955" s="77"/>
      <c r="AU955" s="77"/>
      <c r="AV955" s="80" t="str">
        <f>HYPERLINK("https://pbs.twimg.com/media/GAwzbuAXsAAlojp.jpg")</f>
        <v>https://pbs.twimg.com/media/GAwzbuAXsAAlojp.jpg</v>
      </c>
      <c r="AW955" s="81" t="s">
        <v>5299</v>
      </c>
      <c r="AX955" s="81" t="s">
        <v>5299</v>
      </c>
      <c r="AY955" s="77"/>
      <c r="AZ955" s="81" t="s">
        <v>5773</v>
      </c>
      <c r="BA955" s="81" t="s">
        <v>5773</v>
      </c>
      <c r="BB955" s="81" t="s">
        <v>5773</v>
      </c>
      <c r="BC955" s="81" t="s">
        <v>5299</v>
      </c>
      <c r="BD955" s="77">
        <v>297885438</v>
      </c>
      <c r="BE955" s="77"/>
      <c r="BF955" s="77"/>
      <c r="BG955" s="77"/>
      <c r="BH955" s="77"/>
      <c r="BI955" s="77"/>
    </row>
    <row r="956" spans="1:61" ht="15">
      <c r="A956" s="62" t="s">
        <v>299</v>
      </c>
      <c r="B956" s="62" t="s">
        <v>299</v>
      </c>
      <c r="C956" s="63"/>
      <c r="D956" s="64"/>
      <c r="E956" s="65"/>
      <c r="F956" s="66"/>
      <c r="G956" s="63"/>
      <c r="H956" s="67"/>
      <c r="I956" s="68"/>
      <c r="J956" s="68"/>
      <c r="K956" s="32" t="s">
        <v>65</v>
      </c>
      <c r="L956" s="75">
        <v>956</v>
      </c>
      <c r="M956" s="75"/>
      <c r="N956" s="70"/>
      <c r="O956" s="77" t="s">
        <v>179</v>
      </c>
      <c r="P956" s="79">
        <v>45267.770532407405</v>
      </c>
      <c r="Q956" s="77" t="s">
        <v>1342</v>
      </c>
      <c r="R956" s="77">
        <v>0</v>
      </c>
      <c r="S956" s="77">
        <v>0</v>
      </c>
      <c r="T956" s="77">
        <v>0</v>
      </c>
      <c r="U956" s="77">
        <v>0</v>
      </c>
      <c r="V956" s="77">
        <v>12</v>
      </c>
      <c r="W956" s="81" t="s">
        <v>1871</v>
      </c>
      <c r="X956" s="80" t="str">
        <f>HYPERLINK("https://inovies.com")</f>
        <v>https://inovies.com</v>
      </c>
      <c r="Y956" s="77" t="s">
        <v>1982</v>
      </c>
      <c r="Z956" s="77"/>
      <c r="AA956" s="77" t="s">
        <v>2456</v>
      </c>
      <c r="AB956" s="77" t="s">
        <v>2696</v>
      </c>
      <c r="AC956" s="81" t="s">
        <v>2707</v>
      </c>
      <c r="AD956" s="77" t="s">
        <v>2752</v>
      </c>
      <c r="AE956" s="80" t="str">
        <f>HYPERLINK("https://twitter.com/inovies/status/1732829720423641101")</f>
        <v>https://twitter.com/inovies/status/1732829720423641101</v>
      </c>
      <c r="AF956" s="79">
        <v>45267.770532407405</v>
      </c>
      <c r="AG956" s="85">
        <v>45267</v>
      </c>
      <c r="AH956" s="81" t="s">
        <v>3542</v>
      </c>
      <c r="AI956" s="77" t="b">
        <v>0</v>
      </c>
      <c r="AJ956" s="77"/>
      <c r="AK956" s="77"/>
      <c r="AL956" s="77"/>
      <c r="AM956" s="77"/>
      <c r="AN956" s="77"/>
      <c r="AO956" s="77"/>
      <c r="AP956" s="77"/>
      <c r="AQ956" s="77" t="s">
        <v>4270</v>
      </c>
      <c r="AR956" s="77"/>
      <c r="AS956" s="77"/>
      <c r="AT956" s="77"/>
      <c r="AU956" s="77"/>
      <c r="AV956" s="80" t="str">
        <f>HYPERLINK("https://pbs.twimg.com/media/GAw_cDPXUAAB6A6.jpg")</f>
        <v>https://pbs.twimg.com/media/GAw_cDPXUAAB6A6.jpg</v>
      </c>
      <c r="AW956" s="81" t="s">
        <v>5300</v>
      </c>
      <c r="AX956" s="81" t="s">
        <v>5300</v>
      </c>
      <c r="AY956" s="77"/>
      <c r="AZ956" s="81" t="s">
        <v>5773</v>
      </c>
      <c r="BA956" s="81" t="s">
        <v>5773</v>
      </c>
      <c r="BB956" s="81" t="s">
        <v>5773</v>
      </c>
      <c r="BC956" s="81" t="s">
        <v>5300</v>
      </c>
      <c r="BD956" s="77">
        <v>297885438</v>
      </c>
      <c r="BE956" s="77"/>
      <c r="BF956" s="77"/>
      <c r="BG956" s="77"/>
      <c r="BH956" s="77"/>
      <c r="BI956" s="77"/>
    </row>
    <row r="957" spans="1:61" ht="15">
      <c r="A957" s="62" t="s">
        <v>299</v>
      </c>
      <c r="B957" s="62" t="s">
        <v>299</v>
      </c>
      <c r="C957" s="63"/>
      <c r="D957" s="64"/>
      <c r="E957" s="65"/>
      <c r="F957" s="66"/>
      <c r="G957" s="63"/>
      <c r="H957" s="67"/>
      <c r="I957" s="68"/>
      <c r="J957" s="68"/>
      <c r="K957" s="32" t="s">
        <v>65</v>
      </c>
      <c r="L957" s="75">
        <v>957</v>
      </c>
      <c r="M957" s="75"/>
      <c r="N957" s="70"/>
      <c r="O957" s="77" t="s">
        <v>179</v>
      </c>
      <c r="P957" s="79">
        <v>45267.77008101852</v>
      </c>
      <c r="Q957" s="77" t="s">
        <v>1343</v>
      </c>
      <c r="R957" s="77">
        <v>0</v>
      </c>
      <c r="S957" s="77">
        <v>0</v>
      </c>
      <c r="T957" s="77">
        <v>0</v>
      </c>
      <c r="U957" s="77">
        <v>0</v>
      </c>
      <c r="V957" s="77">
        <v>10</v>
      </c>
      <c r="W957" s="81" t="s">
        <v>1871</v>
      </c>
      <c r="X957" s="80" t="str">
        <f>HYPERLINK("https://inovies.com")</f>
        <v>https://inovies.com</v>
      </c>
      <c r="Y957" s="77" t="s">
        <v>1982</v>
      </c>
      <c r="Z957" s="77"/>
      <c r="AA957" s="77" t="s">
        <v>2457</v>
      </c>
      <c r="AB957" s="77" t="s">
        <v>2696</v>
      </c>
      <c r="AC957" s="81" t="s">
        <v>2707</v>
      </c>
      <c r="AD957" s="77" t="s">
        <v>2752</v>
      </c>
      <c r="AE957" s="80" t="str">
        <f>HYPERLINK("https://twitter.com/inovies/status/1732829558351552822")</f>
        <v>https://twitter.com/inovies/status/1732829558351552822</v>
      </c>
      <c r="AF957" s="79">
        <v>45267.77008101852</v>
      </c>
      <c r="AG957" s="85">
        <v>45267</v>
      </c>
      <c r="AH957" s="81" t="s">
        <v>3543</v>
      </c>
      <c r="AI957" s="77" t="b">
        <v>0</v>
      </c>
      <c r="AJ957" s="77"/>
      <c r="AK957" s="77"/>
      <c r="AL957" s="77"/>
      <c r="AM957" s="77"/>
      <c r="AN957" s="77"/>
      <c r="AO957" s="77"/>
      <c r="AP957" s="77"/>
      <c r="AQ957" s="77" t="s">
        <v>4271</v>
      </c>
      <c r="AR957" s="77"/>
      <c r="AS957" s="77"/>
      <c r="AT957" s="77"/>
      <c r="AU957" s="77"/>
      <c r="AV957" s="80" t="str">
        <f>HYPERLINK("https://pbs.twimg.com/media/GAw_StjXwAACS1f.jpg")</f>
        <v>https://pbs.twimg.com/media/GAw_StjXwAACS1f.jpg</v>
      </c>
      <c r="AW957" s="81" t="s">
        <v>5301</v>
      </c>
      <c r="AX957" s="81" t="s">
        <v>5301</v>
      </c>
      <c r="AY957" s="77"/>
      <c r="AZ957" s="81" t="s">
        <v>5773</v>
      </c>
      <c r="BA957" s="81" t="s">
        <v>5773</v>
      </c>
      <c r="BB957" s="81" t="s">
        <v>5773</v>
      </c>
      <c r="BC957" s="81" t="s">
        <v>5301</v>
      </c>
      <c r="BD957" s="77">
        <v>297885438</v>
      </c>
      <c r="BE957" s="77"/>
      <c r="BF957" s="77"/>
      <c r="BG957" s="77"/>
      <c r="BH957" s="77"/>
      <c r="BI957" s="77"/>
    </row>
    <row r="958" spans="1:61" ht="15">
      <c r="A958" s="62" t="s">
        <v>299</v>
      </c>
      <c r="B958" s="62" t="s">
        <v>299</v>
      </c>
      <c r="C958" s="63"/>
      <c r="D958" s="64"/>
      <c r="E958" s="65"/>
      <c r="F958" s="66"/>
      <c r="G958" s="63"/>
      <c r="H958" s="67"/>
      <c r="I958" s="68"/>
      <c r="J958" s="68"/>
      <c r="K958" s="32" t="s">
        <v>65</v>
      </c>
      <c r="L958" s="75">
        <v>958</v>
      </c>
      <c r="M958" s="75"/>
      <c r="N958" s="70"/>
      <c r="O958" s="77" t="s">
        <v>179</v>
      </c>
      <c r="P958" s="79">
        <v>45267.76971064815</v>
      </c>
      <c r="Q958" s="77" t="s">
        <v>1344</v>
      </c>
      <c r="R958" s="77">
        <v>0</v>
      </c>
      <c r="S958" s="77">
        <v>0</v>
      </c>
      <c r="T958" s="77">
        <v>0</v>
      </c>
      <c r="U958" s="77">
        <v>0</v>
      </c>
      <c r="V958" s="77">
        <v>10</v>
      </c>
      <c r="W958" s="81" t="s">
        <v>1871</v>
      </c>
      <c r="X958" s="80" t="str">
        <f>HYPERLINK("https://inovies.com")</f>
        <v>https://inovies.com</v>
      </c>
      <c r="Y958" s="77" t="s">
        <v>1982</v>
      </c>
      <c r="Z958" s="77"/>
      <c r="AA958" s="77" t="s">
        <v>2458</v>
      </c>
      <c r="AB958" s="77" t="s">
        <v>2696</v>
      </c>
      <c r="AC958" s="81" t="s">
        <v>2707</v>
      </c>
      <c r="AD958" s="77" t="s">
        <v>2752</v>
      </c>
      <c r="AE958" s="80" t="str">
        <f>HYPERLINK("https://twitter.com/inovies/status/1732829421067759798")</f>
        <v>https://twitter.com/inovies/status/1732829421067759798</v>
      </c>
      <c r="AF958" s="79">
        <v>45267.76971064815</v>
      </c>
      <c r="AG958" s="85">
        <v>45267</v>
      </c>
      <c r="AH958" s="81" t="s">
        <v>3544</v>
      </c>
      <c r="AI958" s="77" t="b">
        <v>0</v>
      </c>
      <c r="AJ958" s="77"/>
      <c r="AK958" s="77"/>
      <c r="AL958" s="77"/>
      <c r="AM958" s="77"/>
      <c r="AN958" s="77"/>
      <c r="AO958" s="77"/>
      <c r="AP958" s="77"/>
      <c r="AQ958" s="77" t="s">
        <v>4272</v>
      </c>
      <c r="AR958" s="77"/>
      <c r="AS958" s="77"/>
      <c r="AT958" s="77"/>
      <c r="AU958" s="77"/>
      <c r="AV958" s="80" t="str">
        <f>HYPERLINK("https://pbs.twimg.com/media/GAw_KkXWgAAQ9ja.jpg")</f>
        <v>https://pbs.twimg.com/media/GAw_KkXWgAAQ9ja.jpg</v>
      </c>
      <c r="AW958" s="81" t="s">
        <v>5302</v>
      </c>
      <c r="AX958" s="81" t="s">
        <v>5302</v>
      </c>
      <c r="AY958" s="77"/>
      <c r="AZ958" s="81" t="s">
        <v>5773</v>
      </c>
      <c r="BA958" s="81" t="s">
        <v>5773</v>
      </c>
      <c r="BB958" s="81" t="s">
        <v>5773</v>
      </c>
      <c r="BC958" s="81" t="s">
        <v>5302</v>
      </c>
      <c r="BD958" s="77">
        <v>297885438</v>
      </c>
      <c r="BE958" s="77"/>
      <c r="BF958" s="77"/>
      <c r="BG958" s="77"/>
      <c r="BH958" s="77"/>
      <c r="BI958" s="77"/>
    </row>
    <row r="959" spans="1:61" ht="15">
      <c r="A959" s="62" t="s">
        <v>299</v>
      </c>
      <c r="B959" s="62" t="s">
        <v>299</v>
      </c>
      <c r="C959" s="63"/>
      <c r="D959" s="64"/>
      <c r="E959" s="65"/>
      <c r="F959" s="66"/>
      <c r="G959" s="63"/>
      <c r="H959" s="67"/>
      <c r="I959" s="68"/>
      <c r="J959" s="68"/>
      <c r="K959" s="32" t="s">
        <v>65</v>
      </c>
      <c r="L959" s="75">
        <v>959</v>
      </c>
      <c r="M959" s="75"/>
      <c r="N959" s="70"/>
      <c r="O959" s="77" t="s">
        <v>179</v>
      </c>
      <c r="P959" s="79">
        <v>45267.76934027778</v>
      </c>
      <c r="Q959" s="77" t="s">
        <v>1345</v>
      </c>
      <c r="R959" s="77">
        <v>0</v>
      </c>
      <c r="S959" s="77">
        <v>0</v>
      </c>
      <c r="T959" s="77">
        <v>0</v>
      </c>
      <c r="U959" s="77">
        <v>0</v>
      </c>
      <c r="V959" s="77">
        <v>10</v>
      </c>
      <c r="W959" s="81" t="s">
        <v>1871</v>
      </c>
      <c r="X959" s="80" t="str">
        <f>HYPERLINK("https://inovies.com")</f>
        <v>https://inovies.com</v>
      </c>
      <c r="Y959" s="77" t="s">
        <v>1982</v>
      </c>
      <c r="Z959" s="77"/>
      <c r="AA959" s="77" t="s">
        <v>2459</v>
      </c>
      <c r="AB959" s="77" t="s">
        <v>2696</v>
      </c>
      <c r="AC959" s="81" t="s">
        <v>2707</v>
      </c>
      <c r="AD959" s="77" t="s">
        <v>2752</v>
      </c>
      <c r="AE959" s="80" t="str">
        <f>HYPERLINK("https://twitter.com/inovies/status/1732829287831536088")</f>
        <v>https://twitter.com/inovies/status/1732829287831536088</v>
      </c>
      <c r="AF959" s="79">
        <v>45267.76934027778</v>
      </c>
      <c r="AG959" s="85">
        <v>45267</v>
      </c>
      <c r="AH959" s="81" t="s">
        <v>3545</v>
      </c>
      <c r="AI959" s="77" t="b">
        <v>0</v>
      </c>
      <c r="AJ959" s="77"/>
      <c r="AK959" s="77"/>
      <c r="AL959" s="77"/>
      <c r="AM959" s="77"/>
      <c r="AN959" s="77"/>
      <c r="AO959" s="77"/>
      <c r="AP959" s="77"/>
      <c r="AQ959" s="77" t="s">
        <v>4273</v>
      </c>
      <c r="AR959" s="77"/>
      <c r="AS959" s="77"/>
      <c r="AT959" s="77"/>
      <c r="AU959" s="77"/>
      <c r="AV959" s="80" t="str">
        <f>HYPERLINK("https://pbs.twimg.com/media/GAw_C-hXAAACCv7.jpg")</f>
        <v>https://pbs.twimg.com/media/GAw_C-hXAAACCv7.jpg</v>
      </c>
      <c r="AW959" s="81" t="s">
        <v>5303</v>
      </c>
      <c r="AX959" s="81" t="s">
        <v>5303</v>
      </c>
      <c r="AY959" s="77"/>
      <c r="AZ959" s="81" t="s">
        <v>5773</v>
      </c>
      <c r="BA959" s="81" t="s">
        <v>5773</v>
      </c>
      <c r="BB959" s="81" t="s">
        <v>5773</v>
      </c>
      <c r="BC959" s="81" t="s">
        <v>5303</v>
      </c>
      <c r="BD959" s="77">
        <v>297885438</v>
      </c>
      <c r="BE959" s="77"/>
      <c r="BF959" s="77"/>
      <c r="BG959" s="77"/>
      <c r="BH959" s="77"/>
      <c r="BI959" s="77"/>
    </row>
    <row r="960" spans="1:61" ht="15">
      <c r="A960" s="62" t="s">
        <v>299</v>
      </c>
      <c r="B960" s="62" t="s">
        <v>299</v>
      </c>
      <c r="C960" s="63"/>
      <c r="D960" s="64"/>
      <c r="E960" s="65"/>
      <c r="F960" s="66"/>
      <c r="G960" s="63"/>
      <c r="H960" s="67"/>
      <c r="I960" s="68"/>
      <c r="J960" s="68"/>
      <c r="K960" s="32" t="s">
        <v>65</v>
      </c>
      <c r="L960" s="75">
        <v>960</v>
      </c>
      <c r="M960" s="75"/>
      <c r="N960" s="70"/>
      <c r="O960" s="77" t="s">
        <v>179</v>
      </c>
      <c r="P960" s="79">
        <v>45267.75795138889</v>
      </c>
      <c r="Q960" s="77" t="s">
        <v>1346</v>
      </c>
      <c r="R960" s="77">
        <v>0</v>
      </c>
      <c r="S960" s="77">
        <v>0</v>
      </c>
      <c r="T960" s="77">
        <v>0</v>
      </c>
      <c r="U960" s="77">
        <v>0</v>
      </c>
      <c r="V960" s="77">
        <v>5</v>
      </c>
      <c r="W960" s="81" t="s">
        <v>1871</v>
      </c>
      <c r="X960" s="80" t="str">
        <f>HYPERLINK("https://inovies.com")</f>
        <v>https://inovies.com</v>
      </c>
      <c r="Y960" s="77" t="s">
        <v>1982</v>
      </c>
      <c r="Z960" s="77"/>
      <c r="AA960" s="77" t="s">
        <v>2460</v>
      </c>
      <c r="AB960" s="77" t="s">
        <v>2696</v>
      </c>
      <c r="AC960" s="81" t="s">
        <v>2707</v>
      </c>
      <c r="AD960" s="77" t="s">
        <v>2752</v>
      </c>
      <c r="AE960" s="80" t="str">
        <f>HYPERLINK("https://twitter.com/inovies/status/1732825161206829302")</f>
        <v>https://twitter.com/inovies/status/1732825161206829302</v>
      </c>
      <c r="AF960" s="79">
        <v>45267.75795138889</v>
      </c>
      <c r="AG960" s="85">
        <v>45267</v>
      </c>
      <c r="AH960" s="81" t="s">
        <v>3546</v>
      </c>
      <c r="AI960" s="77" t="b">
        <v>0</v>
      </c>
      <c r="AJ960" s="77"/>
      <c r="AK960" s="77"/>
      <c r="AL960" s="77"/>
      <c r="AM960" s="77"/>
      <c r="AN960" s="77"/>
      <c r="AO960" s="77"/>
      <c r="AP960" s="77"/>
      <c r="AQ960" s="77" t="s">
        <v>4274</v>
      </c>
      <c r="AR960" s="77"/>
      <c r="AS960" s="77"/>
      <c r="AT960" s="77"/>
      <c r="AU960" s="77"/>
      <c r="AV960" s="80" t="str">
        <f>HYPERLINK("https://pbs.twimg.com/media/GAw7SxqX0AAZlDi.jpg")</f>
        <v>https://pbs.twimg.com/media/GAw7SxqX0AAZlDi.jpg</v>
      </c>
      <c r="AW960" s="81" t="s">
        <v>5304</v>
      </c>
      <c r="AX960" s="81" t="s">
        <v>5304</v>
      </c>
      <c r="AY960" s="77"/>
      <c r="AZ960" s="81" t="s">
        <v>5773</v>
      </c>
      <c r="BA960" s="81" t="s">
        <v>5773</v>
      </c>
      <c r="BB960" s="81" t="s">
        <v>5773</v>
      </c>
      <c r="BC960" s="81" t="s">
        <v>5304</v>
      </c>
      <c r="BD960" s="77">
        <v>297885438</v>
      </c>
      <c r="BE960" s="77"/>
      <c r="BF960" s="77"/>
      <c r="BG960" s="77"/>
      <c r="BH960" s="77"/>
      <c r="BI960" s="77"/>
    </row>
    <row r="961" spans="1:61" ht="15">
      <c r="A961" s="62" t="s">
        <v>299</v>
      </c>
      <c r="B961" s="62" t="s">
        <v>299</v>
      </c>
      <c r="C961" s="63"/>
      <c r="D961" s="64"/>
      <c r="E961" s="65"/>
      <c r="F961" s="66"/>
      <c r="G961" s="63"/>
      <c r="H961" s="67"/>
      <c r="I961" s="68"/>
      <c r="J961" s="68"/>
      <c r="K961" s="32" t="s">
        <v>65</v>
      </c>
      <c r="L961" s="75">
        <v>961</v>
      </c>
      <c r="M961" s="75"/>
      <c r="N961" s="70"/>
      <c r="O961" s="77" t="s">
        <v>179</v>
      </c>
      <c r="P961" s="79">
        <v>45267.7575</v>
      </c>
      <c r="Q961" s="77" t="s">
        <v>1347</v>
      </c>
      <c r="R961" s="77">
        <v>0</v>
      </c>
      <c r="S961" s="77">
        <v>0</v>
      </c>
      <c r="T961" s="77">
        <v>0</v>
      </c>
      <c r="U961" s="77">
        <v>0</v>
      </c>
      <c r="V961" s="77">
        <v>4</v>
      </c>
      <c r="W961" s="81" t="s">
        <v>1871</v>
      </c>
      <c r="X961" s="80" t="str">
        <f>HYPERLINK("https://inovies.com")</f>
        <v>https://inovies.com</v>
      </c>
      <c r="Y961" s="77" t="s">
        <v>1982</v>
      </c>
      <c r="Z961" s="77"/>
      <c r="AA961" s="77" t="s">
        <v>2461</v>
      </c>
      <c r="AB961" s="77" t="s">
        <v>2696</v>
      </c>
      <c r="AC961" s="81" t="s">
        <v>2707</v>
      </c>
      <c r="AD961" s="77" t="s">
        <v>2752</v>
      </c>
      <c r="AE961" s="80" t="str">
        <f>HYPERLINK("https://twitter.com/inovies/status/1732824999721877809")</f>
        <v>https://twitter.com/inovies/status/1732824999721877809</v>
      </c>
      <c r="AF961" s="79">
        <v>45267.7575</v>
      </c>
      <c r="AG961" s="85">
        <v>45267</v>
      </c>
      <c r="AH961" s="81" t="s">
        <v>3547</v>
      </c>
      <c r="AI961" s="77" t="b">
        <v>0</v>
      </c>
      <c r="AJ961" s="77"/>
      <c r="AK961" s="77"/>
      <c r="AL961" s="77"/>
      <c r="AM961" s="77"/>
      <c r="AN961" s="77"/>
      <c r="AO961" s="77"/>
      <c r="AP961" s="77"/>
      <c r="AQ961" s="77" t="s">
        <v>4275</v>
      </c>
      <c r="AR961" s="77"/>
      <c r="AS961" s="77"/>
      <c r="AT961" s="77"/>
      <c r="AU961" s="77"/>
      <c r="AV961" s="80" t="str">
        <f>HYPERLINK("https://pbs.twimg.com/media/GAw7JTEWcAAByD6.jpg")</f>
        <v>https://pbs.twimg.com/media/GAw7JTEWcAAByD6.jpg</v>
      </c>
      <c r="AW961" s="81" t="s">
        <v>5305</v>
      </c>
      <c r="AX961" s="81" t="s">
        <v>5305</v>
      </c>
      <c r="AY961" s="77"/>
      <c r="AZ961" s="81" t="s">
        <v>5773</v>
      </c>
      <c r="BA961" s="81" t="s">
        <v>5773</v>
      </c>
      <c r="BB961" s="81" t="s">
        <v>5773</v>
      </c>
      <c r="BC961" s="81" t="s">
        <v>5305</v>
      </c>
      <c r="BD961" s="77">
        <v>297885438</v>
      </c>
      <c r="BE961" s="77"/>
      <c r="BF961" s="77"/>
      <c r="BG961" s="77"/>
      <c r="BH961" s="77"/>
      <c r="BI961" s="77"/>
    </row>
    <row r="962" spans="1:61" ht="15">
      <c r="A962" s="62" t="s">
        <v>299</v>
      </c>
      <c r="B962" s="62" t="s">
        <v>299</v>
      </c>
      <c r="C962" s="63"/>
      <c r="D962" s="64"/>
      <c r="E962" s="65"/>
      <c r="F962" s="66"/>
      <c r="G962" s="63"/>
      <c r="H962" s="67"/>
      <c r="I962" s="68"/>
      <c r="J962" s="68"/>
      <c r="K962" s="32" t="s">
        <v>65</v>
      </c>
      <c r="L962" s="75">
        <v>962</v>
      </c>
      <c r="M962" s="75"/>
      <c r="N962" s="70"/>
      <c r="O962" s="77" t="s">
        <v>179</v>
      </c>
      <c r="P962" s="79">
        <v>45267.757002314815</v>
      </c>
      <c r="Q962" s="77" t="s">
        <v>1348</v>
      </c>
      <c r="R962" s="77">
        <v>0</v>
      </c>
      <c r="S962" s="77">
        <v>0</v>
      </c>
      <c r="T962" s="77">
        <v>0</v>
      </c>
      <c r="U962" s="77">
        <v>0</v>
      </c>
      <c r="V962" s="77">
        <v>4</v>
      </c>
      <c r="W962" s="81" t="s">
        <v>1871</v>
      </c>
      <c r="X962" s="80" t="str">
        <f>HYPERLINK("https://inovies.com")</f>
        <v>https://inovies.com</v>
      </c>
      <c r="Y962" s="77" t="s">
        <v>1982</v>
      </c>
      <c r="Z962" s="77"/>
      <c r="AA962" s="77" t="s">
        <v>2462</v>
      </c>
      <c r="AB962" s="77" t="s">
        <v>2696</v>
      </c>
      <c r="AC962" s="81" t="s">
        <v>2707</v>
      </c>
      <c r="AD962" s="77" t="s">
        <v>2752</v>
      </c>
      <c r="AE962" s="80" t="str">
        <f>HYPERLINK("https://twitter.com/inovies/status/1732824817613623567")</f>
        <v>https://twitter.com/inovies/status/1732824817613623567</v>
      </c>
      <c r="AF962" s="79">
        <v>45267.757002314815</v>
      </c>
      <c r="AG962" s="85">
        <v>45267</v>
      </c>
      <c r="AH962" s="81" t="s">
        <v>3548</v>
      </c>
      <c r="AI962" s="77" t="b">
        <v>0</v>
      </c>
      <c r="AJ962" s="77"/>
      <c r="AK962" s="77"/>
      <c r="AL962" s="77"/>
      <c r="AM962" s="77"/>
      <c r="AN962" s="77"/>
      <c r="AO962" s="77"/>
      <c r="AP962" s="77"/>
      <c r="AQ962" s="77" t="s">
        <v>4276</v>
      </c>
      <c r="AR962" s="77"/>
      <c r="AS962" s="77"/>
      <c r="AT962" s="77"/>
      <c r="AU962" s="77"/>
      <c r="AV962" s="80" t="str">
        <f>HYPERLINK("https://pbs.twimg.com/media/GAw6-opXsAAvi6E.jpg")</f>
        <v>https://pbs.twimg.com/media/GAw6-opXsAAvi6E.jpg</v>
      </c>
      <c r="AW962" s="81" t="s">
        <v>5306</v>
      </c>
      <c r="AX962" s="81" t="s">
        <v>5306</v>
      </c>
      <c r="AY962" s="77"/>
      <c r="AZ962" s="81" t="s">
        <v>5773</v>
      </c>
      <c r="BA962" s="81" t="s">
        <v>5773</v>
      </c>
      <c r="BB962" s="81" t="s">
        <v>5773</v>
      </c>
      <c r="BC962" s="81" t="s">
        <v>5306</v>
      </c>
      <c r="BD962" s="77">
        <v>297885438</v>
      </c>
      <c r="BE962" s="77"/>
      <c r="BF962" s="77"/>
      <c r="BG962" s="77"/>
      <c r="BH962" s="77"/>
      <c r="BI962" s="77"/>
    </row>
    <row r="963" spans="1:61" ht="15">
      <c r="A963" s="62" t="s">
        <v>299</v>
      </c>
      <c r="B963" s="62" t="s">
        <v>299</v>
      </c>
      <c r="C963" s="63"/>
      <c r="D963" s="64"/>
      <c r="E963" s="65"/>
      <c r="F963" s="66"/>
      <c r="G963" s="63"/>
      <c r="H963" s="67"/>
      <c r="I963" s="68"/>
      <c r="J963" s="68"/>
      <c r="K963" s="32" t="s">
        <v>65</v>
      </c>
      <c r="L963" s="75">
        <v>963</v>
      </c>
      <c r="M963" s="75"/>
      <c r="N963" s="70"/>
      <c r="O963" s="77" t="s">
        <v>179</v>
      </c>
      <c r="P963" s="79">
        <v>45267.756527777776</v>
      </c>
      <c r="Q963" s="77" t="s">
        <v>1349</v>
      </c>
      <c r="R963" s="77">
        <v>0</v>
      </c>
      <c r="S963" s="77">
        <v>0</v>
      </c>
      <c r="T963" s="77">
        <v>0</v>
      </c>
      <c r="U963" s="77">
        <v>0</v>
      </c>
      <c r="V963" s="77">
        <v>5</v>
      </c>
      <c r="W963" s="81" t="s">
        <v>1871</v>
      </c>
      <c r="X963" s="80" t="str">
        <f>HYPERLINK("https://inovies.com")</f>
        <v>https://inovies.com</v>
      </c>
      <c r="Y963" s="77" t="s">
        <v>1982</v>
      </c>
      <c r="Z963" s="77"/>
      <c r="AA963" s="77" t="s">
        <v>2463</v>
      </c>
      <c r="AB963" s="77" t="s">
        <v>2696</v>
      </c>
      <c r="AC963" s="81" t="s">
        <v>2707</v>
      </c>
      <c r="AD963" s="77" t="s">
        <v>2752</v>
      </c>
      <c r="AE963" s="80" t="str">
        <f>HYPERLINK("https://twitter.com/inovies/status/1732824645882048838")</f>
        <v>https://twitter.com/inovies/status/1732824645882048838</v>
      </c>
      <c r="AF963" s="79">
        <v>45267.756527777776</v>
      </c>
      <c r="AG963" s="85">
        <v>45267</v>
      </c>
      <c r="AH963" s="81" t="s">
        <v>3549</v>
      </c>
      <c r="AI963" s="77" t="b">
        <v>0</v>
      </c>
      <c r="AJ963" s="77"/>
      <c r="AK963" s="77"/>
      <c r="AL963" s="77"/>
      <c r="AM963" s="77"/>
      <c r="AN963" s="77"/>
      <c r="AO963" s="77"/>
      <c r="AP963" s="77"/>
      <c r="AQ963" s="77" t="s">
        <v>4277</v>
      </c>
      <c r="AR963" s="77"/>
      <c r="AS963" s="77"/>
      <c r="AT963" s="77"/>
      <c r="AU963" s="77"/>
      <c r="AV963" s="80" t="str">
        <f>HYPERLINK("https://pbs.twimg.com/media/GAw60mTWwAA17FS.jpg")</f>
        <v>https://pbs.twimg.com/media/GAw60mTWwAA17FS.jpg</v>
      </c>
      <c r="AW963" s="81" t="s">
        <v>5307</v>
      </c>
      <c r="AX963" s="81" t="s">
        <v>5307</v>
      </c>
      <c r="AY963" s="77"/>
      <c r="AZ963" s="81" t="s">
        <v>5773</v>
      </c>
      <c r="BA963" s="81" t="s">
        <v>5773</v>
      </c>
      <c r="BB963" s="81" t="s">
        <v>5773</v>
      </c>
      <c r="BC963" s="81" t="s">
        <v>5307</v>
      </c>
      <c r="BD963" s="77">
        <v>297885438</v>
      </c>
      <c r="BE963" s="77"/>
      <c r="BF963" s="77"/>
      <c r="BG963" s="77"/>
      <c r="BH963" s="77"/>
      <c r="BI963" s="77"/>
    </row>
    <row r="964" spans="1:61" ht="15">
      <c r="A964" s="62" t="s">
        <v>299</v>
      </c>
      <c r="B964" s="62" t="s">
        <v>299</v>
      </c>
      <c r="C964" s="63"/>
      <c r="D964" s="64"/>
      <c r="E964" s="65"/>
      <c r="F964" s="66"/>
      <c r="G964" s="63"/>
      <c r="H964" s="67"/>
      <c r="I964" s="68"/>
      <c r="J964" s="68"/>
      <c r="K964" s="32" t="s">
        <v>65</v>
      </c>
      <c r="L964" s="75">
        <v>964</v>
      </c>
      <c r="M964" s="75"/>
      <c r="N964" s="70"/>
      <c r="O964" s="77" t="s">
        <v>179</v>
      </c>
      <c r="P964" s="79">
        <v>45267.75601851852</v>
      </c>
      <c r="Q964" s="77" t="s">
        <v>1350</v>
      </c>
      <c r="R964" s="77">
        <v>0</v>
      </c>
      <c r="S964" s="77">
        <v>0</v>
      </c>
      <c r="T964" s="77">
        <v>0</v>
      </c>
      <c r="U964" s="77">
        <v>0</v>
      </c>
      <c r="V964" s="77">
        <v>5</v>
      </c>
      <c r="W964" s="81" t="s">
        <v>1871</v>
      </c>
      <c r="X964" s="80" t="str">
        <f>HYPERLINK("https://inovies.com")</f>
        <v>https://inovies.com</v>
      </c>
      <c r="Y964" s="77" t="s">
        <v>1982</v>
      </c>
      <c r="Z964" s="77"/>
      <c r="AA964" s="77" t="s">
        <v>2464</v>
      </c>
      <c r="AB964" s="77" t="s">
        <v>2696</v>
      </c>
      <c r="AC964" s="81" t="s">
        <v>2707</v>
      </c>
      <c r="AD964" s="77" t="s">
        <v>2752</v>
      </c>
      <c r="AE964" s="80" t="str">
        <f>HYPERLINK("https://twitter.com/inovies/status/1732824460653158698")</f>
        <v>https://twitter.com/inovies/status/1732824460653158698</v>
      </c>
      <c r="AF964" s="79">
        <v>45267.75601851852</v>
      </c>
      <c r="AG964" s="85">
        <v>45267</v>
      </c>
      <c r="AH964" s="81" t="s">
        <v>3550</v>
      </c>
      <c r="AI964" s="77" t="b">
        <v>0</v>
      </c>
      <c r="AJ964" s="77"/>
      <c r="AK964" s="77"/>
      <c r="AL964" s="77"/>
      <c r="AM964" s="77"/>
      <c r="AN964" s="77"/>
      <c r="AO964" s="77"/>
      <c r="AP964" s="77"/>
      <c r="AQ964" s="77" t="s">
        <v>4278</v>
      </c>
      <c r="AR964" s="77"/>
      <c r="AS964" s="77"/>
      <c r="AT964" s="77"/>
      <c r="AU964" s="77"/>
      <c r="AV964" s="80" t="str">
        <f>HYPERLINK("https://pbs.twimg.com/media/GAw6p9NXIAAG_C1.jpg")</f>
        <v>https://pbs.twimg.com/media/GAw6p9NXIAAG_C1.jpg</v>
      </c>
      <c r="AW964" s="81" t="s">
        <v>5308</v>
      </c>
      <c r="AX964" s="81" t="s">
        <v>5308</v>
      </c>
      <c r="AY964" s="77"/>
      <c r="AZ964" s="81" t="s">
        <v>5773</v>
      </c>
      <c r="BA964" s="81" t="s">
        <v>5773</v>
      </c>
      <c r="BB964" s="81" t="s">
        <v>5773</v>
      </c>
      <c r="BC964" s="81" t="s">
        <v>5308</v>
      </c>
      <c r="BD964" s="77">
        <v>297885438</v>
      </c>
      <c r="BE964" s="77"/>
      <c r="BF964" s="77"/>
      <c r="BG964" s="77"/>
      <c r="BH964" s="77"/>
      <c r="BI964" s="77"/>
    </row>
    <row r="965" spans="1:61" ht="15">
      <c r="A965" s="62" t="s">
        <v>299</v>
      </c>
      <c r="B965" s="62" t="s">
        <v>299</v>
      </c>
      <c r="C965" s="63"/>
      <c r="D965" s="64"/>
      <c r="E965" s="65"/>
      <c r="F965" s="66"/>
      <c r="G965" s="63"/>
      <c r="H965" s="67"/>
      <c r="I965" s="68"/>
      <c r="J965" s="68"/>
      <c r="K965" s="32" t="s">
        <v>65</v>
      </c>
      <c r="L965" s="75">
        <v>965</v>
      </c>
      <c r="M965" s="75"/>
      <c r="N965" s="70"/>
      <c r="O965" s="77" t="s">
        <v>179</v>
      </c>
      <c r="P965" s="79">
        <v>45267.75539351852</v>
      </c>
      <c r="Q965" s="77" t="s">
        <v>1351</v>
      </c>
      <c r="R965" s="77">
        <v>0</v>
      </c>
      <c r="S965" s="77">
        <v>0</v>
      </c>
      <c r="T965" s="77">
        <v>0</v>
      </c>
      <c r="U965" s="77">
        <v>0</v>
      </c>
      <c r="V965" s="77">
        <v>5</v>
      </c>
      <c r="W965" s="81" t="s">
        <v>1871</v>
      </c>
      <c r="X965" s="80" t="str">
        <f>HYPERLINK("https://inovies.com")</f>
        <v>https://inovies.com</v>
      </c>
      <c r="Y965" s="77" t="s">
        <v>1982</v>
      </c>
      <c r="Z965" s="77"/>
      <c r="AA965" s="77" t="s">
        <v>2465</v>
      </c>
      <c r="AB965" s="77" t="s">
        <v>2696</v>
      </c>
      <c r="AC965" s="81" t="s">
        <v>2707</v>
      </c>
      <c r="AD965" s="77" t="s">
        <v>2752</v>
      </c>
      <c r="AE965" s="80" t="str">
        <f>HYPERLINK("https://twitter.com/inovies/status/1732824235570069728")</f>
        <v>https://twitter.com/inovies/status/1732824235570069728</v>
      </c>
      <c r="AF965" s="79">
        <v>45267.75539351852</v>
      </c>
      <c r="AG965" s="85">
        <v>45267</v>
      </c>
      <c r="AH965" s="81" t="s">
        <v>3551</v>
      </c>
      <c r="AI965" s="77" t="b">
        <v>0</v>
      </c>
      <c r="AJ965" s="77"/>
      <c r="AK965" s="77"/>
      <c r="AL965" s="77"/>
      <c r="AM965" s="77"/>
      <c r="AN965" s="77"/>
      <c r="AO965" s="77"/>
      <c r="AP965" s="77"/>
      <c r="AQ965" s="77" t="s">
        <v>4279</v>
      </c>
      <c r="AR965" s="77"/>
      <c r="AS965" s="77"/>
      <c r="AT965" s="77"/>
      <c r="AU965" s="77"/>
      <c r="AV965" s="80" t="str">
        <f>HYPERLINK("https://pbs.twimg.com/media/GAw6c3QXUAAcBvc.jpg")</f>
        <v>https://pbs.twimg.com/media/GAw6c3QXUAAcBvc.jpg</v>
      </c>
      <c r="AW965" s="81" t="s">
        <v>5309</v>
      </c>
      <c r="AX965" s="81" t="s">
        <v>5309</v>
      </c>
      <c r="AY965" s="77"/>
      <c r="AZ965" s="81" t="s">
        <v>5773</v>
      </c>
      <c r="BA965" s="81" t="s">
        <v>5773</v>
      </c>
      <c r="BB965" s="81" t="s">
        <v>5773</v>
      </c>
      <c r="BC965" s="81" t="s">
        <v>5309</v>
      </c>
      <c r="BD965" s="77">
        <v>297885438</v>
      </c>
      <c r="BE965" s="77"/>
      <c r="BF965" s="77"/>
      <c r="BG965" s="77"/>
      <c r="BH965" s="77"/>
      <c r="BI965" s="77"/>
    </row>
    <row r="966" spans="1:61" ht="15">
      <c r="A966" s="62" t="s">
        <v>299</v>
      </c>
      <c r="B966" s="62" t="s">
        <v>299</v>
      </c>
      <c r="C966" s="63"/>
      <c r="D966" s="64"/>
      <c r="E966" s="65"/>
      <c r="F966" s="66"/>
      <c r="G966" s="63"/>
      <c r="H966" s="67"/>
      <c r="I966" s="68"/>
      <c r="J966" s="68"/>
      <c r="K966" s="32" t="s">
        <v>65</v>
      </c>
      <c r="L966" s="75">
        <v>966</v>
      </c>
      <c r="M966" s="75"/>
      <c r="N966" s="70"/>
      <c r="O966" s="77" t="s">
        <v>179</v>
      </c>
      <c r="P966" s="79">
        <v>45267.75497685185</v>
      </c>
      <c r="Q966" s="77" t="s">
        <v>1352</v>
      </c>
      <c r="R966" s="77">
        <v>0</v>
      </c>
      <c r="S966" s="77">
        <v>0</v>
      </c>
      <c r="T966" s="77">
        <v>0</v>
      </c>
      <c r="U966" s="77">
        <v>0</v>
      </c>
      <c r="V966" s="77">
        <v>5</v>
      </c>
      <c r="W966" s="81" t="s">
        <v>1871</v>
      </c>
      <c r="X966" s="80" t="str">
        <f>HYPERLINK("https://inovies.com")</f>
        <v>https://inovies.com</v>
      </c>
      <c r="Y966" s="77" t="s">
        <v>1982</v>
      </c>
      <c r="Z966" s="77"/>
      <c r="AA966" s="77" t="s">
        <v>2466</v>
      </c>
      <c r="AB966" s="77" t="s">
        <v>2696</v>
      </c>
      <c r="AC966" s="81" t="s">
        <v>2707</v>
      </c>
      <c r="AD966" s="77" t="s">
        <v>2752</v>
      </c>
      <c r="AE966" s="80" t="str">
        <f>HYPERLINK("https://twitter.com/inovies/status/1732824084856066295")</f>
        <v>https://twitter.com/inovies/status/1732824084856066295</v>
      </c>
      <c r="AF966" s="79">
        <v>45267.75497685185</v>
      </c>
      <c r="AG966" s="85">
        <v>45267</v>
      </c>
      <c r="AH966" s="81" t="s">
        <v>3552</v>
      </c>
      <c r="AI966" s="77" t="b">
        <v>0</v>
      </c>
      <c r="AJ966" s="77"/>
      <c r="AK966" s="77"/>
      <c r="AL966" s="77"/>
      <c r="AM966" s="77"/>
      <c r="AN966" s="77"/>
      <c r="AO966" s="77"/>
      <c r="AP966" s="77"/>
      <c r="AQ966" s="77" t="s">
        <v>4280</v>
      </c>
      <c r="AR966" s="77"/>
      <c r="AS966" s="77"/>
      <c r="AT966" s="77"/>
      <c r="AU966" s="77"/>
      <c r="AV966" s="80" t="str">
        <f>HYPERLINK("https://pbs.twimg.com/media/GAw6UHyXsAE34kj.jpg")</f>
        <v>https://pbs.twimg.com/media/GAw6UHyXsAE34kj.jpg</v>
      </c>
      <c r="AW966" s="81" t="s">
        <v>5310</v>
      </c>
      <c r="AX966" s="81" t="s">
        <v>5310</v>
      </c>
      <c r="AY966" s="77"/>
      <c r="AZ966" s="81" t="s">
        <v>5773</v>
      </c>
      <c r="BA966" s="81" t="s">
        <v>5773</v>
      </c>
      <c r="BB966" s="81" t="s">
        <v>5773</v>
      </c>
      <c r="BC966" s="81" t="s">
        <v>5310</v>
      </c>
      <c r="BD966" s="77">
        <v>297885438</v>
      </c>
      <c r="BE966" s="77"/>
      <c r="BF966" s="77"/>
      <c r="BG966" s="77"/>
      <c r="BH966" s="77"/>
      <c r="BI966" s="77"/>
    </row>
    <row r="967" spans="1:61" ht="15">
      <c r="A967" s="62" t="s">
        <v>299</v>
      </c>
      <c r="B967" s="62" t="s">
        <v>299</v>
      </c>
      <c r="C967" s="63"/>
      <c r="D967" s="64"/>
      <c r="E967" s="65"/>
      <c r="F967" s="66"/>
      <c r="G967" s="63"/>
      <c r="H967" s="67"/>
      <c r="I967" s="68"/>
      <c r="J967" s="68"/>
      <c r="K967" s="32" t="s">
        <v>65</v>
      </c>
      <c r="L967" s="75">
        <v>967</v>
      </c>
      <c r="M967" s="75"/>
      <c r="N967" s="70"/>
      <c r="O967" s="77" t="s">
        <v>179</v>
      </c>
      <c r="P967" s="79">
        <v>45267.754525462966</v>
      </c>
      <c r="Q967" s="77" t="s">
        <v>1353</v>
      </c>
      <c r="R967" s="77">
        <v>0</v>
      </c>
      <c r="S967" s="77">
        <v>0</v>
      </c>
      <c r="T967" s="77">
        <v>0</v>
      </c>
      <c r="U967" s="77">
        <v>0</v>
      </c>
      <c r="V967" s="77">
        <v>6</v>
      </c>
      <c r="W967" s="81" t="s">
        <v>1871</v>
      </c>
      <c r="X967" s="80" t="str">
        <f>HYPERLINK("https://inovies.com")</f>
        <v>https://inovies.com</v>
      </c>
      <c r="Y967" s="77" t="s">
        <v>1982</v>
      </c>
      <c r="Z967" s="77"/>
      <c r="AA967" s="77" t="s">
        <v>2467</v>
      </c>
      <c r="AB967" s="77" t="s">
        <v>2696</v>
      </c>
      <c r="AC967" s="81" t="s">
        <v>2707</v>
      </c>
      <c r="AD967" s="77" t="s">
        <v>2752</v>
      </c>
      <c r="AE967" s="80" t="str">
        <f>HYPERLINK("https://twitter.com/inovies/status/1732823920821051413")</f>
        <v>https://twitter.com/inovies/status/1732823920821051413</v>
      </c>
      <c r="AF967" s="79">
        <v>45267.754525462966</v>
      </c>
      <c r="AG967" s="85">
        <v>45267</v>
      </c>
      <c r="AH967" s="81" t="s">
        <v>3553</v>
      </c>
      <c r="AI967" s="77" t="b">
        <v>0</v>
      </c>
      <c r="AJ967" s="77"/>
      <c r="AK967" s="77"/>
      <c r="AL967" s="77"/>
      <c r="AM967" s="77"/>
      <c r="AN967" s="77"/>
      <c r="AO967" s="77"/>
      <c r="AP967" s="77"/>
      <c r="AQ967" s="77" t="s">
        <v>4281</v>
      </c>
      <c r="AR967" s="77"/>
      <c r="AS967" s="77"/>
      <c r="AT967" s="77"/>
      <c r="AU967" s="77"/>
      <c r="AV967" s="80" t="str">
        <f>HYPERLINK("https://pbs.twimg.com/media/GAw6KhcWYAAsRPr.jpg")</f>
        <v>https://pbs.twimg.com/media/GAw6KhcWYAAsRPr.jpg</v>
      </c>
      <c r="AW967" s="81" t="s">
        <v>5311</v>
      </c>
      <c r="AX967" s="81" t="s">
        <v>5311</v>
      </c>
      <c r="AY967" s="77"/>
      <c r="AZ967" s="81" t="s">
        <v>5773</v>
      </c>
      <c r="BA967" s="81" t="s">
        <v>5773</v>
      </c>
      <c r="BB967" s="81" t="s">
        <v>5773</v>
      </c>
      <c r="BC967" s="81" t="s">
        <v>5311</v>
      </c>
      <c r="BD967" s="77">
        <v>297885438</v>
      </c>
      <c r="BE967" s="77"/>
      <c r="BF967" s="77"/>
      <c r="BG967" s="77"/>
      <c r="BH967" s="77"/>
      <c r="BI967" s="77"/>
    </row>
    <row r="968" spans="1:61" ht="15">
      <c r="A968" s="62" t="s">
        <v>299</v>
      </c>
      <c r="B968" s="62" t="s">
        <v>299</v>
      </c>
      <c r="C968" s="63"/>
      <c r="D968" s="64"/>
      <c r="E968" s="65"/>
      <c r="F968" s="66"/>
      <c r="G968" s="63"/>
      <c r="H968" s="67"/>
      <c r="I968" s="68"/>
      <c r="J968" s="68"/>
      <c r="K968" s="32" t="s">
        <v>65</v>
      </c>
      <c r="L968" s="75">
        <v>968</v>
      </c>
      <c r="M968" s="75"/>
      <c r="N968" s="70"/>
      <c r="O968" s="77" t="s">
        <v>572</v>
      </c>
      <c r="P968" s="79">
        <v>45267.58449074074</v>
      </c>
      <c r="Q968" s="77" t="s">
        <v>1354</v>
      </c>
      <c r="R968" s="77">
        <v>0</v>
      </c>
      <c r="S968" s="77">
        <v>0</v>
      </c>
      <c r="T968" s="77">
        <v>1</v>
      </c>
      <c r="U968" s="77">
        <v>0</v>
      </c>
      <c r="V968" s="77">
        <v>9</v>
      </c>
      <c r="W968" s="81" t="s">
        <v>299</v>
      </c>
      <c r="X968" s="77"/>
      <c r="Y968" s="77"/>
      <c r="Z968" s="77"/>
      <c r="AA968" s="77"/>
      <c r="AB968" s="77"/>
      <c r="AC968" s="81" t="s">
        <v>2707</v>
      </c>
      <c r="AD968" s="77" t="s">
        <v>2751</v>
      </c>
      <c r="AE968" s="80" t="str">
        <f>HYPERLINK("https://twitter.com/inovies/status/1732762303198540276")</f>
        <v>https://twitter.com/inovies/status/1732762303198540276</v>
      </c>
      <c r="AF968" s="79">
        <v>45267.58449074074</v>
      </c>
      <c r="AG968" s="85">
        <v>45267</v>
      </c>
      <c r="AH968" s="81" t="s">
        <v>3554</v>
      </c>
      <c r="AI968" s="77"/>
      <c r="AJ968" s="77"/>
      <c r="AK968" s="77"/>
      <c r="AL968" s="77"/>
      <c r="AM968" s="77"/>
      <c r="AN968" s="77"/>
      <c r="AO968" s="77"/>
      <c r="AP968" s="77"/>
      <c r="AQ968" s="77"/>
      <c r="AR968" s="77"/>
      <c r="AS968" s="77"/>
      <c r="AT968" s="77"/>
      <c r="AU968" s="77"/>
      <c r="AV968" s="80" t="str">
        <f>HYPERLINK("https://pbs.twimg.com/profile_images/833576943677214720/5ZyUgpEJ_normal.jpg")</f>
        <v>https://pbs.twimg.com/profile_images/833576943677214720/5ZyUgpEJ_normal.jpg</v>
      </c>
      <c r="AW968" s="81" t="s">
        <v>5312</v>
      </c>
      <c r="AX968" s="81" t="s">
        <v>5321</v>
      </c>
      <c r="AY968" s="81" t="s">
        <v>5721</v>
      </c>
      <c r="AZ968" s="81" t="s">
        <v>5313</v>
      </c>
      <c r="BA968" s="81" t="s">
        <v>5773</v>
      </c>
      <c r="BB968" s="81" t="s">
        <v>5773</v>
      </c>
      <c r="BC968" s="81" t="s">
        <v>5313</v>
      </c>
      <c r="BD968" s="77">
        <v>297885438</v>
      </c>
      <c r="BE968" s="77"/>
      <c r="BF968" s="77"/>
      <c r="BG968" s="77"/>
      <c r="BH968" s="77"/>
      <c r="BI968" s="77"/>
    </row>
    <row r="969" spans="1:61" ht="15">
      <c r="A969" s="62" t="s">
        <v>299</v>
      </c>
      <c r="B969" s="62" t="s">
        <v>299</v>
      </c>
      <c r="C969" s="63"/>
      <c r="D969" s="64"/>
      <c r="E969" s="65"/>
      <c r="F969" s="66"/>
      <c r="G969" s="63"/>
      <c r="H969" s="67"/>
      <c r="I969" s="68"/>
      <c r="J969" s="68"/>
      <c r="K969" s="32" t="s">
        <v>65</v>
      </c>
      <c r="L969" s="75">
        <v>969</v>
      </c>
      <c r="M969" s="75"/>
      <c r="N969" s="70"/>
      <c r="O969" s="77" t="s">
        <v>572</v>
      </c>
      <c r="P969" s="79">
        <v>45267.58399305555</v>
      </c>
      <c r="Q969" s="77" t="s">
        <v>1355</v>
      </c>
      <c r="R969" s="77">
        <v>0</v>
      </c>
      <c r="S969" s="77">
        <v>0</v>
      </c>
      <c r="T969" s="77">
        <v>1</v>
      </c>
      <c r="U969" s="77">
        <v>0</v>
      </c>
      <c r="V969" s="77">
        <v>8</v>
      </c>
      <c r="W969" s="81" t="s">
        <v>1897</v>
      </c>
      <c r="X969" s="77"/>
      <c r="Y969" s="77"/>
      <c r="Z969" s="77"/>
      <c r="AA969" s="77"/>
      <c r="AB969" s="77"/>
      <c r="AC969" s="81" t="s">
        <v>2707</v>
      </c>
      <c r="AD969" s="77" t="s">
        <v>2751</v>
      </c>
      <c r="AE969" s="80" t="str">
        <f>HYPERLINK("https://twitter.com/inovies/status/1732762120242987512")</f>
        <v>https://twitter.com/inovies/status/1732762120242987512</v>
      </c>
      <c r="AF969" s="79">
        <v>45267.58399305555</v>
      </c>
      <c r="AG969" s="85">
        <v>45267</v>
      </c>
      <c r="AH969" s="81" t="s">
        <v>3555</v>
      </c>
      <c r="AI969" s="77"/>
      <c r="AJ969" s="77"/>
      <c r="AK969" s="77"/>
      <c r="AL969" s="77"/>
      <c r="AM969" s="77"/>
      <c r="AN969" s="77"/>
      <c r="AO969" s="77"/>
      <c r="AP969" s="77"/>
      <c r="AQ969" s="77"/>
      <c r="AR969" s="77"/>
      <c r="AS969" s="77"/>
      <c r="AT969" s="77"/>
      <c r="AU969" s="77"/>
      <c r="AV969" s="80" t="str">
        <f>HYPERLINK("https://pbs.twimg.com/profile_images/833576943677214720/5ZyUgpEJ_normal.jpg")</f>
        <v>https://pbs.twimg.com/profile_images/833576943677214720/5ZyUgpEJ_normal.jpg</v>
      </c>
      <c r="AW969" s="81" t="s">
        <v>5313</v>
      </c>
      <c r="AX969" s="81" t="s">
        <v>5321</v>
      </c>
      <c r="AY969" s="81" t="s">
        <v>5721</v>
      </c>
      <c r="AZ969" s="81" t="s">
        <v>5314</v>
      </c>
      <c r="BA969" s="81" t="s">
        <v>5773</v>
      </c>
      <c r="BB969" s="81" t="s">
        <v>5773</v>
      </c>
      <c r="BC969" s="81" t="s">
        <v>5314</v>
      </c>
      <c r="BD969" s="77">
        <v>297885438</v>
      </c>
      <c r="BE969" s="77"/>
      <c r="BF969" s="77"/>
      <c r="BG969" s="77"/>
      <c r="BH969" s="77"/>
      <c r="BI969" s="77"/>
    </row>
    <row r="970" spans="1:61" ht="15">
      <c r="A970" s="62" t="s">
        <v>299</v>
      </c>
      <c r="B970" s="62" t="s">
        <v>299</v>
      </c>
      <c r="C970" s="63"/>
      <c r="D970" s="64"/>
      <c r="E970" s="65"/>
      <c r="F970" s="66"/>
      <c r="G970" s="63"/>
      <c r="H970" s="67"/>
      <c r="I970" s="68"/>
      <c r="J970" s="68"/>
      <c r="K970" s="32" t="s">
        <v>65</v>
      </c>
      <c r="L970" s="75">
        <v>970</v>
      </c>
      <c r="M970" s="75"/>
      <c r="N970" s="70"/>
      <c r="O970" s="77" t="s">
        <v>572</v>
      </c>
      <c r="P970" s="79">
        <v>45267.58304398148</v>
      </c>
      <c r="Q970" s="77" t="s">
        <v>1356</v>
      </c>
      <c r="R970" s="77">
        <v>0</v>
      </c>
      <c r="S970" s="77">
        <v>0</v>
      </c>
      <c r="T970" s="77">
        <v>1</v>
      </c>
      <c r="U970" s="77">
        <v>0</v>
      </c>
      <c r="V970" s="77">
        <v>9</v>
      </c>
      <c r="W970" s="81" t="s">
        <v>1898</v>
      </c>
      <c r="X970" s="77"/>
      <c r="Y970" s="77"/>
      <c r="Z970" s="77"/>
      <c r="AA970" s="77"/>
      <c r="AB970" s="77"/>
      <c r="AC970" s="81" t="s">
        <v>2707</v>
      </c>
      <c r="AD970" s="77" t="s">
        <v>2751</v>
      </c>
      <c r="AE970" s="80" t="str">
        <f>HYPERLINK("https://twitter.com/inovies/status/1732761775785783370")</f>
        <v>https://twitter.com/inovies/status/1732761775785783370</v>
      </c>
      <c r="AF970" s="79">
        <v>45267.58304398148</v>
      </c>
      <c r="AG970" s="85">
        <v>45267</v>
      </c>
      <c r="AH970" s="81" t="s">
        <v>3556</v>
      </c>
      <c r="AI970" s="77"/>
      <c r="AJ970" s="77"/>
      <c r="AK970" s="77"/>
      <c r="AL970" s="77"/>
      <c r="AM970" s="77"/>
      <c r="AN970" s="77"/>
      <c r="AO970" s="77"/>
      <c r="AP970" s="77"/>
      <c r="AQ970" s="77"/>
      <c r="AR970" s="77"/>
      <c r="AS970" s="77"/>
      <c r="AT970" s="77"/>
      <c r="AU970" s="77"/>
      <c r="AV970" s="80" t="str">
        <f>HYPERLINK("https://pbs.twimg.com/profile_images/833576943677214720/5ZyUgpEJ_normal.jpg")</f>
        <v>https://pbs.twimg.com/profile_images/833576943677214720/5ZyUgpEJ_normal.jpg</v>
      </c>
      <c r="AW970" s="81" t="s">
        <v>5314</v>
      </c>
      <c r="AX970" s="81" t="s">
        <v>5321</v>
      </c>
      <c r="AY970" s="81" t="s">
        <v>5721</v>
      </c>
      <c r="AZ970" s="81" t="s">
        <v>5315</v>
      </c>
      <c r="BA970" s="81" t="s">
        <v>5773</v>
      </c>
      <c r="BB970" s="81" t="s">
        <v>5773</v>
      </c>
      <c r="BC970" s="81" t="s">
        <v>5315</v>
      </c>
      <c r="BD970" s="77">
        <v>297885438</v>
      </c>
      <c r="BE970" s="77"/>
      <c r="BF970" s="77"/>
      <c r="BG970" s="77"/>
      <c r="BH970" s="77"/>
      <c r="BI970" s="77"/>
    </row>
    <row r="971" spans="1:61" ht="15">
      <c r="A971" s="62" t="s">
        <v>299</v>
      </c>
      <c r="B971" s="62" t="s">
        <v>299</v>
      </c>
      <c r="C971" s="63"/>
      <c r="D971" s="64"/>
      <c r="E971" s="65"/>
      <c r="F971" s="66"/>
      <c r="G971" s="63"/>
      <c r="H971" s="67"/>
      <c r="I971" s="68"/>
      <c r="J971" s="68"/>
      <c r="K971" s="32" t="s">
        <v>65</v>
      </c>
      <c r="L971" s="75">
        <v>971</v>
      </c>
      <c r="M971" s="75"/>
      <c r="N971" s="70"/>
      <c r="O971" s="77" t="s">
        <v>572</v>
      </c>
      <c r="P971" s="79">
        <v>45267.582141203704</v>
      </c>
      <c r="Q971" s="77" t="s">
        <v>1357</v>
      </c>
      <c r="R971" s="77">
        <v>0</v>
      </c>
      <c r="S971" s="77">
        <v>0</v>
      </c>
      <c r="T971" s="77">
        <v>1</v>
      </c>
      <c r="U971" s="77">
        <v>0</v>
      </c>
      <c r="V971" s="77">
        <v>15</v>
      </c>
      <c r="W971" s="81" t="s">
        <v>1899</v>
      </c>
      <c r="X971" s="77"/>
      <c r="Y971" s="77"/>
      <c r="Z971" s="77"/>
      <c r="AA971" s="77"/>
      <c r="AB971" s="77"/>
      <c r="AC971" s="81" t="s">
        <v>2707</v>
      </c>
      <c r="AD971" s="77" t="s">
        <v>2751</v>
      </c>
      <c r="AE971" s="80" t="str">
        <f>HYPERLINK("https://twitter.com/inovies/status/1732761450513330359")</f>
        <v>https://twitter.com/inovies/status/1732761450513330359</v>
      </c>
      <c r="AF971" s="79">
        <v>45267.582141203704</v>
      </c>
      <c r="AG971" s="85">
        <v>45267</v>
      </c>
      <c r="AH971" s="81" t="s">
        <v>3557</v>
      </c>
      <c r="AI971" s="77"/>
      <c r="AJ971" s="77"/>
      <c r="AK971" s="77"/>
      <c r="AL971" s="77"/>
      <c r="AM971" s="77"/>
      <c r="AN971" s="77"/>
      <c r="AO971" s="77"/>
      <c r="AP971" s="77"/>
      <c r="AQ971" s="77"/>
      <c r="AR971" s="77"/>
      <c r="AS971" s="77"/>
      <c r="AT971" s="77"/>
      <c r="AU971" s="77"/>
      <c r="AV971" s="80" t="str">
        <f>HYPERLINK("https://pbs.twimg.com/profile_images/833576943677214720/5ZyUgpEJ_normal.jpg")</f>
        <v>https://pbs.twimg.com/profile_images/833576943677214720/5ZyUgpEJ_normal.jpg</v>
      </c>
      <c r="AW971" s="81" t="s">
        <v>5315</v>
      </c>
      <c r="AX971" s="81" t="s">
        <v>5321</v>
      </c>
      <c r="AY971" s="81" t="s">
        <v>5721</v>
      </c>
      <c r="AZ971" s="81" t="s">
        <v>5316</v>
      </c>
      <c r="BA971" s="81" t="s">
        <v>5773</v>
      </c>
      <c r="BB971" s="81" t="s">
        <v>5773</v>
      </c>
      <c r="BC971" s="81" t="s">
        <v>5316</v>
      </c>
      <c r="BD971" s="77">
        <v>297885438</v>
      </c>
      <c r="BE971" s="77"/>
      <c r="BF971" s="77"/>
      <c r="BG971" s="77"/>
      <c r="BH971" s="77"/>
      <c r="BI971" s="77"/>
    </row>
    <row r="972" spans="1:61" ht="15">
      <c r="A972" s="62" t="s">
        <v>299</v>
      </c>
      <c r="B972" s="62" t="s">
        <v>299</v>
      </c>
      <c r="C972" s="63"/>
      <c r="D972" s="64"/>
      <c r="E972" s="65"/>
      <c r="F972" s="66"/>
      <c r="G972" s="63"/>
      <c r="H972" s="67"/>
      <c r="I972" s="68"/>
      <c r="J972" s="68"/>
      <c r="K972" s="32" t="s">
        <v>65</v>
      </c>
      <c r="L972" s="75">
        <v>972</v>
      </c>
      <c r="M972" s="75"/>
      <c r="N972" s="70"/>
      <c r="O972" s="77" t="s">
        <v>572</v>
      </c>
      <c r="P972" s="79">
        <v>45267.581296296295</v>
      </c>
      <c r="Q972" s="77" t="s">
        <v>1358</v>
      </c>
      <c r="R972" s="77">
        <v>0</v>
      </c>
      <c r="S972" s="77">
        <v>0</v>
      </c>
      <c r="T972" s="77">
        <v>1</v>
      </c>
      <c r="U972" s="77">
        <v>0</v>
      </c>
      <c r="V972" s="77">
        <v>10</v>
      </c>
      <c r="W972" s="81" t="s">
        <v>1900</v>
      </c>
      <c r="X972" s="77"/>
      <c r="Y972" s="77"/>
      <c r="Z972" s="77"/>
      <c r="AA972" s="77"/>
      <c r="AB972" s="77"/>
      <c r="AC972" s="81" t="s">
        <v>2707</v>
      </c>
      <c r="AD972" s="77" t="s">
        <v>2751</v>
      </c>
      <c r="AE972" s="80" t="str">
        <f>HYPERLINK("https://twitter.com/inovies/status/1732761143133733204")</f>
        <v>https://twitter.com/inovies/status/1732761143133733204</v>
      </c>
      <c r="AF972" s="79">
        <v>45267.581296296295</v>
      </c>
      <c r="AG972" s="85">
        <v>45267</v>
      </c>
      <c r="AH972" s="81" t="s">
        <v>3558</v>
      </c>
      <c r="AI972" s="77"/>
      <c r="AJ972" s="77"/>
      <c r="AK972" s="77"/>
      <c r="AL972" s="77"/>
      <c r="AM972" s="77"/>
      <c r="AN972" s="77"/>
      <c r="AO972" s="77"/>
      <c r="AP972" s="77"/>
      <c r="AQ972" s="77"/>
      <c r="AR972" s="77"/>
      <c r="AS972" s="77"/>
      <c r="AT972" s="77"/>
      <c r="AU972" s="77"/>
      <c r="AV972" s="80" t="str">
        <f>HYPERLINK("https://pbs.twimg.com/profile_images/833576943677214720/5ZyUgpEJ_normal.jpg")</f>
        <v>https://pbs.twimg.com/profile_images/833576943677214720/5ZyUgpEJ_normal.jpg</v>
      </c>
      <c r="AW972" s="81" t="s">
        <v>5316</v>
      </c>
      <c r="AX972" s="81" t="s">
        <v>5321</v>
      </c>
      <c r="AY972" s="81" t="s">
        <v>5721</v>
      </c>
      <c r="AZ972" s="81" t="s">
        <v>5317</v>
      </c>
      <c r="BA972" s="81" t="s">
        <v>5773</v>
      </c>
      <c r="BB972" s="81" t="s">
        <v>5773</v>
      </c>
      <c r="BC972" s="81" t="s">
        <v>5317</v>
      </c>
      <c r="BD972" s="77">
        <v>297885438</v>
      </c>
      <c r="BE972" s="77"/>
      <c r="BF972" s="77"/>
      <c r="BG972" s="77"/>
      <c r="BH972" s="77"/>
      <c r="BI972" s="77"/>
    </row>
    <row r="973" spans="1:61" ht="15">
      <c r="A973" s="62" t="s">
        <v>299</v>
      </c>
      <c r="B973" s="62" t="s">
        <v>299</v>
      </c>
      <c r="C973" s="63"/>
      <c r="D973" s="64"/>
      <c r="E973" s="65"/>
      <c r="F973" s="66"/>
      <c r="G973" s="63"/>
      <c r="H973" s="67"/>
      <c r="I973" s="68"/>
      <c r="J973" s="68"/>
      <c r="K973" s="32" t="s">
        <v>65</v>
      </c>
      <c r="L973" s="75">
        <v>973</v>
      </c>
      <c r="M973" s="75"/>
      <c r="N973" s="70"/>
      <c r="O973" s="77" t="s">
        <v>572</v>
      </c>
      <c r="P973" s="79">
        <v>45267.580347222225</v>
      </c>
      <c r="Q973" s="77" t="s">
        <v>1359</v>
      </c>
      <c r="R973" s="77">
        <v>0</v>
      </c>
      <c r="S973" s="77">
        <v>0</v>
      </c>
      <c r="T973" s="77">
        <v>1</v>
      </c>
      <c r="U973" s="77">
        <v>0</v>
      </c>
      <c r="V973" s="77">
        <v>15</v>
      </c>
      <c r="W973" s="81" t="s">
        <v>1901</v>
      </c>
      <c r="X973" s="77"/>
      <c r="Y973" s="77"/>
      <c r="Z973" s="77"/>
      <c r="AA973" s="77"/>
      <c r="AB973" s="77"/>
      <c r="AC973" s="81" t="s">
        <v>2707</v>
      </c>
      <c r="AD973" s="77" t="s">
        <v>2751</v>
      </c>
      <c r="AE973" s="80" t="str">
        <f>HYPERLINK("https://twitter.com/inovies/status/1732760799368692185")</f>
        <v>https://twitter.com/inovies/status/1732760799368692185</v>
      </c>
      <c r="AF973" s="79">
        <v>45267.580347222225</v>
      </c>
      <c r="AG973" s="85">
        <v>45267</v>
      </c>
      <c r="AH973" s="81" t="s">
        <v>3559</v>
      </c>
      <c r="AI973" s="77"/>
      <c r="AJ973" s="77"/>
      <c r="AK973" s="77"/>
      <c r="AL973" s="77"/>
      <c r="AM973" s="77"/>
      <c r="AN973" s="77"/>
      <c r="AO973" s="77"/>
      <c r="AP973" s="77"/>
      <c r="AQ973" s="77"/>
      <c r="AR973" s="77"/>
      <c r="AS973" s="77"/>
      <c r="AT973" s="77"/>
      <c r="AU973" s="77"/>
      <c r="AV973" s="80" t="str">
        <f>HYPERLINK("https://pbs.twimg.com/profile_images/833576943677214720/5ZyUgpEJ_normal.jpg")</f>
        <v>https://pbs.twimg.com/profile_images/833576943677214720/5ZyUgpEJ_normal.jpg</v>
      </c>
      <c r="AW973" s="81" t="s">
        <v>5317</v>
      </c>
      <c r="AX973" s="81" t="s">
        <v>5321</v>
      </c>
      <c r="AY973" s="81" t="s">
        <v>5721</v>
      </c>
      <c r="AZ973" s="81" t="s">
        <v>5318</v>
      </c>
      <c r="BA973" s="81" t="s">
        <v>5773</v>
      </c>
      <c r="BB973" s="81" t="s">
        <v>5773</v>
      </c>
      <c r="BC973" s="81" t="s">
        <v>5318</v>
      </c>
      <c r="BD973" s="77">
        <v>297885438</v>
      </c>
      <c r="BE973" s="77"/>
      <c r="BF973" s="77"/>
      <c r="BG973" s="77"/>
      <c r="BH973" s="77"/>
      <c r="BI973" s="77"/>
    </row>
    <row r="974" spans="1:61" ht="15">
      <c r="A974" s="62" t="s">
        <v>299</v>
      </c>
      <c r="B974" s="62" t="s">
        <v>299</v>
      </c>
      <c r="C974" s="63"/>
      <c r="D974" s="64"/>
      <c r="E974" s="65"/>
      <c r="F974" s="66"/>
      <c r="G974" s="63"/>
      <c r="H974" s="67"/>
      <c r="I974" s="68"/>
      <c r="J974" s="68"/>
      <c r="K974" s="32" t="s">
        <v>65</v>
      </c>
      <c r="L974" s="75">
        <v>974</v>
      </c>
      <c r="M974" s="75"/>
      <c r="N974" s="70"/>
      <c r="O974" s="77" t="s">
        <v>572</v>
      </c>
      <c r="P974" s="79">
        <v>45267.57938657407</v>
      </c>
      <c r="Q974" s="77" t="s">
        <v>1360</v>
      </c>
      <c r="R974" s="77">
        <v>0</v>
      </c>
      <c r="S974" s="77">
        <v>0</v>
      </c>
      <c r="T974" s="77">
        <v>1</v>
      </c>
      <c r="U974" s="77">
        <v>0</v>
      </c>
      <c r="V974" s="77">
        <v>13</v>
      </c>
      <c r="W974" s="81" t="s">
        <v>1902</v>
      </c>
      <c r="X974" s="77"/>
      <c r="Y974" s="77"/>
      <c r="Z974" s="77"/>
      <c r="AA974" s="77"/>
      <c r="AB974" s="77"/>
      <c r="AC974" s="81" t="s">
        <v>2707</v>
      </c>
      <c r="AD974" s="77" t="s">
        <v>2751</v>
      </c>
      <c r="AE974" s="80" t="str">
        <f>HYPERLINK("https://twitter.com/inovies/status/1732760451870511361")</f>
        <v>https://twitter.com/inovies/status/1732760451870511361</v>
      </c>
      <c r="AF974" s="79">
        <v>45267.57938657407</v>
      </c>
      <c r="AG974" s="85">
        <v>45267</v>
      </c>
      <c r="AH974" s="81" t="s">
        <v>3560</v>
      </c>
      <c r="AI974" s="77"/>
      <c r="AJ974" s="77"/>
      <c r="AK974" s="77"/>
      <c r="AL974" s="77"/>
      <c r="AM974" s="77"/>
      <c r="AN974" s="77"/>
      <c r="AO974" s="77"/>
      <c r="AP974" s="77"/>
      <c r="AQ974" s="77"/>
      <c r="AR974" s="77"/>
      <c r="AS974" s="77"/>
      <c r="AT974" s="77"/>
      <c r="AU974" s="77"/>
      <c r="AV974" s="80" t="str">
        <f>HYPERLINK("https://pbs.twimg.com/profile_images/833576943677214720/5ZyUgpEJ_normal.jpg")</f>
        <v>https://pbs.twimg.com/profile_images/833576943677214720/5ZyUgpEJ_normal.jpg</v>
      </c>
      <c r="AW974" s="81" t="s">
        <v>5318</v>
      </c>
      <c r="AX974" s="81" t="s">
        <v>5321</v>
      </c>
      <c r="AY974" s="81" t="s">
        <v>5721</v>
      </c>
      <c r="AZ974" s="81" t="s">
        <v>5319</v>
      </c>
      <c r="BA974" s="81" t="s">
        <v>5773</v>
      </c>
      <c r="BB974" s="81" t="s">
        <v>5773</v>
      </c>
      <c r="BC974" s="81" t="s">
        <v>5319</v>
      </c>
      <c r="BD974" s="77">
        <v>297885438</v>
      </c>
      <c r="BE974" s="77"/>
      <c r="BF974" s="77"/>
      <c r="BG974" s="77"/>
      <c r="BH974" s="77"/>
      <c r="BI974" s="77"/>
    </row>
    <row r="975" spans="1:61" ht="15">
      <c r="A975" s="62" t="s">
        <v>299</v>
      </c>
      <c r="B975" s="62" t="s">
        <v>299</v>
      </c>
      <c r="C975" s="63"/>
      <c r="D975" s="64"/>
      <c r="E975" s="65"/>
      <c r="F975" s="66"/>
      <c r="G975" s="63"/>
      <c r="H975" s="67"/>
      <c r="I975" s="68"/>
      <c r="J975" s="68"/>
      <c r="K975" s="32" t="s">
        <v>65</v>
      </c>
      <c r="L975" s="75">
        <v>975</v>
      </c>
      <c r="M975" s="75"/>
      <c r="N975" s="70"/>
      <c r="O975" s="77" t="s">
        <v>572</v>
      </c>
      <c r="P975" s="79">
        <v>45267.57846064815</v>
      </c>
      <c r="Q975" s="77" t="s">
        <v>1361</v>
      </c>
      <c r="R975" s="77">
        <v>0</v>
      </c>
      <c r="S975" s="77">
        <v>0</v>
      </c>
      <c r="T975" s="77">
        <v>1</v>
      </c>
      <c r="U975" s="77">
        <v>0</v>
      </c>
      <c r="V975" s="77">
        <v>18</v>
      </c>
      <c r="W975" s="81" t="s">
        <v>1903</v>
      </c>
      <c r="X975" s="77"/>
      <c r="Y975" s="77"/>
      <c r="Z975" s="77"/>
      <c r="AA975" s="77"/>
      <c r="AB975" s="77"/>
      <c r="AC975" s="81" t="s">
        <v>2707</v>
      </c>
      <c r="AD975" s="77" t="s">
        <v>2751</v>
      </c>
      <c r="AE975" s="80" t="str">
        <f>HYPERLINK("https://twitter.com/inovies/status/1732760117605548453")</f>
        <v>https://twitter.com/inovies/status/1732760117605548453</v>
      </c>
      <c r="AF975" s="79">
        <v>45267.57846064815</v>
      </c>
      <c r="AG975" s="85">
        <v>45267</v>
      </c>
      <c r="AH975" s="81" t="s">
        <v>3561</v>
      </c>
      <c r="AI975" s="77"/>
      <c r="AJ975" s="77"/>
      <c r="AK975" s="77"/>
      <c r="AL975" s="77"/>
      <c r="AM975" s="77"/>
      <c r="AN975" s="77"/>
      <c r="AO975" s="77"/>
      <c r="AP975" s="77"/>
      <c r="AQ975" s="77"/>
      <c r="AR975" s="77"/>
      <c r="AS975" s="77"/>
      <c r="AT975" s="77"/>
      <c r="AU975" s="77"/>
      <c r="AV975" s="80" t="str">
        <f>HYPERLINK("https://pbs.twimg.com/profile_images/833576943677214720/5ZyUgpEJ_normal.jpg")</f>
        <v>https://pbs.twimg.com/profile_images/833576943677214720/5ZyUgpEJ_normal.jpg</v>
      </c>
      <c r="AW975" s="81" t="s">
        <v>5319</v>
      </c>
      <c r="AX975" s="81" t="s">
        <v>5321</v>
      </c>
      <c r="AY975" s="81" t="s">
        <v>5721</v>
      </c>
      <c r="AZ975" s="81" t="s">
        <v>5320</v>
      </c>
      <c r="BA975" s="81" t="s">
        <v>5773</v>
      </c>
      <c r="BB975" s="81" t="s">
        <v>5773</v>
      </c>
      <c r="BC975" s="81" t="s">
        <v>5320</v>
      </c>
      <c r="BD975" s="77">
        <v>297885438</v>
      </c>
      <c r="BE975" s="77"/>
      <c r="BF975" s="77"/>
      <c r="BG975" s="77"/>
      <c r="BH975" s="77"/>
      <c r="BI975" s="77"/>
    </row>
    <row r="976" spans="1:61" ht="15">
      <c r="A976" s="62" t="s">
        <v>299</v>
      </c>
      <c r="B976" s="62" t="s">
        <v>299</v>
      </c>
      <c r="C976" s="63"/>
      <c r="D976" s="64"/>
      <c r="E976" s="65"/>
      <c r="F976" s="66"/>
      <c r="G976" s="63"/>
      <c r="H976" s="67"/>
      <c r="I976" s="68"/>
      <c r="J976" s="68"/>
      <c r="K976" s="32" t="s">
        <v>65</v>
      </c>
      <c r="L976" s="75">
        <v>976</v>
      </c>
      <c r="M976" s="75"/>
      <c r="N976" s="70"/>
      <c r="O976" s="77" t="s">
        <v>572</v>
      </c>
      <c r="P976" s="79">
        <v>45267.576273148145</v>
      </c>
      <c r="Q976" s="77" t="s">
        <v>1362</v>
      </c>
      <c r="R976" s="77">
        <v>0</v>
      </c>
      <c r="S976" s="77">
        <v>0</v>
      </c>
      <c r="T976" s="77">
        <v>1</v>
      </c>
      <c r="U976" s="77">
        <v>0</v>
      </c>
      <c r="V976" s="77">
        <v>17</v>
      </c>
      <c r="W976" s="81" t="s">
        <v>1904</v>
      </c>
      <c r="X976" s="77"/>
      <c r="Y976" s="77"/>
      <c r="Z976" s="77"/>
      <c r="AA976" s="77"/>
      <c r="AB976" s="77"/>
      <c r="AC976" s="81" t="s">
        <v>2707</v>
      </c>
      <c r="AD976" s="77" t="s">
        <v>2751</v>
      </c>
      <c r="AE976" s="80" t="str">
        <f>HYPERLINK("https://twitter.com/inovies/status/1732759322143113622")</f>
        <v>https://twitter.com/inovies/status/1732759322143113622</v>
      </c>
      <c r="AF976" s="79">
        <v>45267.576273148145</v>
      </c>
      <c r="AG976" s="85">
        <v>45267</v>
      </c>
      <c r="AH976" s="81" t="s">
        <v>3562</v>
      </c>
      <c r="AI976" s="77"/>
      <c r="AJ976" s="77"/>
      <c r="AK976" s="77"/>
      <c r="AL976" s="77"/>
      <c r="AM976" s="77"/>
      <c r="AN976" s="77"/>
      <c r="AO976" s="77"/>
      <c r="AP976" s="77"/>
      <c r="AQ976" s="77"/>
      <c r="AR976" s="77"/>
      <c r="AS976" s="77"/>
      <c r="AT976" s="77"/>
      <c r="AU976" s="77"/>
      <c r="AV976" s="80" t="str">
        <f>HYPERLINK("https://pbs.twimg.com/profile_images/833576943677214720/5ZyUgpEJ_normal.jpg")</f>
        <v>https://pbs.twimg.com/profile_images/833576943677214720/5ZyUgpEJ_normal.jpg</v>
      </c>
      <c r="AW976" s="81" t="s">
        <v>5320</v>
      </c>
      <c r="AX976" s="81" t="s">
        <v>5321</v>
      </c>
      <c r="AY976" s="81" t="s">
        <v>5721</v>
      </c>
      <c r="AZ976" s="81" t="s">
        <v>5321</v>
      </c>
      <c r="BA976" s="81" t="s">
        <v>5773</v>
      </c>
      <c r="BB976" s="81" t="s">
        <v>5773</v>
      </c>
      <c r="BC976" s="81" t="s">
        <v>5321</v>
      </c>
      <c r="BD976" s="77">
        <v>297885438</v>
      </c>
      <c r="BE976" s="77"/>
      <c r="BF976" s="77"/>
      <c r="BG976" s="77"/>
      <c r="BH976" s="77"/>
      <c r="BI976" s="77"/>
    </row>
    <row r="977" spans="1:61" ht="15">
      <c r="A977" s="62" t="s">
        <v>299</v>
      </c>
      <c r="B977" s="62" t="s">
        <v>299</v>
      </c>
      <c r="C977" s="63"/>
      <c r="D977" s="64"/>
      <c r="E977" s="65"/>
      <c r="F977" s="66"/>
      <c r="G977" s="63"/>
      <c r="H977" s="67"/>
      <c r="I977" s="68"/>
      <c r="J977" s="68"/>
      <c r="K977" s="32" t="s">
        <v>65</v>
      </c>
      <c r="L977" s="75">
        <v>977</v>
      </c>
      <c r="M977" s="75"/>
      <c r="N977" s="70"/>
      <c r="O977" s="77" t="s">
        <v>179</v>
      </c>
      <c r="P977" s="79">
        <v>45267.57377314815</v>
      </c>
      <c r="Q977" s="77" t="s">
        <v>1363</v>
      </c>
      <c r="R977" s="77">
        <v>0</v>
      </c>
      <c r="S977" s="77">
        <v>0</v>
      </c>
      <c r="T977" s="77">
        <v>1</v>
      </c>
      <c r="U977" s="77">
        <v>0</v>
      </c>
      <c r="V977" s="77">
        <v>30</v>
      </c>
      <c r="W977" s="81" t="s">
        <v>1905</v>
      </c>
      <c r="X977" s="77"/>
      <c r="Y977" s="77"/>
      <c r="Z977" s="77"/>
      <c r="AA977" s="77" t="s">
        <v>2468</v>
      </c>
      <c r="AB977" s="77" t="s">
        <v>2696</v>
      </c>
      <c r="AC977" s="81" t="s">
        <v>2707</v>
      </c>
      <c r="AD977" s="77" t="s">
        <v>2751</v>
      </c>
      <c r="AE977" s="80" t="str">
        <f>HYPERLINK("https://twitter.com/inovies/status/1732758417037504558")</f>
        <v>https://twitter.com/inovies/status/1732758417037504558</v>
      </c>
      <c r="AF977" s="79">
        <v>45267.57377314815</v>
      </c>
      <c r="AG977" s="85">
        <v>45267</v>
      </c>
      <c r="AH977" s="81" t="s">
        <v>3563</v>
      </c>
      <c r="AI977" s="77" t="b">
        <v>0</v>
      </c>
      <c r="AJ977" s="77"/>
      <c r="AK977" s="77"/>
      <c r="AL977" s="77"/>
      <c r="AM977" s="77"/>
      <c r="AN977" s="77"/>
      <c r="AO977" s="77"/>
      <c r="AP977" s="77"/>
      <c r="AQ977" s="77" t="s">
        <v>4282</v>
      </c>
      <c r="AR977" s="77"/>
      <c r="AS977" s="77"/>
      <c r="AT977" s="77"/>
      <c r="AU977" s="77"/>
      <c r="AV977" s="80" t="str">
        <f>HYPERLINK("https://pbs.twimg.com/media/GAv9RUJW0AA6Qcw.jpg")</f>
        <v>https://pbs.twimg.com/media/GAv9RUJW0AA6Qcw.jpg</v>
      </c>
      <c r="AW977" s="81" t="s">
        <v>5321</v>
      </c>
      <c r="AX977" s="81" t="s">
        <v>5321</v>
      </c>
      <c r="AY977" s="77"/>
      <c r="AZ977" s="81" t="s">
        <v>5773</v>
      </c>
      <c r="BA977" s="81" t="s">
        <v>5773</v>
      </c>
      <c r="BB977" s="81" t="s">
        <v>5773</v>
      </c>
      <c r="BC977" s="81" t="s">
        <v>5321</v>
      </c>
      <c r="BD977" s="77">
        <v>297885438</v>
      </c>
      <c r="BE977" s="77"/>
      <c r="BF977" s="77"/>
      <c r="BG977" s="77"/>
      <c r="BH977" s="77"/>
      <c r="BI977" s="77"/>
    </row>
    <row r="978" spans="1:61" ht="15">
      <c r="A978" s="62" t="s">
        <v>299</v>
      </c>
      <c r="B978" s="62" t="s">
        <v>299</v>
      </c>
      <c r="C978" s="63"/>
      <c r="D978" s="64"/>
      <c r="E978" s="65"/>
      <c r="F978" s="66"/>
      <c r="G978" s="63"/>
      <c r="H978" s="67"/>
      <c r="I978" s="68"/>
      <c r="J978" s="68"/>
      <c r="K978" s="32" t="s">
        <v>65</v>
      </c>
      <c r="L978" s="75">
        <v>978</v>
      </c>
      <c r="M978" s="75"/>
      <c r="N978" s="70"/>
      <c r="O978" s="77" t="s">
        <v>179</v>
      </c>
      <c r="P978" s="79">
        <v>45267.34556712963</v>
      </c>
      <c r="Q978" s="77" t="s">
        <v>1364</v>
      </c>
      <c r="R978" s="77">
        <v>0</v>
      </c>
      <c r="S978" s="77">
        <v>0</v>
      </c>
      <c r="T978" s="77">
        <v>0</v>
      </c>
      <c r="U978" s="77">
        <v>0</v>
      </c>
      <c r="V978" s="77">
        <v>28</v>
      </c>
      <c r="W978" s="81" t="s">
        <v>1906</v>
      </c>
      <c r="X978" s="77"/>
      <c r="Y978" s="77"/>
      <c r="Z978" s="77"/>
      <c r="AA978" s="77" t="s">
        <v>2469</v>
      </c>
      <c r="AB978" s="77" t="s">
        <v>2695</v>
      </c>
      <c r="AC978" s="81" t="s">
        <v>2707</v>
      </c>
      <c r="AD978" s="77" t="s">
        <v>2751</v>
      </c>
      <c r="AE978" s="80" t="str">
        <f>HYPERLINK("https://twitter.com/inovies/status/1732675717215760722")</f>
        <v>https://twitter.com/inovies/status/1732675717215760722</v>
      </c>
      <c r="AF978" s="79">
        <v>45267.34556712963</v>
      </c>
      <c r="AG978" s="85">
        <v>45267</v>
      </c>
      <c r="AH978" s="81" t="s">
        <v>3564</v>
      </c>
      <c r="AI978" s="77" t="b">
        <v>0</v>
      </c>
      <c r="AJ978" s="77"/>
      <c r="AK978" s="77"/>
      <c r="AL978" s="77"/>
      <c r="AM978" s="77"/>
      <c r="AN978" s="77"/>
      <c r="AO978" s="77"/>
      <c r="AP978" s="77"/>
      <c r="AQ978" s="77" t="s">
        <v>4283</v>
      </c>
      <c r="AR978" s="77">
        <v>6966</v>
      </c>
      <c r="AS978" s="77"/>
      <c r="AT978" s="77"/>
      <c r="AU978" s="77"/>
      <c r="AV978" s="80" t="str">
        <f>HYPERLINK("https://pbs.twimg.com/ext_tw_video_thumb/1732675078096093184/pu/img/KQb1xbey7WTzkt8G.jpg")</f>
        <v>https://pbs.twimg.com/ext_tw_video_thumb/1732675078096093184/pu/img/KQb1xbey7WTzkt8G.jpg</v>
      </c>
      <c r="AW978" s="81" t="s">
        <v>5322</v>
      </c>
      <c r="AX978" s="81" t="s">
        <v>5322</v>
      </c>
      <c r="AY978" s="77"/>
      <c r="AZ978" s="81" t="s">
        <v>5773</v>
      </c>
      <c r="BA978" s="81" t="s">
        <v>5773</v>
      </c>
      <c r="BB978" s="81" t="s">
        <v>5773</v>
      </c>
      <c r="BC978" s="81" t="s">
        <v>5322</v>
      </c>
      <c r="BD978" s="77">
        <v>297885438</v>
      </c>
      <c r="BE978" s="77"/>
      <c r="BF978" s="77"/>
      <c r="BG978" s="77"/>
      <c r="BH978" s="77"/>
      <c r="BI978" s="77"/>
    </row>
    <row r="979" spans="1:61" ht="15">
      <c r="A979" s="62" t="s">
        <v>299</v>
      </c>
      <c r="B979" s="62" t="s">
        <v>299</v>
      </c>
      <c r="C979" s="63"/>
      <c r="D979" s="64"/>
      <c r="E979" s="65"/>
      <c r="F979" s="66"/>
      <c r="G979" s="63"/>
      <c r="H979" s="67"/>
      <c r="I979" s="68"/>
      <c r="J979" s="68"/>
      <c r="K979" s="32" t="s">
        <v>65</v>
      </c>
      <c r="L979" s="75">
        <v>979</v>
      </c>
      <c r="M979" s="75"/>
      <c r="N979" s="70"/>
      <c r="O979" s="77" t="s">
        <v>179</v>
      </c>
      <c r="P979" s="79">
        <v>45267.312893518516</v>
      </c>
      <c r="Q979" s="77" t="s">
        <v>1365</v>
      </c>
      <c r="R979" s="77">
        <v>0</v>
      </c>
      <c r="S979" s="77">
        <v>0</v>
      </c>
      <c r="T979" s="77">
        <v>0</v>
      </c>
      <c r="U979" s="77">
        <v>0</v>
      </c>
      <c r="V979" s="77">
        <v>29</v>
      </c>
      <c r="W979" s="81" t="s">
        <v>1907</v>
      </c>
      <c r="X979" s="77"/>
      <c r="Y979" s="77"/>
      <c r="Z979" s="77"/>
      <c r="AA979" s="77" t="s">
        <v>2470</v>
      </c>
      <c r="AB979" s="77" t="s">
        <v>2696</v>
      </c>
      <c r="AC979" s="81" t="s">
        <v>2707</v>
      </c>
      <c r="AD979" s="77" t="s">
        <v>2752</v>
      </c>
      <c r="AE979" s="80" t="str">
        <f>HYPERLINK("https://twitter.com/inovies/status/1732663877064646916")</f>
        <v>https://twitter.com/inovies/status/1732663877064646916</v>
      </c>
      <c r="AF979" s="79">
        <v>45267.312893518516</v>
      </c>
      <c r="AG979" s="85">
        <v>45267</v>
      </c>
      <c r="AH979" s="81" t="s">
        <v>3565</v>
      </c>
      <c r="AI979" s="77" t="b">
        <v>0</v>
      </c>
      <c r="AJ979" s="77"/>
      <c r="AK979" s="77"/>
      <c r="AL979" s="77"/>
      <c r="AM979" s="77"/>
      <c r="AN979" s="77"/>
      <c r="AO979" s="77"/>
      <c r="AP979" s="77"/>
      <c r="AQ979" s="77" t="s">
        <v>4284</v>
      </c>
      <c r="AR979" s="77"/>
      <c r="AS979" s="77"/>
      <c r="AT979" s="77"/>
      <c r="AU979" s="77"/>
      <c r="AV979" s="80" t="str">
        <f>HYPERLINK("https://pbs.twimg.com/media/GAun6bjXUAAroYM.png")</f>
        <v>https://pbs.twimg.com/media/GAun6bjXUAAroYM.png</v>
      </c>
      <c r="AW979" s="81" t="s">
        <v>5323</v>
      </c>
      <c r="AX979" s="81" t="s">
        <v>5323</v>
      </c>
      <c r="AY979" s="77"/>
      <c r="AZ979" s="81" t="s">
        <v>5773</v>
      </c>
      <c r="BA979" s="81" t="s">
        <v>5773</v>
      </c>
      <c r="BB979" s="81" t="s">
        <v>5773</v>
      </c>
      <c r="BC979" s="81" t="s">
        <v>5323</v>
      </c>
      <c r="BD979" s="77">
        <v>297885438</v>
      </c>
      <c r="BE979" s="77"/>
      <c r="BF979" s="77"/>
      <c r="BG979" s="77"/>
      <c r="BH979" s="77"/>
      <c r="BI979" s="77"/>
    </row>
    <row r="980" spans="1:61" ht="15">
      <c r="A980" s="62" t="s">
        <v>299</v>
      </c>
      <c r="B980" s="62" t="s">
        <v>299</v>
      </c>
      <c r="C980" s="63"/>
      <c r="D980" s="64"/>
      <c r="E980" s="65"/>
      <c r="F980" s="66"/>
      <c r="G980" s="63"/>
      <c r="H980" s="67"/>
      <c r="I980" s="68"/>
      <c r="J980" s="68"/>
      <c r="K980" s="32" t="s">
        <v>65</v>
      </c>
      <c r="L980" s="75">
        <v>980</v>
      </c>
      <c r="M980" s="75"/>
      <c r="N980" s="70"/>
      <c r="O980" s="77" t="s">
        <v>179</v>
      </c>
      <c r="P980" s="79">
        <v>45267.300405092596</v>
      </c>
      <c r="Q980" s="77" t="s">
        <v>1366</v>
      </c>
      <c r="R980" s="77">
        <v>0</v>
      </c>
      <c r="S980" s="77">
        <v>0</v>
      </c>
      <c r="T980" s="77">
        <v>0</v>
      </c>
      <c r="U980" s="77">
        <v>0</v>
      </c>
      <c r="V980" s="77">
        <v>45</v>
      </c>
      <c r="W980" s="81" t="s">
        <v>1908</v>
      </c>
      <c r="X980" s="77"/>
      <c r="Y980" s="77"/>
      <c r="Z980" s="77"/>
      <c r="AA980" s="77" t="s">
        <v>2471</v>
      </c>
      <c r="AB980" s="77" t="s">
        <v>2696</v>
      </c>
      <c r="AC980" s="81" t="s">
        <v>2707</v>
      </c>
      <c r="AD980" s="77" t="s">
        <v>2751</v>
      </c>
      <c r="AE980" s="80" t="str">
        <f>HYPERLINK("https://twitter.com/inovies/status/1732659351658102979")</f>
        <v>https://twitter.com/inovies/status/1732659351658102979</v>
      </c>
      <c r="AF980" s="79">
        <v>45267.300405092596</v>
      </c>
      <c r="AG980" s="85">
        <v>45267</v>
      </c>
      <c r="AH980" s="81" t="s">
        <v>3566</v>
      </c>
      <c r="AI980" s="77" t="b">
        <v>0</v>
      </c>
      <c r="AJ980" s="77"/>
      <c r="AK980" s="77"/>
      <c r="AL980" s="77"/>
      <c r="AM980" s="77"/>
      <c r="AN980" s="77"/>
      <c r="AO980" s="77"/>
      <c r="AP980" s="77"/>
      <c r="AQ980" s="77" t="s">
        <v>4285</v>
      </c>
      <c r="AR980" s="77"/>
      <c r="AS980" s="77"/>
      <c r="AT980" s="77"/>
      <c r="AU980" s="77"/>
      <c r="AV980" s="80" t="str">
        <f>HYPERLINK("https://pbs.twimg.com/media/GAukaBDXIAAO8aJ.jpg")</f>
        <v>https://pbs.twimg.com/media/GAukaBDXIAAO8aJ.jpg</v>
      </c>
      <c r="AW980" s="81" t="s">
        <v>5324</v>
      </c>
      <c r="AX980" s="81" t="s">
        <v>5324</v>
      </c>
      <c r="AY980" s="77"/>
      <c r="AZ980" s="81" t="s">
        <v>5773</v>
      </c>
      <c r="BA980" s="81" t="s">
        <v>5773</v>
      </c>
      <c r="BB980" s="81" t="s">
        <v>5773</v>
      </c>
      <c r="BC980" s="81" t="s">
        <v>5324</v>
      </c>
      <c r="BD980" s="77">
        <v>297885438</v>
      </c>
      <c r="BE980" s="77"/>
      <c r="BF980" s="77"/>
      <c r="BG980" s="77"/>
      <c r="BH980" s="77"/>
      <c r="BI980" s="77"/>
    </row>
    <row r="981" spans="1:61" ht="15">
      <c r="A981" s="62" t="s">
        <v>299</v>
      </c>
      <c r="B981" s="62" t="s">
        <v>299</v>
      </c>
      <c r="C981" s="63"/>
      <c r="D981" s="64"/>
      <c r="E981" s="65"/>
      <c r="F981" s="66"/>
      <c r="G981" s="63"/>
      <c r="H981" s="67"/>
      <c r="I981" s="68"/>
      <c r="J981" s="68"/>
      <c r="K981" s="32" t="s">
        <v>65</v>
      </c>
      <c r="L981" s="75">
        <v>981</v>
      </c>
      <c r="M981" s="75"/>
      <c r="N981" s="70"/>
      <c r="O981" s="77" t="s">
        <v>179</v>
      </c>
      <c r="P981" s="79">
        <v>45267.20920138889</v>
      </c>
      <c r="Q981" s="77" t="s">
        <v>1367</v>
      </c>
      <c r="R981" s="77">
        <v>0</v>
      </c>
      <c r="S981" s="77">
        <v>0</v>
      </c>
      <c r="T981" s="77">
        <v>0</v>
      </c>
      <c r="U981" s="77">
        <v>0</v>
      </c>
      <c r="V981" s="77">
        <v>22</v>
      </c>
      <c r="W981" s="81" t="s">
        <v>1909</v>
      </c>
      <c r="X981" s="77"/>
      <c r="Y981" s="77"/>
      <c r="Z981" s="77"/>
      <c r="AA981" s="77" t="s">
        <v>2472</v>
      </c>
      <c r="AB981" s="77" t="s">
        <v>2696</v>
      </c>
      <c r="AC981" s="81" t="s">
        <v>2707</v>
      </c>
      <c r="AD981" s="77" t="s">
        <v>2752</v>
      </c>
      <c r="AE981" s="80" t="str">
        <f>HYPERLINK("https://twitter.com/inovies/status/1732626300899082296")</f>
        <v>https://twitter.com/inovies/status/1732626300899082296</v>
      </c>
      <c r="AF981" s="79">
        <v>45267.20920138889</v>
      </c>
      <c r="AG981" s="85">
        <v>45267</v>
      </c>
      <c r="AH981" s="81" t="s">
        <v>3567</v>
      </c>
      <c r="AI981" s="77" t="b">
        <v>0</v>
      </c>
      <c r="AJ981" s="77"/>
      <c r="AK981" s="77"/>
      <c r="AL981" s="77"/>
      <c r="AM981" s="77"/>
      <c r="AN981" s="77"/>
      <c r="AO981" s="77"/>
      <c r="AP981" s="77"/>
      <c r="AQ981" s="77" t="s">
        <v>4286</v>
      </c>
      <c r="AR981" s="77"/>
      <c r="AS981" s="77"/>
      <c r="AT981" s="77"/>
      <c r="AU981" s="77"/>
      <c r="AV981" s="80" t="str">
        <f>HYPERLINK("https://pbs.twimg.com/media/GAuGMqFWQAAxzh9.jpg")</f>
        <v>https://pbs.twimg.com/media/GAuGMqFWQAAxzh9.jpg</v>
      </c>
      <c r="AW981" s="81" t="s">
        <v>5325</v>
      </c>
      <c r="AX981" s="81" t="s">
        <v>5325</v>
      </c>
      <c r="AY981" s="77"/>
      <c r="AZ981" s="81" t="s">
        <v>5773</v>
      </c>
      <c r="BA981" s="81" t="s">
        <v>5773</v>
      </c>
      <c r="BB981" s="81" t="s">
        <v>5773</v>
      </c>
      <c r="BC981" s="81" t="s">
        <v>5325</v>
      </c>
      <c r="BD981" s="77">
        <v>297885438</v>
      </c>
      <c r="BE981" s="77"/>
      <c r="BF981" s="77"/>
      <c r="BG981" s="77"/>
      <c r="BH981" s="77"/>
      <c r="BI981" s="77"/>
    </row>
    <row r="982" spans="1:61" ht="15">
      <c r="A982" s="62" t="s">
        <v>299</v>
      </c>
      <c r="B982" s="62" t="s">
        <v>299</v>
      </c>
      <c r="C982" s="63"/>
      <c r="D982" s="64"/>
      <c r="E982" s="65"/>
      <c r="F982" s="66"/>
      <c r="G982" s="63"/>
      <c r="H982" s="67"/>
      <c r="I982" s="68"/>
      <c r="J982" s="68"/>
      <c r="K982" s="32" t="s">
        <v>65</v>
      </c>
      <c r="L982" s="75">
        <v>982</v>
      </c>
      <c r="M982" s="75"/>
      <c r="N982" s="70"/>
      <c r="O982" s="77" t="s">
        <v>179</v>
      </c>
      <c r="P982" s="79">
        <v>45267.18310185185</v>
      </c>
      <c r="Q982" s="77" t="s">
        <v>1368</v>
      </c>
      <c r="R982" s="77">
        <v>0</v>
      </c>
      <c r="S982" s="77">
        <v>0</v>
      </c>
      <c r="T982" s="77">
        <v>0</v>
      </c>
      <c r="U982" s="77">
        <v>0</v>
      </c>
      <c r="V982" s="77">
        <v>16</v>
      </c>
      <c r="W982" s="81" t="s">
        <v>1910</v>
      </c>
      <c r="X982" s="80" t="str">
        <f>HYPERLINK("https://www.inovies.com/digital-marketing/")</f>
        <v>https://www.inovies.com/digital-marketing/</v>
      </c>
      <c r="Y982" s="77" t="s">
        <v>1982</v>
      </c>
      <c r="Z982" s="77"/>
      <c r="AA982" s="77" t="s">
        <v>2473</v>
      </c>
      <c r="AB982" s="77" t="s">
        <v>2698</v>
      </c>
      <c r="AC982" s="81" t="s">
        <v>2707</v>
      </c>
      <c r="AD982" s="77" t="s">
        <v>2751</v>
      </c>
      <c r="AE982" s="80" t="str">
        <f>HYPERLINK("https://twitter.com/inovies/status/1732616841829195956")</f>
        <v>https://twitter.com/inovies/status/1732616841829195956</v>
      </c>
      <c r="AF982" s="79">
        <v>45267.18310185185</v>
      </c>
      <c r="AG982" s="85">
        <v>45267</v>
      </c>
      <c r="AH982" s="81" t="s">
        <v>3568</v>
      </c>
      <c r="AI982" s="77" t="b">
        <v>0</v>
      </c>
      <c r="AJ982" s="77"/>
      <c r="AK982" s="77"/>
      <c r="AL982" s="77"/>
      <c r="AM982" s="77"/>
      <c r="AN982" s="77"/>
      <c r="AO982" s="77"/>
      <c r="AP982" s="77"/>
      <c r="AQ982" s="77" t="s">
        <v>4287</v>
      </c>
      <c r="AR982" s="77"/>
      <c r="AS982" s="77"/>
      <c r="AT982" s="77"/>
      <c r="AU982" s="77"/>
      <c r="AV982" s="80" t="str">
        <f>HYPERLINK("https://pbs.twimg.com/tweet_video_thumb/GAt90_PW0AAjcVr.jpg")</f>
        <v>https://pbs.twimg.com/tweet_video_thumb/GAt90_PW0AAjcVr.jpg</v>
      </c>
      <c r="AW982" s="81" t="s">
        <v>5326</v>
      </c>
      <c r="AX982" s="81" t="s">
        <v>5326</v>
      </c>
      <c r="AY982" s="77"/>
      <c r="AZ982" s="81" t="s">
        <v>5773</v>
      </c>
      <c r="BA982" s="81" t="s">
        <v>5773</v>
      </c>
      <c r="BB982" s="81" t="s">
        <v>5773</v>
      </c>
      <c r="BC982" s="81" t="s">
        <v>5326</v>
      </c>
      <c r="BD982" s="77">
        <v>297885438</v>
      </c>
      <c r="BE982" s="77"/>
      <c r="BF982" s="77"/>
      <c r="BG982" s="77"/>
      <c r="BH982" s="77"/>
      <c r="BI982" s="77"/>
    </row>
    <row r="983" spans="1:61" ht="15">
      <c r="A983" s="62" t="s">
        <v>299</v>
      </c>
      <c r="B983" s="62" t="s">
        <v>299</v>
      </c>
      <c r="C983" s="63"/>
      <c r="D983" s="64"/>
      <c r="E983" s="65"/>
      <c r="F983" s="66"/>
      <c r="G983" s="63"/>
      <c r="H983" s="67"/>
      <c r="I983" s="68"/>
      <c r="J983" s="68"/>
      <c r="K983" s="32" t="s">
        <v>65</v>
      </c>
      <c r="L983" s="75">
        <v>983</v>
      </c>
      <c r="M983" s="75"/>
      <c r="N983" s="70"/>
      <c r="O983" s="77" t="s">
        <v>179</v>
      </c>
      <c r="P983" s="79">
        <v>45281.808703703704</v>
      </c>
      <c r="Q983" s="77" t="s">
        <v>1369</v>
      </c>
      <c r="R983" s="77">
        <v>0</v>
      </c>
      <c r="S983" s="77">
        <v>1</v>
      </c>
      <c r="T983" s="77">
        <v>0</v>
      </c>
      <c r="U983" s="77">
        <v>0</v>
      </c>
      <c r="V983" s="77">
        <v>7</v>
      </c>
      <c r="W983" s="81" t="s">
        <v>1911</v>
      </c>
      <c r="X983" s="80" t="str">
        <f>HYPERLINK("https://www.inovies.com/digital-marketing/")</f>
        <v>https://www.inovies.com/digital-marketing/</v>
      </c>
      <c r="Y983" s="77" t="s">
        <v>1982</v>
      </c>
      <c r="Z983" s="77"/>
      <c r="AA983" s="77" t="s">
        <v>2474</v>
      </c>
      <c r="AB983" s="77" t="s">
        <v>2696</v>
      </c>
      <c r="AC983" s="81" t="s">
        <v>2707</v>
      </c>
      <c r="AD983" s="77" t="s">
        <v>2751</v>
      </c>
      <c r="AE983" s="80" t="str">
        <f>HYPERLINK("https://twitter.com/inovies/status/1737916985206362622")</f>
        <v>https://twitter.com/inovies/status/1737916985206362622</v>
      </c>
      <c r="AF983" s="79">
        <v>45281.808703703704</v>
      </c>
      <c r="AG983" s="85">
        <v>45281</v>
      </c>
      <c r="AH983" s="81" t="s">
        <v>3569</v>
      </c>
      <c r="AI983" s="77" t="b">
        <v>0</v>
      </c>
      <c r="AJ983" s="77"/>
      <c r="AK983" s="77"/>
      <c r="AL983" s="77"/>
      <c r="AM983" s="77"/>
      <c r="AN983" s="77"/>
      <c r="AO983" s="77"/>
      <c r="AP983" s="77"/>
      <c r="AQ983" s="77" t="s">
        <v>4288</v>
      </c>
      <c r="AR983" s="77"/>
      <c r="AS983" s="77"/>
      <c r="AT983" s="77"/>
      <c r="AU983" s="77"/>
      <c r="AV983" s="80" t="str">
        <f>HYPERLINK("https://pbs.twimg.com/media/GB5R9MdWoAA-jFR.jpg")</f>
        <v>https://pbs.twimg.com/media/GB5R9MdWoAA-jFR.jpg</v>
      </c>
      <c r="AW983" s="81" t="s">
        <v>5327</v>
      </c>
      <c r="AX983" s="81" t="s">
        <v>5327</v>
      </c>
      <c r="AY983" s="77"/>
      <c r="AZ983" s="81" t="s">
        <v>5773</v>
      </c>
      <c r="BA983" s="81" t="s">
        <v>5773</v>
      </c>
      <c r="BB983" s="81" t="s">
        <v>5773</v>
      </c>
      <c r="BC983" s="81" t="s">
        <v>5327</v>
      </c>
      <c r="BD983" s="77">
        <v>297885438</v>
      </c>
      <c r="BE983" s="77"/>
      <c r="BF983" s="77"/>
      <c r="BG983" s="77"/>
      <c r="BH983" s="77"/>
      <c r="BI983" s="77"/>
    </row>
    <row r="984" spans="1:61" ht="15">
      <c r="A984" s="62" t="s">
        <v>299</v>
      </c>
      <c r="B984" s="62" t="s">
        <v>299</v>
      </c>
      <c r="C984" s="63"/>
      <c r="D984" s="64"/>
      <c r="E984" s="65"/>
      <c r="F984" s="66"/>
      <c r="G984" s="63"/>
      <c r="H984" s="67"/>
      <c r="I984" s="68"/>
      <c r="J984" s="68"/>
      <c r="K984" s="32" t="s">
        <v>65</v>
      </c>
      <c r="L984" s="75">
        <v>984</v>
      </c>
      <c r="M984" s="75"/>
      <c r="N984" s="70"/>
      <c r="O984" s="77" t="s">
        <v>179</v>
      </c>
      <c r="P984" s="79">
        <v>45278.873703703706</v>
      </c>
      <c r="Q984" s="77" t="s">
        <v>1370</v>
      </c>
      <c r="R984" s="77">
        <v>0</v>
      </c>
      <c r="S984" s="77">
        <v>0</v>
      </c>
      <c r="T984" s="77">
        <v>0</v>
      </c>
      <c r="U984" s="77">
        <v>0</v>
      </c>
      <c r="V984" s="77">
        <v>44</v>
      </c>
      <c r="W984" s="81" t="s">
        <v>1912</v>
      </c>
      <c r="X984" s="80" t="str">
        <f>HYPERLINK("https://g.co/kgs/EGN3RL")</f>
        <v>https://g.co/kgs/EGN3RL</v>
      </c>
      <c r="Y984" s="77" t="s">
        <v>2051</v>
      </c>
      <c r="Z984" s="77"/>
      <c r="AA984" s="77"/>
      <c r="AB984" s="77"/>
      <c r="AC984" s="81" t="s">
        <v>2707</v>
      </c>
      <c r="AD984" s="77" t="s">
        <v>2751</v>
      </c>
      <c r="AE984" s="80" t="str">
        <f>HYPERLINK("https://twitter.com/inovies/status/1736853375793123384")</f>
        <v>https://twitter.com/inovies/status/1736853375793123384</v>
      </c>
      <c r="AF984" s="79">
        <v>45278.873703703706</v>
      </c>
      <c r="AG984" s="85">
        <v>45278</v>
      </c>
      <c r="AH984" s="81" t="s">
        <v>3570</v>
      </c>
      <c r="AI984" s="77" t="b">
        <v>0</v>
      </c>
      <c r="AJ984" s="77"/>
      <c r="AK984" s="77"/>
      <c r="AL984" s="77"/>
      <c r="AM984" s="77"/>
      <c r="AN984" s="77"/>
      <c r="AO984" s="77"/>
      <c r="AP984" s="77"/>
      <c r="AQ984" s="77"/>
      <c r="AR984" s="77"/>
      <c r="AS984" s="77"/>
      <c r="AT984" s="77"/>
      <c r="AU984" s="77"/>
      <c r="AV984" s="80" t="str">
        <f>HYPERLINK("https://pbs.twimg.com/profile_images/833576943677214720/5ZyUgpEJ_normal.jpg")</f>
        <v>https://pbs.twimg.com/profile_images/833576943677214720/5ZyUgpEJ_normal.jpg</v>
      </c>
      <c r="AW984" s="81" t="s">
        <v>5328</v>
      </c>
      <c r="AX984" s="81" t="s">
        <v>5328</v>
      </c>
      <c r="AY984" s="77"/>
      <c r="AZ984" s="81" t="s">
        <v>5773</v>
      </c>
      <c r="BA984" s="81" t="s">
        <v>5773</v>
      </c>
      <c r="BB984" s="81" t="s">
        <v>5773</v>
      </c>
      <c r="BC984" s="81" t="s">
        <v>5328</v>
      </c>
      <c r="BD984" s="77">
        <v>297885438</v>
      </c>
      <c r="BE984" s="77"/>
      <c r="BF984" s="77"/>
      <c r="BG984" s="77"/>
      <c r="BH984" s="77"/>
      <c r="BI984" s="77"/>
    </row>
    <row r="985" spans="1:61" ht="15">
      <c r="A985" s="62" t="s">
        <v>299</v>
      </c>
      <c r="B985" s="62" t="s">
        <v>299</v>
      </c>
      <c r="C985" s="63"/>
      <c r="D985" s="64"/>
      <c r="E985" s="65"/>
      <c r="F985" s="66"/>
      <c r="G985" s="63"/>
      <c r="H985" s="67"/>
      <c r="I985" s="68"/>
      <c r="J985" s="68"/>
      <c r="K985" s="32" t="s">
        <v>65</v>
      </c>
      <c r="L985" s="75">
        <v>985</v>
      </c>
      <c r="M985" s="75"/>
      <c r="N985" s="70"/>
      <c r="O985" s="77" t="s">
        <v>179</v>
      </c>
      <c r="P985" s="79">
        <v>43452.451736111114</v>
      </c>
      <c r="Q985" s="77" t="s">
        <v>1371</v>
      </c>
      <c r="R985" s="77">
        <v>0</v>
      </c>
      <c r="S985" s="77">
        <v>0</v>
      </c>
      <c r="T985" s="77">
        <v>0</v>
      </c>
      <c r="U985" s="77">
        <v>0</v>
      </c>
      <c r="V985" s="77"/>
      <c r="W985" s="81" t="s">
        <v>1913</v>
      </c>
      <c r="X985" s="77"/>
      <c r="Y985" s="77"/>
      <c r="Z985" s="77"/>
      <c r="AA985" s="77" t="s">
        <v>2475</v>
      </c>
      <c r="AB985" s="77" t="s">
        <v>2696</v>
      </c>
      <c r="AC985" s="81" t="s">
        <v>2705</v>
      </c>
      <c r="AD985" s="77" t="s">
        <v>2752</v>
      </c>
      <c r="AE985" s="80" t="str">
        <f>HYPERLINK("https://twitter.com/inovies/status/1074980217179889664")</f>
        <v>https://twitter.com/inovies/status/1074980217179889664</v>
      </c>
      <c r="AF985" s="79">
        <v>43452.451736111114</v>
      </c>
      <c r="AG985" s="85">
        <v>43452</v>
      </c>
      <c r="AH985" s="81" t="s">
        <v>3571</v>
      </c>
      <c r="AI985" s="77" t="b">
        <v>0</v>
      </c>
      <c r="AJ985" s="77"/>
      <c r="AK985" s="77"/>
      <c r="AL985" s="77"/>
      <c r="AM985" s="77"/>
      <c r="AN985" s="77"/>
      <c r="AO985" s="77"/>
      <c r="AP985" s="77"/>
      <c r="AQ985" s="77" t="s">
        <v>4289</v>
      </c>
      <c r="AR985" s="77"/>
      <c r="AS985" s="77"/>
      <c r="AT985" s="77"/>
      <c r="AU985" s="77"/>
      <c r="AV985" s="80" t="str">
        <f>HYPERLINK("https://pbs.twimg.com/media/DusYvaSU8AAJulQ.jpg")</f>
        <v>https://pbs.twimg.com/media/DusYvaSU8AAJulQ.jpg</v>
      </c>
      <c r="AW985" s="81" t="s">
        <v>5329</v>
      </c>
      <c r="AX985" s="81" t="s">
        <v>5329</v>
      </c>
      <c r="AY985" s="77"/>
      <c r="AZ985" s="81" t="s">
        <v>5773</v>
      </c>
      <c r="BA985" s="81" t="s">
        <v>5773</v>
      </c>
      <c r="BB985" s="81" t="s">
        <v>5773</v>
      </c>
      <c r="BC985" s="81" t="s">
        <v>5329</v>
      </c>
      <c r="BD985" s="77">
        <v>297885438</v>
      </c>
      <c r="BE985" s="77"/>
      <c r="BF985" s="77"/>
      <c r="BG985" s="77"/>
      <c r="BH985" s="77"/>
      <c r="BI985" s="77"/>
    </row>
    <row r="986" spans="1:61" ht="15">
      <c r="A986" s="62" t="s">
        <v>299</v>
      </c>
      <c r="B986" s="62" t="s">
        <v>299</v>
      </c>
      <c r="C986" s="63"/>
      <c r="D986" s="64"/>
      <c r="E986" s="65"/>
      <c r="F986" s="66"/>
      <c r="G986" s="63"/>
      <c r="H986" s="67"/>
      <c r="I986" s="68"/>
      <c r="J986" s="68"/>
      <c r="K986" s="32" t="s">
        <v>65</v>
      </c>
      <c r="L986" s="75">
        <v>986</v>
      </c>
      <c r="M986" s="75"/>
      <c r="N986" s="70"/>
      <c r="O986" s="77" t="s">
        <v>179</v>
      </c>
      <c r="P986" s="79">
        <v>43447.4152662037</v>
      </c>
      <c r="Q986" s="77" t="s">
        <v>1372</v>
      </c>
      <c r="R986" s="77">
        <v>0</v>
      </c>
      <c r="S986" s="77">
        <v>2</v>
      </c>
      <c r="T986" s="77">
        <v>0</v>
      </c>
      <c r="U986" s="77">
        <v>0</v>
      </c>
      <c r="V986" s="77"/>
      <c r="W986" s="81" t="s">
        <v>1914</v>
      </c>
      <c r="X986" s="77"/>
      <c r="Y986" s="77"/>
      <c r="Z986" s="77"/>
      <c r="AA986" s="77" t="s">
        <v>2476</v>
      </c>
      <c r="AB986" s="77" t="s">
        <v>2696</v>
      </c>
      <c r="AC986" s="81" t="s">
        <v>2705</v>
      </c>
      <c r="AD986" s="77" t="s">
        <v>2752</v>
      </c>
      <c r="AE986" s="80" t="str">
        <f>HYPERLINK("https://twitter.com/inovies/status/1073155059339341825")</f>
        <v>https://twitter.com/inovies/status/1073155059339341825</v>
      </c>
      <c r="AF986" s="79">
        <v>43447.4152662037</v>
      </c>
      <c r="AG986" s="85">
        <v>43447</v>
      </c>
      <c r="AH986" s="81" t="s">
        <v>3572</v>
      </c>
      <c r="AI986" s="77" t="b">
        <v>0</v>
      </c>
      <c r="AJ986" s="77"/>
      <c r="AK986" s="77"/>
      <c r="AL986" s="77"/>
      <c r="AM986" s="77"/>
      <c r="AN986" s="77"/>
      <c r="AO986" s="77"/>
      <c r="AP986" s="77"/>
      <c r="AQ986" s="77" t="s">
        <v>4290</v>
      </c>
      <c r="AR986" s="77"/>
      <c r="AS986" s="77"/>
      <c r="AT986" s="77"/>
      <c r="AU986" s="77"/>
      <c r="AV986" s="80" t="str">
        <f>HYPERLINK("https://pbs.twimg.com/media/DuScm64VAAEfSoV.jpg")</f>
        <v>https://pbs.twimg.com/media/DuScm64VAAEfSoV.jpg</v>
      </c>
      <c r="AW986" s="81" t="s">
        <v>5330</v>
      </c>
      <c r="AX986" s="81" t="s">
        <v>5330</v>
      </c>
      <c r="AY986" s="77"/>
      <c r="AZ986" s="81" t="s">
        <v>5773</v>
      </c>
      <c r="BA986" s="81" t="s">
        <v>5773</v>
      </c>
      <c r="BB986" s="81" t="s">
        <v>5773</v>
      </c>
      <c r="BC986" s="81" t="s">
        <v>5330</v>
      </c>
      <c r="BD986" s="77">
        <v>297885438</v>
      </c>
      <c r="BE986" s="77"/>
      <c r="BF986" s="77"/>
      <c r="BG986" s="77"/>
      <c r="BH986" s="77"/>
      <c r="BI986" s="77"/>
    </row>
    <row r="987" spans="1:61" ht="15">
      <c r="A987" s="62" t="s">
        <v>299</v>
      </c>
      <c r="B987" s="62" t="s">
        <v>299</v>
      </c>
      <c r="C987" s="63"/>
      <c r="D987" s="64"/>
      <c r="E987" s="65"/>
      <c r="F987" s="66"/>
      <c r="G987" s="63"/>
      <c r="H987" s="67"/>
      <c r="I987" s="68"/>
      <c r="J987" s="68"/>
      <c r="K987" s="32" t="s">
        <v>65</v>
      </c>
      <c r="L987" s="75">
        <v>987</v>
      </c>
      <c r="M987" s="75"/>
      <c r="N987" s="70"/>
      <c r="O987" s="77" t="s">
        <v>571</v>
      </c>
      <c r="P987" s="79">
        <v>42959.36792824074</v>
      </c>
      <c r="Q987" s="77" t="s">
        <v>1373</v>
      </c>
      <c r="R987" s="77">
        <v>0</v>
      </c>
      <c r="S987" s="77">
        <v>0</v>
      </c>
      <c r="T987" s="77">
        <v>0</v>
      </c>
      <c r="U987" s="77">
        <v>0</v>
      </c>
      <c r="V987" s="77"/>
      <c r="W987" s="81" t="s">
        <v>1915</v>
      </c>
      <c r="X987" s="77"/>
      <c r="Y987" s="77"/>
      <c r="Z987" s="77" t="s">
        <v>299</v>
      </c>
      <c r="AA987" s="77" t="s">
        <v>2477</v>
      </c>
      <c r="AB987" s="77" t="s">
        <v>2696</v>
      </c>
      <c r="AC987" s="81" t="s">
        <v>2704</v>
      </c>
      <c r="AD987" s="77" t="s">
        <v>2752</v>
      </c>
      <c r="AE987" s="80" t="str">
        <f>HYPERLINK("https://twitter.com/inovies/status/896292629104607234")</f>
        <v>https://twitter.com/inovies/status/896292629104607234</v>
      </c>
      <c r="AF987" s="79">
        <v>42959.36792824074</v>
      </c>
      <c r="AG987" s="85">
        <v>42959</v>
      </c>
      <c r="AH987" s="81" t="s">
        <v>3573</v>
      </c>
      <c r="AI987" s="77" t="b">
        <v>0</v>
      </c>
      <c r="AJ987" s="77"/>
      <c r="AK987" s="77"/>
      <c r="AL987" s="77"/>
      <c r="AM987" s="77"/>
      <c r="AN987" s="77"/>
      <c r="AO987" s="77"/>
      <c r="AP987" s="77"/>
      <c r="AQ987" s="77" t="s">
        <v>4291</v>
      </c>
      <c r="AR987" s="77"/>
      <c r="AS987" s="77"/>
      <c r="AT987" s="77"/>
      <c r="AU987" s="77"/>
      <c r="AV987" s="80" t="str">
        <f>HYPERLINK("https://pbs.twimg.com/media/DHBFYwvUAAA2_96.jpg")</f>
        <v>https://pbs.twimg.com/media/DHBFYwvUAAA2_96.jpg</v>
      </c>
      <c r="AW987" s="81" t="s">
        <v>5331</v>
      </c>
      <c r="AX987" s="81" t="s">
        <v>5331</v>
      </c>
      <c r="AY987" s="81" t="s">
        <v>5721</v>
      </c>
      <c r="AZ987" s="81" t="s">
        <v>5773</v>
      </c>
      <c r="BA987" s="81" t="s">
        <v>5773</v>
      </c>
      <c r="BB987" s="81" t="s">
        <v>5773</v>
      </c>
      <c r="BC987" s="81" t="s">
        <v>5331</v>
      </c>
      <c r="BD987" s="77">
        <v>297885438</v>
      </c>
      <c r="BE987" s="77"/>
      <c r="BF987" s="77"/>
      <c r="BG987" s="77"/>
      <c r="BH987" s="77"/>
      <c r="BI987" s="77"/>
    </row>
    <row r="988" spans="1:61" ht="15">
      <c r="A988" s="62" t="s">
        <v>299</v>
      </c>
      <c r="B988" s="62" t="s">
        <v>299</v>
      </c>
      <c r="C988" s="63"/>
      <c r="D988" s="64"/>
      <c r="E988" s="65"/>
      <c r="F988" s="66"/>
      <c r="G988" s="63"/>
      <c r="H988" s="67"/>
      <c r="I988" s="68"/>
      <c r="J988" s="68"/>
      <c r="K988" s="32" t="s">
        <v>65</v>
      </c>
      <c r="L988" s="75">
        <v>988</v>
      </c>
      <c r="M988" s="75"/>
      <c r="N988" s="70"/>
      <c r="O988" s="77" t="s">
        <v>571</v>
      </c>
      <c r="P988" s="79">
        <v>42959.36636574074</v>
      </c>
      <c r="Q988" s="77" t="s">
        <v>1374</v>
      </c>
      <c r="R988" s="77">
        <v>0</v>
      </c>
      <c r="S988" s="77">
        <v>2</v>
      </c>
      <c r="T988" s="77">
        <v>0</v>
      </c>
      <c r="U988" s="77">
        <v>0</v>
      </c>
      <c r="V988" s="77"/>
      <c r="W988" s="77"/>
      <c r="X988" s="77"/>
      <c r="Y988" s="77"/>
      <c r="Z988" s="77" t="s">
        <v>299</v>
      </c>
      <c r="AA988" s="77" t="s">
        <v>2478</v>
      </c>
      <c r="AB988" s="77" t="s">
        <v>2696</v>
      </c>
      <c r="AC988" s="81" t="s">
        <v>2704</v>
      </c>
      <c r="AD988" s="77" t="s">
        <v>2752</v>
      </c>
      <c r="AE988" s="80" t="str">
        <f>HYPERLINK("https://twitter.com/inovies/status/896292061531447297")</f>
        <v>https://twitter.com/inovies/status/896292061531447297</v>
      </c>
      <c r="AF988" s="79">
        <v>42959.36636574074</v>
      </c>
      <c r="AG988" s="85">
        <v>42959</v>
      </c>
      <c r="AH988" s="81" t="s">
        <v>3574</v>
      </c>
      <c r="AI988" s="77" t="b">
        <v>0</v>
      </c>
      <c r="AJ988" s="77" t="s">
        <v>3887</v>
      </c>
      <c r="AK988" s="77" t="s">
        <v>3889</v>
      </c>
      <c r="AL988" s="77" t="s">
        <v>3892</v>
      </c>
      <c r="AM988" s="77" t="s">
        <v>3889</v>
      </c>
      <c r="AN988" s="77" t="s">
        <v>3908</v>
      </c>
      <c r="AO988" s="77" t="s">
        <v>3889</v>
      </c>
      <c r="AP988" s="77" t="s">
        <v>3919</v>
      </c>
      <c r="AQ988" s="77" t="s">
        <v>4292</v>
      </c>
      <c r="AR988" s="77"/>
      <c r="AS988" s="77"/>
      <c r="AT988" s="77"/>
      <c r="AU988" s="77"/>
      <c r="AV988" s="80" t="str">
        <f>HYPERLINK("https://pbs.twimg.com/media/DHBE144UQAA2NTO.jpg")</f>
        <v>https://pbs.twimg.com/media/DHBE144UQAA2NTO.jpg</v>
      </c>
      <c r="AW988" s="81" t="s">
        <v>5332</v>
      </c>
      <c r="AX988" s="81" t="s">
        <v>5332</v>
      </c>
      <c r="AY988" s="81" t="s">
        <v>5721</v>
      </c>
      <c r="AZ988" s="81" t="s">
        <v>5773</v>
      </c>
      <c r="BA988" s="81" t="s">
        <v>5773</v>
      </c>
      <c r="BB988" s="81" t="s">
        <v>5773</v>
      </c>
      <c r="BC988" s="81" t="s">
        <v>5332</v>
      </c>
      <c r="BD988" s="77">
        <v>297885438</v>
      </c>
      <c r="BE988" s="77"/>
      <c r="BF988" s="77"/>
      <c r="BG988" s="77"/>
      <c r="BH988" s="77"/>
      <c r="BI988" s="77"/>
    </row>
    <row r="989" spans="1:61" ht="15">
      <c r="A989" s="62" t="s">
        <v>299</v>
      </c>
      <c r="B989" s="62" t="s">
        <v>299</v>
      </c>
      <c r="C989" s="63"/>
      <c r="D989" s="64"/>
      <c r="E989" s="65"/>
      <c r="F989" s="66"/>
      <c r="G989" s="63"/>
      <c r="H989" s="67"/>
      <c r="I989" s="68"/>
      <c r="J989" s="68"/>
      <c r="K989" s="32" t="s">
        <v>65</v>
      </c>
      <c r="L989" s="75">
        <v>989</v>
      </c>
      <c r="M989" s="75"/>
      <c r="N989" s="70"/>
      <c r="O989" s="77" t="s">
        <v>179</v>
      </c>
      <c r="P989" s="79">
        <v>42938.497083333335</v>
      </c>
      <c r="Q989" s="80" t="str">
        <f>HYPERLINK("https://t.co/foqLsls2U3")</f>
        <v>https://t.co/foqLsls2U3</v>
      </c>
      <c r="R989" s="77">
        <v>0</v>
      </c>
      <c r="S989" s="77">
        <v>1</v>
      </c>
      <c r="T989" s="77">
        <v>0</v>
      </c>
      <c r="U989" s="77">
        <v>1</v>
      </c>
      <c r="V989" s="77"/>
      <c r="W989" s="77"/>
      <c r="X989" s="77"/>
      <c r="Y989" s="77"/>
      <c r="Z989" s="77"/>
      <c r="AA989" s="77" t="s">
        <v>2479</v>
      </c>
      <c r="AB989" s="77" t="s">
        <v>2696</v>
      </c>
      <c r="AC989" s="81" t="s">
        <v>2704</v>
      </c>
      <c r="AD989" s="77" t="s">
        <v>2756</v>
      </c>
      <c r="AE989" s="80" t="str">
        <f>HYPERLINK("https://twitter.com/inovies/status/888729287360229376")</f>
        <v>https://twitter.com/inovies/status/888729287360229376</v>
      </c>
      <c r="AF989" s="79">
        <v>42938.497083333335</v>
      </c>
      <c r="AG989" s="85">
        <v>42938</v>
      </c>
      <c r="AH989" s="81" t="s">
        <v>3575</v>
      </c>
      <c r="AI989" s="77" t="b">
        <v>0</v>
      </c>
      <c r="AJ989" s="77" t="s">
        <v>3887</v>
      </c>
      <c r="AK989" s="77" t="s">
        <v>3889</v>
      </c>
      <c r="AL989" s="77" t="s">
        <v>3892</v>
      </c>
      <c r="AM989" s="77" t="s">
        <v>3889</v>
      </c>
      <c r="AN989" s="77" t="s">
        <v>3908</v>
      </c>
      <c r="AO989" s="77" t="s">
        <v>3889</v>
      </c>
      <c r="AP989" s="77" t="s">
        <v>3919</v>
      </c>
      <c r="AQ989" s="77" t="s">
        <v>4293</v>
      </c>
      <c r="AR989" s="77"/>
      <c r="AS989" s="77"/>
      <c r="AT989" s="77"/>
      <c r="AU989" s="77"/>
      <c r="AV989" s="80" t="str">
        <f>HYPERLINK("https://pbs.twimg.com/media/DFVmk0QUAAI8wX-.jpg")</f>
        <v>https://pbs.twimg.com/media/DFVmk0QUAAI8wX-.jpg</v>
      </c>
      <c r="AW989" s="81" t="s">
        <v>5333</v>
      </c>
      <c r="AX989" s="81" t="s">
        <v>5333</v>
      </c>
      <c r="AY989" s="77"/>
      <c r="AZ989" s="81" t="s">
        <v>5773</v>
      </c>
      <c r="BA989" s="81" t="s">
        <v>5773</v>
      </c>
      <c r="BB989" s="81" t="s">
        <v>5773</v>
      </c>
      <c r="BC989" s="81" t="s">
        <v>5333</v>
      </c>
      <c r="BD989" s="77">
        <v>297885438</v>
      </c>
      <c r="BE989" s="77"/>
      <c r="BF989" s="77"/>
      <c r="BG989" s="77"/>
      <c r="BH989" s="77"/>
      <c r="BI989" s="77"/>
    </row>
    <row r="990" spans="1:61" ht="15">
      <c r="A990" s="62" t="s">
        <v>299</v>
      </c>
      <c r="B990" s="62" t="s">
        <v>299</v>
      </c>
      <c r="C990" s="63"/>
      <c r="D990" s="64"/>
      <c r="E990" s="65"/>
      <c r="F990" s="66"/>
      <c r="G990" s="63"/>
      <c r="H990" s="67"/>
      <c r="I990" s="68"/>
      <c r="J990" s="68"/>
      <c r="K990" s="32" t="s">
        <v>65</v>
      </c>
      <c r="L990" s="75">
        <v>990</v>
      </c>
      <c r="M990" s="75"/>
      <c r="N990" s="70"/>
      <c r="O990" s="77" t="s">
        <v>575</v>
      </c>
      <c r="P990" s="79">
        <v>42958.59719907407</v>
      </c>
      <c r="Q990" s="77" t="s">
        <v>1375</v>
      </c>
      <c r="R990" s="77">
        <v>0</v>
      </c>
      <c r="S990" s="77">
        <v>0</v>
      </c>
      <c r="T990" s="77">
        <v>0</v>
      </c>
      <c r="U990" s="77">
        <v>0</v>
      </c>
      <c r="V990" s="77"/>
      <c r="W990" s="81" t="s">
        <v>299</v>
      </c>
      <c r="X990" s="80" t="str">
        <f>HYPERLINK("https://twitter.com/inovies/status/888729287360229376")</f>
        <v>https://twitter.com/inovies/status/888729287360229376</v>
      </c>
      <c r="Y990" s="77" t="s">
        <v>2000</v>
      </c>
      <c r="Z990" s="77"/>
      <c r="AA990" s="77"/>
      <c r="AB990" s="77"/>
      <c r="AC990" s="81" t="s">
        <v>2704</v>
      </c>
      <c r="AD990" s="77" t="s">
        <v>2752</v>
      </c>
      <c r="AE990" s="80" t="str">
        <f>HYPERLINK("https://twitter.com/inovies/status/896013324235571200")</f>
        <v>https://twitter.com/inovies/status/896013324235571200</v>
      </c>
      <c r="AF990" s="79">
        <v>42958.59719907407</v>
      </c>
      <c r="AG990" s="85">
        <v>42958</v>
      </c>
      <c r="AH990" s="81" t="s">
        <v>3576</v>
      </c>
      <c r="AI990" s="77" t="b">
        <v>0</v>
      </c>
      <c r="AJ990" s="77" t="s">
        <v>3882</v>
      </c>
      <c r="AK990" s="77" t="s">
        <v>3889</v>
      </c>
      <c r="AL990" s="77" t="s">
        <v>3892</v>
      </c>
      <c r="AM990" s="77" t="s">
        <v>3896</v>
      </c>
      <c r="AN990" s="77" t="s">
        <v>3903</v>
      </c>
      <c r="AO990" s="77" t="s">
        <v>3911</v>
      </c>
      <c r="AP990" s="77" t="s">
        <v>3917</v>
      </c>
      <c r="AQ990" s="77"/>
      <c r="AR990" s="77"/>
      <c r="AS990" s="77"/>
      <c r="AT990" s="77"/>
      <c r="AU990" s="77"/>
      <c r="AV990" s="80" t="str">
        <f>HYPERLINK("https://pbs.twimg.com/profile_images/833576943677214720/5ZyUgpEJ_normal.jpg")</f>
        <v>https://pbs.twimg.com/profile_images/833576943677214720/5ZyUgpEJ_normal.jpg</v>
      </c>
      <c r="AW990" s="81" t="s">
        <v>5334</v>
      </c>
      <c r="AX990" s="81" t="s">
        <v>5334</v>
      </c>
      <c r="AY990" s="77"/>
      <c r="AZ990" s="81" t="s">
        <v>5773</v>
      </c>
      <c r="BA990" s="81" t="s">
        <v>5333</v>
      </c>
      <c r="BB990" s="81" t="s">
        <v>5773</v>
      </c>
      <c r="BC990" s="81" t="s">
        <v>5333</v>
      </c>
      <c r="BD990" s="77">
        <v>297885438</v>
      </c>
      <c r="BE990" s="77"/>
      <c r="BF990" s="77"/>
      <c r="BG990" s="77"/>
      <c r="BH990" s="77"/>
      <c r="BI990" s="77"/>
    </row>
    <row r="991" spans="1:61" ht="15">
      <c r="A991" s="62" t="s">
        <v>299</v>
      </c>
      <c r="B991" s="62" t="s">
        <v>299</v>
      </c>
      <c r="C991" s="63"/>
      <c r="D991" s="64"/>
      <c r="E991" s="65"/>
      <c r="F991" s="66"/>
      <c r="G991" s="63"/>
      <c r="H991" s="67"/>
      <c r="I991" s="68"/>
      <c r="J991" s="68"/>
      <c r="K991" s="32" t="s">
        <v>65</v>
      </c>
      <c r="L991" s="75">
        <v>991</v>
      </c>
      <c r="M991" s="75"/>
      <c r="N991" s="70"/>
      <c r="O991" s="77" t="s">
        <v>179</v>
      </c>
      <c r="P991" s="79">
        <v>45281.804560185185</v>
      </c>
      <c r="Q991" s="77" t="s">
        <v>1376</v>
      </c>
      <c r="R991" s="77">
        <v>0</v>
      </c>
      <c r="S991" s="77">
        <v>0</v>
      </c>
      <c r="T991" s="77">
        <v>0</v>
      </c>
      <c r="U991" s="77">
        <v>0</v>
      </c>
      <c r="V991" s="77">
        <v>9</v>
      </c>
      <c r="W991" s="81" t="s">
        <v>1916</v>
      </c>
      <c r="X991" s="77"/>
      <c r="Y991" s="77"/>
      <c r="Z991" s="77"/>
      <c r="AA991" s="77" t="s">
        <v>2480</v>
      </c>
      <c r="AB991" s="77" t="s">
        <v>2698</v>
      </c>
      <c r="AC991" s="81" t="s">
        <v>2707</v>
      </c>
      <c r="AD991" s="77" t="s">
        <v>2751</v>
      </c>
      <c r="AE991" s="80" t="str">
        <f>HYPERLINK("https://twitter.com/inovies/status/1737915482517172284")</f>
        <v>https://twitter.com/inovies/status/1737915482517172284</v>
      </c>
      <c r="AF991" s="79">
        <v>45281.804560185185</v>
      </c>
      <c r="AG991" s="85">
        <v>45281</v>
      </c>
      <c r="AH991" s="81" t="s">
        <v>3577</v>
      </c>
      <c r="AI991" s="77" t="b">
        <v>0</v>
      </c>
      <c r="AJ991" s="77"/>
      <c r="AK991" s="77"/>
      <c r="AL991" s="77"/>
      <c r="AM991" s="77"/>
      <c r="AN991" s="77"/>
      <c r="AO991" s="77"/>
      <c r="AP991" s="77"/>
      <c r="AQ991" s="77" t="s">
        <v>4294</v>
      </c>
      <c r="AR991" s="77"/>
      <c r="AS991" s="77"/>
      <c r="AT991" s="77"/>
      <c r="AU991" s="77"/>
      <c r="AV991" s="80" t="str">
        <f>HYPERLINK("https://pbs.twimg.com/tweet_video_thumb/GB5QdjXXMAEuEv1.jpg")</f>
        <v>https://pbs.twimg.com/tweet_video_thumb/GB5QdjXXMAEuEv1.jpg</v>
      </c>
      <c r="AW991" s="81" t="s">
        <v>5335</v>
      </c>
      <c r="AX991" s="81" t="s">
        <v>5335</v>
      </c>
      <c r="AY991" s="77"/>
      <c r="AZ991" s="81" t="s">
        <v>5773</v>
      </c>
      <c r="BA991" s="81" t="s">
        <v>5773</v>
      </c>
      <c r="BB991" s="81" t="s">
        <v>5773</v>
      </c>
      <c r="BC991" s="81" t="s">
        <v>5335</v>
      </c>
      <c r="BD991" s="77">
        <v>297885438</v>
      </c>
      <c r="BE991" s="77"/>
      <c r="BF991" s="77"/>
      <c r="BG991" s="77"/>
      <c r="BH991" s="77"/>
      <c r="BI991" s="77"/>
    </row>
    <row r="992" spans="1:61" ht="15">
      <c r="A992" s="62" t="s">
        <v>299</v>
      </c>
      <c r="B992" s="62" t="s">
        <v>299</v>
      </c>
      <c r="C992" s="63"/>
      <c r="D992" s="64"/>
      <c r="E992" s="65"/>
      <c r="F992" s="66"/>
      <c r="G992" s="63"/>
      <c r="H992" s="67"/>
      <c r="I992" s="68"/>
      <c r="J992" s="68"/>
      <c r="K992" s="32" t="s">
        <v>65</v>
      </c>
      <c r="L992" s="75">
        <v>992</v>
      </c>
      <c r="M992" s="75"/>
      <c r="N992" s="70"/>
      <c r="O992" s="77" t="s">
        <v>572</v>
      </c>
      <c r="P992" s="79">
        <v>45271.3415625</v>
      </c>
      <c r="Q992" s="77" t="s">
        <v>1377</v>
      </c>
      <c r="R992" s="77">
        <v>0</v>
      </c>
      <c r="S992" s="77">
        <v>0</v>
      </c>
      <c r="T992" s="77">
        <v>1</v>
      </c>
      <c r="U992" s="77">
        <v>0</v>
      </c>
      <c r="V992" s="77">
        <v>3</v>
      </c>
      <c r="W992" s="81" t="s">
        <v>1880</v>
      </c>
      <c r="X992" s="80" t="str">
        <f>HYPERLINK("https://www.inovies.com")</f>
        <v>https://www.inovies.com</v>
      </c>
      <c r="Y992" s="77" t="s">
        <v>1982</v>
      </c>
      <c r="Z992" s="77"/>
      <c r="AA992" s="77"/>
      <c r="AB992" s="77"/>
      <c r="AC992" s="81" t="s">
        <v>2707</v>
      </c>
      <c r="AD992" s="77" t="s">
        <v>2751</v>
      </c>
      <c r="AE992" s="80" t="str">
        <f>HYPERLINK("https://twitter.com/inovies/status/1734123819453845786")</f>
        <v>https://twitter.com/inovies/status/1734123819453845786</v>
      </c>
      <c r="AF992" s="79">
        <v>45271.3415625</v>
      </c>
      <c r="AG992" s="85">
        <v>45271</v>
      </c>
      <c r="AH992" s="81" t="s">
        <v>3578</v>
      </c>
      <c r="AI992" s="77" t="b">
        <v>0</v>
      </c>
      <c r="AJ992" s="77"/>
      <c r="AK992" s="77"/>
      <c r="AL992" s="77"/>
      <c r="AM992" s="77"/>
      <c r="AN992" s="77"/>
      <c r="AO992" s="77"/>
      <c r="AP992" s="77"/>
      <c r="AQ992" s="77"/>
      <c r="AR992" s="77"/>
      <c r="AS992" s="77"/>
      <c r="AT992" s="77"/>
      <c r="AU992" s="77"/>
      <c r="AV992" s="80" t="str">
        <f>HYPERLINK("https://pbs.twimg.com/profile_images/833576943677214720/5ZyUgpEJ_normal.jpg")</f>
        <v>https://pbs.twimg.com/profile_images/833576943677214720/5ZyUgpEJ_normal.jpg</v>
      </c>
      <c r="AW992" s="81" t="s">
        <v>5336</v>
      </c>
      <c r="AX992" s="81" t="s">
        <v>5339</v>
      </c>
      <c r="AY992" s="81" t="s">
        <v>5721</v>
      </c>
      <c r="AZ992" s="81" t="s">
        <v>5337</v>
      </c>
      <c r="BA992" s="81" t="s">
        <v>5773</v>
      </c>
      <c r="BB992" s="81" t="s">
        <v>5773</v>
      </c>
      <c r="BC992" s="81" t="s">
        <v>5337</v>
      </c>
      <c r="BD992" s="77">
        <v>297885438</v>
      </c>
      <c r="BE992" s="77"/>
      <c r="BF992" s="77"/>
      <c r="BG992" s="77"/>
      <c r="BH992" s="77"/>
      <c r="BI992" s="77"/>
    </row>
    <row r="993" spans="1:61" ht="15">
      <c r="A993" s="62" t="s">
        <v>299</v>
      </c>
      <c r="B993" s="62" t="s">
        <v>299</v>
      </c>
      <c r="C993" s="63"/>
      <c r="D993" s="64"/>
      <c r="E993" s="65"/>
      <c r="F993" s="66"/>
      <c r="G993" s="63"/>
      <c r="H993" s="67"/>
      <c r="I993" s="68"/>
      <c r="J993" s="68"/>
      <c r="K993" s="32" t="s">
        <v>65</v>
      </c>
      <c r="L993" s="75">
        <v>993</v>
      </c>
      <c r="M993" s="75"/>
      <c r="N993" s="70"/>
      <c r="O993" s="77" t="s">
        <v>572</v>
      </c>
      <c r="P993" s="79">
        <v>45271.34155092593</v>
      </c>
      <c r="Q993" s="77" t="s">
        <v>1378</v>
      </c>
      <c r="R993" s="77">
        <v>0</v>
      </c>
      <c r="S993" s="77">
        <v>0</v>
      </c>
      <c r="T993" s="77">
        <v>1</v>
      </c>
      <c r="U993" s="77">
        <v>0</v>
      </c>
      <c r="V993" s="77">
        <v>3</v>
      </c>
      <c r="W993" s="81" t="s">
        <v>1880</v>
      </c>
      <c r="X993" s="80" t="str">
        <f>HYPERLINK("https://www.inovies.com")</f>
        <v>https://www.inovies.com</v>
      </c>
      <c r="Y993" s="77" t="s">
        <v>1982</v>
      </c>
      <c r="Z993" s="77"/>
      <c r="AA993" s="77"/>
      <c r="AB993" s="77"/>
      <c r="AC993" s="81" t="s">
        <v>2707</v>
      </c>
      <c r="AD993" s="77" t="s">
        <v>2751</v>
      </c>
      <c r="AE993" s="80" t="str">
        <f>HYPERLINK("https://twitter.com/inovies/status/1734123816069054935")</f>
        <v>https://twitter.com/inovies/status/1734123816069054935</v>
      </c>
      <c r="AF993" s="79">
        <v>45271.34155092593</v>
      </c>
      <c r="AG993" s="85">
        <v>45271</v>
      </c>
      <c r="AH993" s="81" t="s">
        <v>3579</v>
      </c>
      <c r="AI993" s="77" t="b">
        <v>0</v>
      </c>
      <c r="AJ993" s="77"/>
      <c r="AK993" s="77"/>
      <c r="AL993" s="77"/>
      <c r="AM993" s="77"/>
      <c r="AN993" s="77"/>
      <c r="AO993" s="77"/>
      <c r="AP993" s="77"/>
      <c r="AQ993" s="77"/>
      <c r="AR993" s="77"/>
      <c r="AS993" s="77"/>
      <c r="AT993" s="77"/>
      <c r="AU993" s="77"/>
      <c r="AV993" s="80" t="str">
        <f>HYPERLINK("https://pbs.twimg.com/profile_images/833576943677214720/5ZyUgpEJ_normal.jpg")</f>
        <v>https://pbs.twimg.com/profile_images/833576943677214720/5ZyUgpEJ_normal.jpg</v>
      </c>
      <c r="AW993" s="81" t="s">
        <v>5337</v>
      </c>
      <c r="AX993" s="81" t="s">
        <v>5339</v>
      </c>
      <c r="AY993" s="81" t="s">
        <v>5721</v>
      </c>
      <c r="AZ993" s="81" t="s">
        <v>5338</v>
      </c>
      <c r="BA993" s="81" t="s">
        <v>5773</v>
      </c>
      <c r="BB993" s="81" t="s">
        <v>5773</v>
      </c>
      <c r="BC993" s="81" t="s">
        <v>5338</v>
      </c>
      <c r="BD993" s="77">
        <v>297885438</v>
      </c>
      <c r="BE993" s="77"/>
      <c r="BF993" s="77"/>
      <c r="BG993" s="77"/>
      <c r="BH993" s="77"/>
      <c r="BI993" s="77"/>
    </row>
    <row r="994" spans="1:61" ht="15">
      <c r="A994" s="62" t="s">
        <v>299</v>
      </c>
      <c r="B994" s="62" t="s">
        <v>299</v>
      </c>
      <c r="C994" s="63"/>
      <c r="D994" s="64"/>
      <c r="E994" s="65"/>
      <c r="F994" s="66"/>
      <c r="G994" s="63"/>
      <c r="H994" s="67"/>
      <c r="I994" s="68"/>
      <c r="J994" s="68"/>
      <c r="K994" s="32" t="s">
        <v>65</v>
      </c>
      <c r="L994" s="75">
        <v>994</v>
      </c>
      <c r="M994" s="75"/>
      <c r="N994" s="70"/>
      <c r="O994" s="77" t="s">
        <v>572</v>
      </c>
      <c r="P994" s="79">
        <v>45271.34155092593</v>
      </c>
      <c r="Q994" s="77" t="s">
        <v>1379</v>
      </c>
      <c r="R994" s="77">
        <v>0</v>
      </c>
      <c r="S994" s="77">
        <v>0</v>
      </c>
      <c r="T994" s="77">
        <v>1</v>
      </c>
      <c r="U994" s="77">
        <v>0</v>
      </c>
      <c r="V994" s="77">
        <v>3</v>
      </c>
      <c r="W994" s="81" t="s">
        <v>1880</v>
      </c>
      <c r="X994" s="80" t="str">
        <f>HYPERLINK("https://www.inovies.com")</f>
        <v>https://www.inovies.com</v>
      </c>
      <c r="Y994" s="77" t="s">
        <v>1982</v>
      </c>
      <c r="Z994" s="77"/>
      <c r="AA994" s="77"/>
      <c r="AB994" s="77"/>
      <c r="AC994" s="81" t="s">
        <v>2707</v>
      </c>
      <c r="AD994" s="77" t="s">
        <v>2751</v>
      </c>
      <c r="AE994" s="80" t="str">
        <f>HYPERLINK("https://twitter.com/inovies/status/1734123813879599474")</f>
        <v>https://twitter.com/inovies/status/1734123813879599474</v>
      </c>
      <c r="AF994" s="79">
        <v>45271.34155092593</v>
      </c>
      <c r="AG994" s="85">
        <v>45271</v>
      </c>
      <c r="AH994" s="81" t="s">
        <v>3579</v>
      </c>
      <c r="AI994" s="77" t="b">
        <v>0</v>
      </c>
      <c r="AJ994" s="77"/>
      <c r="AK994" s="77"/>
      <c r="AL994" s="77"/>
      <c r="AM994" s="77"/>
      <c r="AN994" s="77"/>
      <c r="AO994" s="77"/>
      <c r="AP994" s="77"/>
      <c r="AQ994" s="77"/>
      <c r="AR994" s="77"/>
      <c r="AS994" s="77"/>
      <c r="AT994" s="77"/>
      <c r="AU994" s="77"/>
      <c r="AV994" s="80" t="str">
        <f>HYPERLINK("https://pbs.twimg.com/profile_images/833576943677214720/5ZyUgpEJ_normal.jpg")</f>
        <v>https://pbs.twimg.com/profile_images/833576943677214720/5ZyUgpEJ_normal.jpg</v>
      </c>
      <c r="AW994" s="81" t="s">
        <v>5338</v>
      </c>
      <c r="AX994" s="81" t="s">
        <v>5339</v>
      </c>
      <c r="AY994" s="81" t="s">
        <v>5721</v>
      </c>
      <c r="AZ994" s="81" t="s">
        <v>5605</v>
      </c>
      <c r="BA994" s="81" t="s">
        <v>5773</v>
      </c>
      <c r="BB994" s="81" t="s">
        <v>5773</v>
      </c>
      <c r="BC994" s="81" t="s">
        <v>5605</v>
      </c>
      <c r="BD994" s="77">
        <v>297885438</v>
      </c>
      <c r="BE994" s="77"/>
      <c r="BF994" s="77"/>
      <c r="BG994" s="77"/>
      <c r="BH994" s="77"/>
      <c r="BI994" s="77"/>
    </row>
    <row r="995" spans="1:61" ht="15">
      <c r="A995" s="62" t="s">
        <v>299</v>
      </c>
      <c r="B995" s="62" t="s">
        <v>299</v>
      </c>
      <c r="C995" s="63"/>
      <c r="D995" s="64"/>
      <c r="E995" s="65"/>
      <c r="F995" s="66"/>
      <c r="G995" s="63"/>
      <c r="H995" s="67"/>
      <c r="I995" s="68"/>
      <c r="J995" s="68"/>
      <c r="K995" s="32" t="s">
        <v>65</v>
      </c>
      <c r="L995" s="75">
        <v>995</v>
      </c>
      <c r="M995" s="75"/>
      <c r="N995" s="70"/>
      <c r="O995" s="77" t="s">
        <v>179</v>
      </c>
      <c r="P995" s="79">
        <v>45271.341527777775</v>
      </c>
      <c r="Q995" s="77" t="s">
        <v>1380</v>
      </c>
      <c r="R995" s="77">
        <v>0</v>
      </c>
      <c r="S995" s="77">
        <v>0</v>
      </c>
      <c r="T995" s="77">
        <v>1</v>
      </c>
      <c r="U995" s="77">
        <v>0</v>
      </c>
      <c r="V995" s="77">
        <v>35</v>
      </c>
      <c r="W995" s="81" t="s">
        <v>1880</v>
      </c>
      <c r="X995" s="80" t="str">
        <f>HYPERLINK("https://www.inovies.com")</f>
        <v>https://www.inovies.com</v>
      </c>
      <c r="Y995" s="77" t="s">
        <v>1982</v>
      </c>
      <c r="Z995" s="77"/>
      <c r="AA995" s="77"/>
      <c r="AB995" s="77"/>
      <c r="AC995" s="81" t="s">
        <v>2707</v>
      </c>
      <c r="AD995" s="77" t="s">
        <v>2751</v>
      </c>
      <c r="AE995" s="80" t="str">
        <f>HYPERLINK("https://twitter.com/inovies/status/1734123804874437022")</f>
        <v>https://twitter.com/inovies/status/1734123804874437022</v>
      </c>
      <c r="AF995" s="79">
        <v>45271.341527777775</v>
      </c>
      <c r="AG995" s="85">
        <v>45271</v>
      </c>
      <c r="AH995" s="81" t="s">
        <v>3522</v>
      </c>
      <c r="AI995" s="77" t="b">
        <v>0</v>
      </c>
      <c r="AJ995" s="77"/>
      <c r="AK995" s="77"/>
      <c r="AL995" s="77"/>
      <c r="AM995" s="77"/>
      <c r="AN995" s="77"/>
      <c r="AO995" s="77"/>
      <c r="AP995" s="77"/>
      <c r="AQ995" s="77"/>
      <c r="AR995" s="77"/>
      <c r="AS995" s="77"/>
      <c r="AT995" s="77"/>
      <c r="AU995" s="77"/>
      <c r="AV995" s="80" t="str">
        <f>HYPERLINK("https://pbs.twimg.com/profile_images/833576943677214720/5ZyUgpEJ_normal.jpg")</f>
        <v>https://pbs.twimg.com/profile_images/833576943677214720/5ZyUgpEJ_normal.jpg</v>
      </c>
      <c r="AW995" s="81" t="s">
        <v>5339</v>
      </c>
      <c r="AX995" s="81" t="s">
        <v>5339</v>
      </c>
      <c r="AY995" s="77"/>
      <c r="AZ995" s="81" t="s">
        <v>5773</v>
      </c>
      <c r="BA995" s="81" t="s">
        <v>5773</v>
      </c>
      <c r="BB995" s="81" t="s">
        <v>5773</v>
      </c>
      <c r="BC995" s="81" t="s">
        <v>5339</v>
      </c>
      <c r="BD995" s="77">
        <v>297885438</v>
      </c>
      <c r="BE995" s="77"/>
      <c r="BF995" s="77"/>
      <c r="BG995" s="77"/>
      <c r="BH995" s="77"/>
      <c r="BI995" s="77"/>
    </row>
    <row r="996" spans="1:61" ht="15">
      <c r="A996" s="62" t="s">
        <v>299</v>
      </c>
      <c r="B996" s="62" t="s">
        <v>299</v>
      </c>
      <c r="C996" s="63"/>
      <c r="D996" s="64"/>
      <c r="E996" s="65"/>
      <c r="F996" s="66"/>
      <c r="G996" s="63"/>
      <c r="H996" s="67"/>
      <c r="I996" s="68"/>
      <c r="J996" s="68"/>
      <c r="K996" s="32" t="s">
        <v>65</v>
      </c>
      <c r="L996" s="75">
        <v>996</v>
      </c>
      <c r="M996" s="75"/>
      <c r="N996" s="70"/>
      <c r="O996" s="77" t="s">
        <v>572</v>
      </c>
      <c r="P996" s="79">
        <v>45271.32538194444</v>
      </c>
      <c r="Q996" s="77" t="s">
        <v>1381</v>
      </c>
      <c r="R996" s="77">
        <v>0</v>
      </c>
      <c r="S996" s="77">
        <v>0</v>
      </c>
      <c r="T996" s="77">
        <v>0</v>
      </c>
      <c r="U996" s="77">
        <v>0</v>
      </c>
      <c r="V996" s="77">
        <v>14</v>
      </c>
      <c r="W996" s="81" t="s">
        <v>1880</v>
      </c>
      <c r="X996" s="80" t="str">
        <f>HYPERLINK("https://inovies.com")</f>
        <v>https://inovies.com</v>
      </c>
      <c r="Y996" s="77" t="s">
        <v>1982</v>
      </c>
      <c r="Z996" s="77"/>
      <c r="AA996" s="77"/>
      <c r="AB996" s="77"/>
      <c r="AC996" s="81" t="s">
        <v>2707</v>
      </c>
      <c r="AD996" s="77" t="s">
        <v>2751</v>
      </c>
      <c r="AE996" s="80" t="str">
        <f>HYPERLINK("https://twitter.com/inovies/status/1734117954894111211")</f>
        <v>https://twitter.com/inovies/status/1734117954894111211</v>
      </c>
      <c r="AF996" s="79">
        <v>45271.32538194444</v>
      </c>
      <c r="AG996" s="85">
        <v>45271</v>
      </c>
      <c r="AH996" s="81" t="s">
        <v>3580</v>
      </c>
      <c r="AI996" s="77" t="b">
        <v>0</v>
      </c>
      <c r="AJ996" s="77"/>
      <c r="AK996" s="77"/>
      <c r="AL996" s="77"/>
      <c r="AM996" s="77"/>
      <c r="AN996" s="77"/>
      <c r="AO996" s="77"/>
      <c r="AP996" s="77"/>
      <c r="AQ996" s="77"/>
      <c r="AR996" s="77"/>
      <c r="AS996" s="77"/>
      <c r="AT996" s="77"/>
      <c r="AU996" s="77"/>
      <c r="AV996" s="80" t="str">
        <f>HYPERLINK("https://pbs.twimg.com/profile_images/833576943677214720/5ZyUgpEJ_normal.jpg")</f>
        <v>https://pbs.twimg.com/profile_images/833576943677214720/5ZyUgpEJ_normal.jpg</v>
      </c>
      <c r="AW996" s="81" t="s">
        <v>5340</v>
      </c>
      <c r="AX996" s="81" t="s">
        <v>5534</v>
      </c>
      <c r="AY996" s="81" t="s">
        <v>5721</v>
      </c>
      <c r="AZ996" s="81" t="s">
        <v>5274</v>
      </c>
      <c r="BA996" s="81" t="s">
        <v>5773</v>
      </c>
      <c r="BB996" s="81" t="s">
        <v>5773</v>
      </c>
      <c r="BC996" s="81" t="s">
        <v>5274</v>
      </c>
      <c r="BD996" s="77">
        <v>297885438</v>
      </c>
      <c r="BE996" s="77"/>
      <c r="BF996" s="77"/>
      <c r="BG996" s="77"/>
      <c r="BH996" s="77"/>
      <c r="BI996" s="77"/>
    </row>
    <row r="997" spans="1:61" ht="15">
      <c r="A997" s="62" t="s">
        <v>299</v>
      </c>
      <c r="B997" s="62" t="s">
        <v>299</v>
      </c>
      <c r="C997" s="63"/>
      <c r="D997" s="64"/>
      <c r="E997" s="65"/>
      <c r="F997" s="66"/>
      <c r="G997" s="63"/>
      <c r="H997" s="67"/>
      <c r="I997" s="68"/>
      <c r="J997" s="68"/>
      <c r="K997" s="32" t="s">
        <v>65</v>
      </c>
      <c r="L997" s="75">
        <v>997</v>
      </c>
      <c r="M997" s="75"/>
      <c r="N997" s="70"/>
      <c r="O997" s="77" t="s">
        <v>572</v>
      </c>
      <c r="P997" s="79">
        <v>45271.32534722222</v>
      </c>
      <c r="Q997" s="77" t="s">
        <v>1382</v>
      </c>
      <c r="R997" s="77">
        <v>0</v>
      </c>
      <c r="S997" s="77">
        <v>0</v>
      </c>
      <c r="T997" s="77">
        <v>1</v>
      </c>
      <c r="U997" s="77">
        <v>0</v>
      </c>
      <c r="V997" s="77">
        <v>13</v>
      </c>
      <c r="W997" s="81" t="s">
        <v>1880</v>
      </c>
      <c r="X997" s="80" t="str">
        <f>HYPERLINK("https://inovies.com")</f>
        <v>https://inovies.com</v>
      </c>
      <c r="Y997" s="77" t="s">
        <v>1982</v>
      </c>
      <c r="Z997" s="77"/>
      <c r="AA997" s="77"/>
      <c r="AB997" s="77"/>
      <c r="AC997" s="81" t="s">
        <v>2707</v>
      </c>
      <c r="AD997" s="77" t="s">
        <v>2751</v>
      </c>
      <c r="AE997" s="80" t="str">
        <f>HYPERLINK("https://twitter.com/inovies/status/1734117940927095051")</f>
        <v>https://twitter.com/inovies/status/1734117940927095051</v>
      </c>
      <c r="AF997" s="79">
        <v>45271.32534722222</v>
      </c>
      <c r="AG997" s="85">
        <v>45271</v>
      </c>
      <c r="AH997" s="81" t="s">
        <v>3581</v>
      </c>
      <c r="AI997" s="77" t="b">
        <v>0</v>
      </c>
      <c r="AJ997" s="77"/>
      <c r="AK997" s="77"/>
      <c r="AL997" s="77"/>
      <c r="AM997" s="77"/>
      <c r="AN997" s="77"/>
      <c r="AO997" s="77"/>
      <c r="AP997" s="77"/>
      <c r="AQ997" s="77"/>
      <c r="AR997" s="77"/>
      <c r="AS997" s="77"/>
      <c r="AT997" s="77"/>
      <c r="AU997" s="77"/>
      <c r="AV997" s="80" t="str">
        <f>HYPERLINK("https://pbs.twimg.com/profile_images/833576943677214720/5ZyUgpEJ_normal.jpg")</f>
        <v>https://pbs.twimg.com/profile_images/833576943677214720/5ZyUgpEJ_normal.jpg</v>
      </c>
      <c r="AW997" s="81" t="s">
        <v>5341</v>
      </c>
      <c r="AX997" s="81" t="s">
        <v>5534</v>
      </c>
      <c r="AY997" s="81" t="s">
        <v>5721</v>
      </c>
      <c r="AZ997" s="81" t="s">
        <v>5342</v>
      </c>
      <c r="BA997" s="81" t="s">
        <v>5773</v>
      </c>
      <c r="BB997" s="81" t="s">
        <v>5773</v>
      </c>
      <c r="BC997" s="81" t="s">
        <v>5342</v>
      </c>
      <c r="BD997" s="77">
        <v>297885438</v>
      </c>
      <c r="BE997" s="77"/>
      <c r="BF997" s="77"/>
      <c r="BG997" s="77"/>
      <c r="BH997" s="77"/>
      <c r="BI997" s="77"/>
    </row>
    <row r="998" spans="1:61" ht="15">
      <c r="A998" s="62" t="s">
        <v>299</v>
      </c>
      <c r="B998" s="62" t="s">
        <v>299</v>
      </c>
      <c r="C998" s="63"/>
      <c r="D998" s="64"/>
      <c r="E998" s="65"/>
      <c r="F998" s="66"/>
      <c r="G998" s="63"/>
      <c r="H998" s="67"/>
      <c r="I998" s="68"/>
      <c r="J998" s="68"/>
      <c r="K998" s="32" t="s">
        <v>65</v>
      </c>
      <c r="L998" s="75">
        <v>998</v>
      </c>
      <c r="M998" s="75"/>
      <c r="N998" s="70"/>
      <c r="O998" s="77" t="s">
        <v>572</v>
      </c>
      <c r="P998" s="79">
        <v>45271.32533564815</v>
      </c>
      <c r="Q998" s="77" t="s">
        <v>1383</v>
      </c>
      <c r="R998" s="77">
        <v>0</v>
      </c>
      <c r="S998" s="77">
        <v>0</v>
      </c>
      <c r="T998" s="77">
        <v>1</v>
      </c>
      <c r="U998" s="77">
        <v>0</v>
      </c>
      <c r="V998" s="77">
        <v>12</v>
      </c>
      <c r="W998" s="81" t="s">
        <v>1880</v>
      </c>
      <c r="X998" s="80" t="str">
        <f>HYPERLINK("https://inovies.com")</f>
        <v>https://inovies.com</v>
      </c>
      <c r="Y998" s="77" t="s">
        <v>1982</v>
      </c>
      <c r="Z998" s="77"/>
      <c r="AA998" s="77"/>
      <c r="AB998" s="77"/>
      <c r="AC998" s="81" t="s">
        <v>2707</v>
      </c>
      <c r="AD998" s="77" t="s">
        <v>2751</v>
      </c>
      <c r="AE998" s="80" t="str">
        <f>HYPERLINK("https://twitter.com/inovies/status/1734117938636960010")</f>
        <v>https://twitter.com/inovies/status/1734117938636960010</v>
      </c>
      <c r="AF998" s="79">
        <v>45271.32533564815</v>
      </c>
      <c r="AG998" s="85">
        <v>45271</v>
      </c>
      <c r="AH998" s="81" t="s">
        <v>3582</v>
      </c>
      <c r="AI998" s="77" t="b">
        <v>0</v>
      </c>
      <c r="AJ998" s="77"/>
      <c r="AK998" s="77"/>
      <c r="AL998" s="77"/>
      <c r="AM998" s="77"/>
      <c r="AN998" s="77"/>
      <c r="AO998" s="77"/>
      <c r="AP998" s="77"/>
      <c r="AQ998" s="77"/>
      <c r="AR998" s="77"/>
      <c r="AS998" s="77"/>
      <c r="AT998" s="77"/>
      <c r="AU998" s="77"/>
      <c r="AV998" s="80" t="str">
        <f>HYPERLINK("https://pbs.twimg.com/profile_images/833576943677214720/5ZyUgpEJ_normal.jpg")</f>
        <v>https://pbs.twimg.com/profile_images/833576943677214720/5ZyUgpEJ_normal.jpg</v>
      </c>
      <c r="AW998" s="81" t="s">
        <v>5342</v>
      </c>
      <c r="AX998" s="81" t="s">
        <v>5534</v>
      </c>
      <c r="AY998" s="81" t="s">
        <v>5721</v>
      </c>
      <c r="AZ998" s="81" t="s">
        <v>5375</v>
      </c>
      <c r="BA998" s="81" t="s">
        <v>5773</v>
      </c>
      <c r="BB998" s="81" t="s">
        <v>5773</v>
      </c>
      <c r="BC998" s="81" t="s">
        <v>5375</v>
      </c>
      <c r="BD998" s="77">
        <v>297885438</v>
      </c>
      <c r="BE998" s="77"/>
      <c r="BF998" s="77"/>
      <c r="BG998" s="77"/>
      <c r="BH998" s="77"/>
      <c r="BI998" s="77"/>
    </row>
    <row r="999" spans="1:61" ht="15">
      <c r="A999" s="62" t="s">
        <v>299</v>
      </c>
      <c r="B999" s="62" t="s">
        <v>299</v>
      </c>
      <c r="C999" s="63"/>
      <c r="D999" s="64"/>
      <c r="E999" s="65"/>
      <c r="F999" s="66"/>
      <c r="G999" s="63"/>
      <c r="H999" s="67"/>
      <c r="I999" s="68"/>
      <c r="J999" s="68"/>
      <c r="K999" s="32" t="s">
        <v>65</v>
      </c>
      <c r="L999" s="75">
        <v>999</v>
      </c>
      <c r="M999" s="75"/>
      <c r="N999" s="70"/>
      <c r="O999" s="77" t="s">
        <v>572</v>
      </c>
      <c r="P999" s="79">
        <v>45271.325277777774</v>
      </c>
      <c r="Q999" s="77" t="s">
        <v>1384</v>
      </c>
      <c r="R999" s="77">
        <v>0</v>
      </c>
      <c r="S999" s="77">
        <v>0</v>
      </c>
      <c r="T999" s="77">
        <v>1</v>
      </c>
      <c r="U999" s="77">
        <v>0</v>
      </c>
      <c r="V999" s="77">
        <v>2</v>
      </c>
      <c r="W999" s="81" t="s">
        <v>1880</v>
      </c>
      <c r="X999" s="80" t="str">
        <f>HYPERLINK("https://inovies.com")</f>
        <v>https://inovies.com</v>
      </c>
      <c r="Y999" s="77" t="s">
        <v>1982</v>
      </c>
      <c r="Z999" s="77"/>
      <c r="AA999" s="77"/>
      <c r="AB999" s="77"/>
      <c r="AC999" s="81" t="s">
        <v>2707</v>
      </c>
      <c r="AD999" s="77" t="s">
        <v>2751</v>
      </c>
      <c r="AE999" s="80" t="str">
        <f>HYPERLINK("https://twitter.com/inovies/status/1734117917644460196")</f>
        <v>https://twitter.com/inovies/status/1734117917644460196</v>
      </c>
      <c r="AF999" s="79">
        <v>45271.325277777774</v>
      </c>
      <c r="AG999" s="85">
        <v>45271</v>
      </c>
      <c r="AH999" s="81" t="s">
        <v>3583</v>
      </c>
      <c r="AI999" s="77" t="b">
        <v>0</v>
      </c>
      <c r="AJ999" s="77"/>
      <c r="AK999" s="77"/>
      <c r="AL999" s="77"/>
      <c r="AM999" s="77"/>
      <c r="AN999" s="77"/>
      <c r="AO999" s="77"/>
      <c r="AP999" s="77"/>
      <c r="AQ999" s="77"/>
      <c r="AR999" s="77"/>
      <c r="AS999" s="77"/>
      <c r="AT999" s="77"/>
      <c r="AU999" s="77"/>
      <c r="AV999" s="80" t="str">
        <f>HYPERLINK("https://pbs.twimg.com/profile_images/833576943677214720/5ZyUgpEJ_normal.jpg")</f>
        <v>https://pbs.twimg.com/profile_images/833576943677214720/5ZyUgpEJ_normal.jpg</v>
      </c>
      <c r="AW999" s="81" t="s">
        <v>5343</v>
      </c>
      <c r="AX999" s="81" t="s">
        <v>5534</v>
      </c>
      <c r="AY999" s="81" t="s">
        <v>5721</v>
      </c>
      <c r="AZ999" s="81" t="s">
        <v>5344</v>
      </c>
      <c r="BA999" s="81" t="s">
        <v>5773</v>
      </c>
      <c r="BB999" s="81" t="s">
        <v>5773</v>
      </c>
      <c r="BC999" s="81" t="s">
        <v>5344</v>
      </c>
      <c r="BD999" s="77">
        <v>297885438</v>
      </c>
      <c r="BE999" s="77"/>
      <c r="BF999" s="77"/>
      <c r="BG999" s="77"/>
      <c r="BH999" s="77"/>
      <c r="BI999" s="77"/>
    </row>
    <row r="1000" spans="1:61" ht="15">
      <c r="A1000" s="62" t="s">
        <v>299</v>
      </c>
      <c r="B1000" s="62" t="s">
        <v>299</v>
      </c>
      <c r="C1000" s="63"/>
      <c r="D1000" s="64"/>
      <c r="E1000" s="65"/>
      <c r="F1000" s="66"/>
      <c r="G1000" s="63"/>
      <c r="H1000" s="67"/>
      <c r="I1000" s="68"/>
      <c r="J1000" s="68"/>
      <c r="K1000" s="32" t="s">
        <v>65</v>
      </c>
      <c r="L1000" s="75">
        <v>1000</v>
      </c>
      <c r="M1000" s="75"/>
      <c r="N1000" s="70"/>
      <c r="O1000" s="77" t="s">
        <v>572</v>
      </c>
      <c r="P1000" s="79">
        <v>45271.325277777774</v>
      </c>
      <c r="Q1000" s="77" t="s">
        <v>1385</v>
      </c>
      <c r="R1000" s="77">
        <v>0</v>
      </c>
      <c r="S1000" s="77">
        <v>0</v>
      </c>
      <c r="T1000" s="77">
        <v>1</v>
      </c>
      <c r="U1000" s="77">
        <v>0</v>
      </c>
      <c r="V1000" s="77">
        <v>3</v>
      </c>
      <c r="W1000" s="81" t="s">
        <v>1880</v>
      </c>
      <c r="X1000" s="80" t="str">
        <f>HYPERLINK("https://inovies.com")</f>
        <v>https://inovies.com</v>
      </c>
      <c r="Y1000" s="77" t="s">
        <v>1982</v>
      </c>
      <c r="Z1000" s="77"/>
      <c r="AA1000" s="77"/>
      <c r="AB1000" s="77"/>
      <c r="AC1000" s="81" t="s">
        <v>2707</v>
      </c>
      <c r="AD1000" s="77" t="s">
        <v>2751</v>
      </c>
      <c r="AE1000" s="80" t="str">
        <f>HYPERLINK("https://twitter.com/inovies/status/1734117915455045738")</f>
        <v>https://twitter.com/inovies/status/1734117915455045738</v>
      </c>
      <c r="AF1000" s="79">
        <v>45271.325277777774</v>
      </c>
      <c r="AG1000" s="85">
        <v>45271</v>
      </c>
      <c r="AH1000" s="81" t="s">
        <v>3583</v>
      </c>
      <c r="AI1000" s="77" t="b">
        <v>0</v>
      </c>
      <c r="AJ1000" s="77"/>
      <c r="AK1000" s="77"/>
      <c r="AL1000" s="77"/>
      <c r="AM1000" s="77"/>
      <c r="AN1000" s="77"/>
      <c r="AO1000" s="77"/>
      <c r="AP1000" s="77"/>
      <c r="AQ1000" s="77"/>
      <c r="AR1000" s="77"/>
      <c r="AS1000" s="77"/>
      <c r="AT1000" s="77"/>
      <c r="AU1000" s="77"/>
      <c r="AV1000" s="80" t="str">
        <f>HYPERLINK("https://pbs.twimg.com/profile_images/833576943677214720/5ZyUgpEJ_normal.jpg")</f>
        <v>https://pbs.twimg.com/profile_images/833576943677214720/5ZyUgpEJ_normal.jpg</v>
      </c>
      <c r="AW1000" s="81" t="s">
        <v>5344</v>
      </c>
      <c r="AX1000" s="81" t="s">
        <v>5534</v>
      </c>
      <c r="AY1000" s="81" t="s">
        <v>5721</v>
      </c>
      <c r="AZ1000" s="81" t="s">
        <v>5345</v>
      </c>
      <c r="BA1000" s="81" t="s">
        <v>5773</v>
      </c>
      <c r="BB1000" s="81" t="s">
        <v>5773</v>
      </c>
      <c r="BC1000" s="81" t="s">
        <v>5345</v>
      </c>
      <c r="BD1000" s="77">
        <v>297885438</v>
      </c>
      <c r="BE1000" s="77"/>
      <c r="BF1000" s="77"/>
      <c r="BG1000" s="77"/>
      <c r="BH1000" s="77"/>
      <c r="BI1000" s="77"/>
    </row>
    <row r="1001" spans="1:61" ht="15">
      <c r="A1001" s="62" t="s">
        <v>299</v>
      </c>
      <c r="B1001" s="62" t="s">
        <v>299</v>
      </c>
      <c r="C1001" s="63"/>
      <c r="D1001" s="64"/>
      <c r="E1001" s="65"/>
      <c r="F1001" s="66"/>
      <c r="G1001" s="63"/>
      <c r="H1001" s="67"/>
      <c r="I1001" s="68"/>
      <c r="J1001" s="68"/>
      <c r="K1001" s="32" t="s">
        <v>65</v>
      </c>
      <c r="L1001" s="75">
        <v>1001</v>
      </c>
      <c r="M1001" s="75"/>
      <c r="N1001" s="70"/>
      <c r="O1001" s="77" t="s">
        <v>572</v>
      </c>
      <c r="P1001" s="79">
        <v>45271.325266203705</v>
      </c>
      <c r="Q1001" s="77" t="s">
        <v>1386</v>
      </c>
      <c r="R1001" s="77">
        <v>0</v>
      </c>
      <c r="S1001" s="77">
        <v>0</v>
      </c>
      <c r="T1001" s="77">
        <v>1</v>
      </c>
      <c r="U1001" s="77">
        <v>0</v>
      </c>
      <c r="V1001" s="77">
        <v>2</v>
      </c>
      <c r="W1001" s="81" t="s">
        <v>1880</v>
      </c>
      <c r="X1001" s="80" t="str">
        <f>HYPERLINK("https://inovies.com")</f>
        <v>https://inovies.com</v>
      </c>
      <c r="Y1001" s="77" t="s">
        <v>1982</v>
      </c>
      <c r="Z1001" s="77"/>
      <c r="AA1001" s="77"/>
      <c r="AB1001" s="77"/>
      <c r="AC1001" s="81" t="s">
        <v>2707</v>
      </c>
      <c r="AD1001" s="77" t="s">
        <v>2751</v>
      </c>
      <c r="AE1001" s="80" t="str">
        <f>HYPERLINK("https://twitter.com/inovies/status/1734117913290817644")</f>
        <v>https://twitter.com/inovies/status/1734117913290817644</v>
      </c>
      <c r="AF1001" s="79">
        <v>45271.325266203705</v>
      </c>
      <c r="AG1001" s="85">
        <v>45271</v>
      </c>
      <c r="AH1001" s="81" t="s">
        <v>3584</v>
      </c>
      <c r="AI1001" s="77" t="b">
        <v>0</v>
      </c>
      <c r="AJ1001" s="77"/>
      <c r="AK1001" s="77"/>
      <c r="AL1001" s="77"/>
      <c r="AM1001" s="77"/>
      <c r="AN1001" s="77"/>
      <c r="AO1001" s="77"/>
      <c r="AP1001" s="77"/>
      <c r="AQ1001" s="77"/>
      <c r="AR1001" s="77"/>
      <c r="AS1001" s="77"/>
      <c r="AT1001" s="77"/>
      <c r="AU1001" s="77"/>
      <c r="AV1001" s="80" t="str">
        <f>HYPERLINK("https://pbs.twimg.com/profile_images/833576943677214720/5ZyUgpEJ_normal.jpg")</f>
        <v>https://pbs.twimg.com/profile_images/833576943677214720/5ZyUgpEJ_normal.jpg</v>
      </c>
      <c r="AW1001" s="81" t="s">
        <v>5345</v>
      </c>
      <c r="AX1001" s="81" t="s">
        <v>5534</v>
      </c>
      <c r="AY1001" s="81" t="s">
        <v>5721</v>
      </c>
      <c r="AZ1001" s="81" t="s">
        <v>5346</v>
      </c>
      <c r="BA1001" s="81" t="s">
        <v>5773</v>
      </c>
      <c r="BB1001" s="81" t="s">
        <v>5773</v>
      </c>
      <c r="BC1001" s="81" t="s">
        <v>5346</v>
      </c>
      <c r="BD1001" s="77">
        <v>297885438</v>
      </c>
      <c r="BE1001" s="77"/>
      <c r="BF1001" s="77"/>
      <c r="BG1001" s="77"/>
      <c r="BH1001" s="77"/>
      <c r="BI1001" s="77"/>
    </row>
    <row r="1002" spans="1:61" ht="15">
      <c r="A1002" s="62" t="s">
        <v>299</v>
      </c>
      <c r="B1002" s="62" t="s">
        <v>299</v>
      </c>
      <c r="C1002" s="63"/>
      <c r="D1002" s="64"/>
      <c r="E1002" s="65"/>
      <c r="F1002" s="66"/>
      <c r="G1002" s="63"/>
      <c r="H1002" s="67"/>
      <c r="I1002" s="68"/>
      <c r="J1002" s="68"/>
      <c r="K1002" s="32" t="s">
        <v>65</v>
      </c>
      <c r="L1002" s="75">
        <v>1002</v>
      </c>
      <c r="M1002" s="75"/>
      <c r="N1002" s="70"/>
      <c r="O1002" s="77" t="s">
        <v>572</v>
      </c>
      <c r="P1002" s="79">
        <v>45271.325266203705</v>
      </c>
      <c r="Q1002" s="77" t="s">
        <v>1387</v>
      </c>
      <c r="R1002" s="77">
        <v>0</v>
      </c>
      <c r="S1002" s="77">
        <v>0</v>
      </c>
      <c r="T1002" s="77">
        <v>1</v>
      </c>
      <c r="U1002" s="77">
        <v>0</v>
      </c>
      <c r="V1002" s="77">
        <v>2</v>
      </c>
      <c r="W1002" s="81" t="s">
        <v>1880</v>
      </c>
      <c r="X1002" s="80" t="str">
        <f>HYPERLINK("https://inovies.com")</f>
        <v>https://inovies.com</v>
      </c>
      <c r="Y1002" s="77" t="s">
        <v>1982</v>
      </c>
      <c r="Z1002" s="77"/>
      <c r="AA1002" s="77"/>
      <c r="AB1002" s="77"/>
      <c r="AC1002" s="81" t="s">
        <v>2707</v>
      </c>
      <c r="AD1002" s="77" t="s">
        <v>2751</v>
      </c>
      <c r="AE1002" s="80" t="str">
        <f>HYPERLINK("https://twitter.com/inovies/status/1734117911067852893")</f>
        <v>https://twitter.com/inovies/status/1734117911067852893</v>
      </c>
      <c r="AF1002" s="79">
        <v>45271.325266203705</v>
      </c>
      <c r="AG1002" s="85">
        <v>45271</v>
      </c>
      <c r="AH1002" s="81" t="s">
        <v>3584</v>
      </c>
      <c r="AI1002" s="77" t="b">
        <v>0</v>
      </c>
      <c r="AJ1002" s="77"/>
      <c r="AK1002" s="77"/>
      <c r="AL1002" s="77"/>
      <c r="AM1002" s="77"/>
      <c r="AN1002" s="77"/>
      <c r="AO1002" s="77"/>
      <c r="AP1002" s="77"/>
      <c r="AQ1002" s="77"/>
      <c r="AR1002" s="77"/>
      <c r="AS1002" s="77"/>
      <c r="AT1002" s="77"/>
      <c r="AU1002" s="77"/>
      <c r="AV1002" s="80" t="str">
        <f>HYPERLINK("https://pbs.twimg.com/profile_images/833576943677214720/5ZyUgpEJ_normal.jpg")</f>
        <v>https://pbs.twimg.com/profile_images/833576943677214720/5ZyUgpEJ_normal.jpg</v>
      </c>
      <c r="AW1002" s="81" t="s">
        <v>5346</v>
      </c>
      <c r="AX1002" s="81" t="s">
        <v>5534</v>
      </c>
      <c r="AY1002" s="81" t="s">
        <v>5721</v>
      </c>
      <c r="AZ1002" s="81" t="s">
        <v>5530</v>
      </c>
      <c r="BA1002" s="81" t="s">
        <v>5773</v>
      </c>
      <c r="BB1002" s="81" t="s">
        <v>5773</v>
      </c>
      <c r="BC1002" s="81" t="s">
        <v>5530</v>
      </c>
      <c r="BD1002" s="77">
        <v>297885438</v>
      </c>
      <c r="BE1002" s="77"/>
      <c r="BF1002" s="77"/>
      <c r="BG1002" s="77"/>
      <c r="BH1002" s="77"/>
      <c r="BI1002" s="77"/>
    </row>
    <row r="1003" spans="1:61" ht="15">
      <c r="A1003" s="62" t="s">
        <v>299</v>
      </c>
      <c r="B1003" s="62" t="s">
        <v>299</v>
      </c>
      <c r="C1003" s="63"/>
      <c r="D1003" s="64"/>
      <c r="E1003" s="65"/>
      <c r="F1003" s="66"/>
      <c r="G1003" s="63"/>
      <c r="H1003" s="67"/>
      <c r="I1003" s="68"/>
      <c r="J1003" s="68"/>
      <c r="K1003" s="32" t="s">
        <v>65</v>
      </c>
      <c r="L1003" s="75">
        <v>1003</v>
      </c>
      <c r="M1003" s="75"/>
      <c r="N1003" s="70"/>
      <c r="O1003" s="77" t="s">
        <v>572</v>
      </c>
      <c r="P1003" s="79">
        <v>45271.319386574076</v>
      </c>
      <c r="Q1003" s="77" t="s">
        <v>1388</v>
      </c>
      <c r="R1003" s="77">
        <v>0</v>
      </c>
      <c r="S1003" s="77">
        <v>0</v>
      </c>
      <c r="T1003" s="77">
        <v>1</v>
      </c>
      <c r="U1003" s="77">
        <v>0</v>
      </c>
      <c r="V1003" s="77"/>
      <c r="W1003" s="81" t="s">
        <v>1880</v>
      </c>
      <c r="X1003" s="80" t="str">
        <f>HYPERLINK("https://www.inovies.com")</f>
        <v>https://www.inovies.com</v>
      </c>
      <c r="Y1003" s="77" t="s">
        <v>1982</v>
      </c>
      <c r="Z1003" s="77"/>
      <c r="AA1003" s="77"/>
      <c r="AB1003" s="77"/>
      <c r="AC1003" s="81" t="s">
        <v>2707</v>
      </c>
      <c r="AD1003" s="77" t="s">
        <v>2751</v>
      </c>
      <c r="AE1003" s="80" t="str">
        <f>HYPERLINK("https://twitter.com/inovies/status/1734115783813325162")</f>
        <v>https://twitter.com/inovies/status/1734115783813325162</v>
      </c>
      <c r="AF1003" s="79">
        <v>45271.319386574076</v>
      </c>
      <c r="AG1003" s="85">
        <v>45271</v>
      </c>
      <c r="AH1003" s="81" t="s">
        <v>3585</v>
      </c>
      <c r="AI1003" s="77" t="b">
        <v>0</v>
      </c>
      <c r="AJ1003" s="77"/>
      <c r="AK1003" s="77"/>
      <c r="AL1003" s="77"/>
      <c r="AM1003" s="77"/>
      <c r="AN1003" s="77"/>
      <c r="AO1003" s="77"/>
      <c r="AP1003" s="77"/>
      <c r="AQ1003" s="77"/>
      <c r="AR1003" s="77"/>
      <c r="AS1003" s="77"/>
      <c r="AT1003" s="77"/>
      <c r="AU1003" s="77"/>
      <c r="AV1003" s="80" t="str">
        <f>HYPERLINK("https://pbs.twimg.com/profile_images/833576943677214720/5ZyUgpEJ_normal.jpg")</f>
        <v>https://pbs.twimg.com/profile_images/833576943677214720/5ZyUgpEJ_normal.jpg</v>
      </c>
      <c r="AW1003" s="81" t="s">
        <v>5347</v>
      </c>
      <c r="AX1003" s="81" t="s">
        <v>5610</v>
      </c>
      <c r="AY1003" s="81" t="s">
        <v>5721</v>
      </c>
      <c r="AZ1003" s="81" t="s">
        <v>5348</v>
      </c>
      <c r="BA1003" s="81" t="s">
        <v>5773</v>
      </c>
      <c r="BB1003" s="81" t="s">
        <v>5773</v>
      </c>
      <c r="BC1003" s="81" t="s">
        <v>5348</v>
      </c>
      <c r="BD1003" s="77">
        <v>297885438</v>
      </c>
      <c r="BE1003" s="77"/>
      <c r="BF1003" s="77"/>
      <c r="BG1003" s="77"/>
      <c r="BH1003" s="77"/>
      <c r="BI1003" s="77"/>
    </row>
    <row r="1004" spans="1:61" ht="15">
      <c r="A1004" s="62" t="s">
        <v>299</v>
      </c>
      <c r="B1004" s="62" t="s">
        <v>299</v>
      </c>
      <c r="C1004" s="63"/>
      <c r="D1004" s="64"/>
      <c r="E1004" s="65"/>
      <c r="F1004" s="66"/>
      <c r="G1004" s="63"/>
      <c r="H1004" s="67"/>
      <c r="I1004" s="68"/>
      <c r="J1004" s="68"/>
      <c r="K1004" s="32" t="s">
        <v>65</v>
      </c>
      <c r="L1004" s="75">
        <v>1004</v>
      </c>
      <c r="M1004" s="75"/>
      <c r="N1004" s="70"/>
      <c r="O1004" s="77" t="s">
        <v>572</v>
      </c>
      <c r="P1004" s="79">
        <v>45271.319386574076</v>
      </c>
      <c r="Q1004" s="77" t="s">
        <v>1389</v>
      </c>
      <c r="R1004" s="77">
        <v>0</v>
      </c>
      <c r="S1004" s="77">
        <v>0</v>
      </c>
      <c r="T1004" s="77">
        <v>1</v>
      </c>
      <c r="U1004" s="77">
        <v>0</v>
      </c>
      <c r="V1004" s="77"/>
      <c r="W1004" s="81" t="s">
        <v>1880</v>
      </c>
      <c r="X1004" s="80" t="str">
        <f>HYPERLINK("https://www.inovies.com")</f>
        <v>https://www.inovies.com</v>
      </c>
      <c r="Y1004" s="77" t="s">
        <v>1982</v>
      </c>
      <c r="Z1004" s="77"/>
      <c r="AA1004" s="77"/>
      <c r="AB1004" s="77"/>
      <c r="AC1004" s="81" t="s">
        <v>2707</v>
      </c>
      <c r="AD1004" s="77" t="s">
        <v>2751</v>
      </c>
      <c r="AE1004" s="80" t="str">
        <f>HYPERLINK("https://twitter.com/inovies/status/1734115781259018748")</f>
        <v>https://twitter.com/inovies/status/1734115781259018748</v>
      </c>
      <c r="AF1004" s="79">
        <v>45271.319386574076</v>
      </c>
      <c r="AG1004" s="85">
        <v>45271</v>
      </c>
      <c r="AH1004" s="81" t="s">
        <v>3585</v>
      </c>
      <c r="AI1004" s="77" t="b">
        <v>0</v>
      </c>
      <c r="AJ1004" s="77"/>
      <c r="AK1004" s="77"/>
      <c r="AL1004" s="77"/>
      <c r="AM1004" s="77"/>
      <c r="AN1004" s="77"/>
      <c r="AO1004" s="77"/>
      <c r="AP1004" s="77"/>
      <c r="AQ1004" s="77"/>
      <c r="AR1004" s="77"/>
      <c r="AS1004" s="77"/>
      <c r="AT1004" s="77"/>
      <c r="AU1004" s="77"/>
      <c r="AV1004" s="80" t="str">
        <f>HYPERLINK("https://pbs.twimg.com/profile_images/833576943677214720/5ZyUgpEJ_normal.jpg")</f>
        <v>https://pbs.twimg.com/profile_images/833576943677214720/5ZyUgpEJ_normal.jpg</v>
      </c>
      <c r="AW1004" s="81" t="s">
        <v>5348</v>
      </c>
      <c r="AX1004" s="81" t="s">
        <v>5610</v>
      </c>
      <c r="AY1004" s="81" t="s">
        <v>5721</v>
      </c>
      <c r="AZ1004" s="81" t="s">
        <v>5349</v>
      </c>
      <c r="BA1004" s="81" t="s">
        <v>5773</v>
      </c>
      <c r="BB1004" s="81" t="s">
        <v>5773</v>
      </c>
      <c r="BC1004" s="81" t="s">
        <v>5349</v>
      </c>
      <c r="BD1004" s="77">
        <v>297885438</v>
      </c>
      <c r="BE1004" s="77"/>
      <c r="BF1004" s="77"/>
      <c r="BG1004" s="77"/>
      <c r="BH1004" s="77"/>
      <c r="BI1004" s="77"/>
    </row>
    <row r="1005" spans="1:61" ht="15">
      <c r="A1005" s="62" t="s">
        <v>299</v>
      </c>
      <c r="B1005" s="62" t="s">
        <v>299</v>
      </c>
      <c r="C1005" s="63"/>
      <c r="D1005" s="64"/>
      <c r="E1005" s="65"/>
      <c r="F1005" s="66"/>
      <c r="G1005" s="63"/>
      <c r="H1005" s="67"/>
      <c r="I1005" s="68"/>
      <c r="J1005" s="68"/>
      <c r="K1005" s="32" t="s">
        <v>65</v>
      </c>
      <c r="L1005" s="75">
        <v>1005</v>
      </c>
      <c r="M1005" s="75"/>
      <c r="N1005" s="70"/>
      <c r="O1005" s="77" t="s">
        <v>572</v>
      </c>
      <c r="P1005" s="79">
        <v>45271.319375</v>
      </c>
      <c r="Q1005" s="77" t="s">
        <v>1390</v>
      </c>
      <c r="R1005" s="77">
        <v>0</v>
      </c>
      <c r="S1005" s="77">
        <v>0</v>
      </c>
      <c r="T1005" s="77">
        <v>1</v>
      </c>
      <c r="U1005" s="77">
        <v>0</v>
      </c>
      <c r="V1005" s="77">
        <v>1</v>
      </c>
      <c r="W1005" s="81" t="s">
        <v>1880</v>
      </c>
      <c r="X1005" s="80" t="str">
        <f>HYPERLINK("https://www.inovies.com")</f>
        <v>https://www.inovies.com</v>
      </c>
      <c r="Y1005" s="77" t="s">
        <v>1982</v>
      </c>
      <c r="Z1005" s="77"/>
      <c r="AA1005" s="77"/>
      <c r="AB1005" s="77"/>
      <c r="AC1005" s="81" t="s">
        <v>2707</v>
      </c>
      <c r="AD1005" s="77" t="s">
        <v>2751</v>
      </c>
      <c r="AE1005" s="80" t="str">
        <f>HYPERLINK("https://twitter.com/inovies/status/1734115778243264633")</f>
        <v>https://twitter.com/inovies/status/1734115778243264633</v>
      </c>
      <c r="AF1005" s="79">
        <v>45271.319375</v>
      </c>
      <c r="AG1005" s="85">
        <v>45271</v>
      </c>
      <c r="AH1005" s="81" t="s">
        <v>3586</v>
      </c>
      <c r="AI1005" s="77" t="b">
        <v>0</v>
      </c>
      <c r="AJ1005" s="77"/>
      <c r="AK1005" s="77"/>
      <c r="AL1005" s="77"/>
      <c r="AM1005" s="77"/>
      <c r="AN1005" s="77"/>
      <c r="AO1005" s="77"/>
      <c r="AP1005" s="77"/>
      <c r="AQ1005" s="77"/>
      <c r="AR1005" s="77"/>
      <c r="AS1005" s="77"/>
      <c r="AT1005" s="77"/>
      <c r="AU1005" s="77"/>
      <c r="AV1005" s="80" t="str">
        <f>HYPERLINK("https://pbs.twimg.com/profile_images/833576943677214720/5ZyUgpEJ_normal.jpg")</f>
        <v>https://pbs.twimg.com/profile_images/833576943677214720/5ZyUgpEJ_normal.jpg</v>
      </c>
      <c r="AW1005" s="81" t="s">
        <v>5349</v>
      </c>
      <c r="AX1005" s="81" t="s">
        <v>5610</v>
      </c>
      <c r="AY1005" s="81" t="s">
        <v>5721</v>
      </c>
      <c r="AZ1005" s="81" t="s">
        <v>5350</v>
      </c>
      <c r="BA1005" s="81" t="s">
        <v>5773</v>
      </c>
      <c r="BB1005" s="81" t="s">
        <v>5773</v>
      </c>
      <c r="BC1005" s="81" t="s">
        <v>5350</v>
      </c>
      <c r="BD1005" s="77">
        <v>297885438</v>
      </c>
      <c r="BE1005" s="77"/>
      <c r="BF1005" s="77"/>
      <c r="BG1005" s="77"/>
      <c r="BH1005" s="77"/>
      <c r="BI1005" s="77"/>
    </row>
    <row r="1006" spans="1:61" ht="15">
      <c r="A1006" s="62" t="s">
        <v>299</v>
      </c>
      <c r="B1006" s="62" t="s">
        <v>299</v>
      </c>
      <c r="C1006" s="63"/>
      <c r="D1006" s="64"/>
      <c r="E1006" s="65"/>
      <c r="F1006" s="66"/>
      <c r="G1006" s="63"/>
      <c r="H1006" s="67"/>
      <c r="I1006" s="68"/>
      <c r="J1006" s="68"/>
      <c r="K1006" s="32" t="s">
        <v>65</v>
      </c>
      <c r="L1006" s="75">
        <v>1006</v>
      </c>
      <c r="M1006" s="75"/>
      <c r="N1006" s="70"/>
      <c r="O1006" s="77" t="s">
        <v>572</v>
      </c>
      <c r="P1006" s="79">
        <v>45271.31936342592</v>
      </c>
      <c r="Q1006" s="77" t="s">
        <v>1391</v>
      </c>
      <c r="R1006" s="77">
        <v>0</v>
      </c>
      <c r="S1006" s="77">
        <v>0</v>
      </c>
      <c r="T1006" s="77">
        <v>1</v>
      </c>
      <c r="U1006" s="77">
        <v>0</v>
      </c>
      <c r="V1006" s="77">
        <v>4</v>
      </c>
      <c r="W1006" s="81" t="s">
        <v>1880</v>
      </c>
      <c r="X1006" s="80" t="str">
        <f>HYPERLINK("https://www.inovies.com")</f>
        <v>https://www.inovies.com</v>
      </c>
      <c r="Y1006" s="77" t="s">
        <v>1982</v>
      </c>
      <c r="Z1006" s="77"/>
      <c r="AA1006" s="77"/>
      <c r="AB1006" s="77"/>
      <c r="AC1006" s="81" t="s">
        <v>2707</v>
      </c>
      <c r="AD1006" s="77" t="s">
        <v>2751</v>
      </c>
      <c r="AE1006" s="80" t="str">
        <f>HYPERLINK("https://twitter.com/inovies/status/1734115776120910004")</f>
        <v>https://twitter.com/inovies/status/1734115776120910004</v>
      </c>
      <c r="AF1006" s="79">
        <v>45271.31936342592</v>
      </c>
      <c r="AG1006" s="85">
        <v>45271</v>
      </c>
      <c r="AH1006" s="81" t="s">
        <v>3376</v>
      </c>
      <c r="AI1006" s="77" t="b">
        <v>0</v>
      </c>
      <c r="AJ1006" s="77"/>
      <c r="AK1006" s="77"/>
      <c r="AL1006" s="77"/>
      <c r="AM1006" s="77"/>
      <c r="AN1006" s="77"/>
      <c r="AO1006" s="77"/>
      <c r="AP1006" s="77"/>
      <c r="AQ1006" s="77"/>
      <c r="AR1006" s="77"/>
      <c r="AS1006" s="77"/>
      <c r="AT1006" s="77"/>
      <c r="AU1006" s="77"/>
      <c r="AV1006" s="80" t="str">
        <f>HYPERLINK("https://pbs.twimg.com/profile_images/833576943677214720/5ZyUgpEJ_normal.jpg")</f>
        <v>https://pbs.twimg.com/profile_images/833576943677214720/5ZyUgpEJ_normal.jpg</v>
      </c>
      <c r="AW1006" s="81" t="s">
        <v>5350</v>
      </c>
      <c r="AX1006" s="81" t="s">
        <v>5610</v>
      </c>
      <c r="AY1006" s="81" t="s">
        <v>5721</v>
      </c>
      <c r="AZ1006" s="81" t="s">
        <v>5122</v>
      </c>
      <c r="BA1006" s="81" t="s">
        <v>5773</v>
      </c>
      <c r="BB1006" s="81" t="s">
        <v>5773</v>
      </c>
      <c r="BC1006" s="81" t="s">
        <v>5122</v>
      </c>
      <c r="BD1006" s="77">
        <v>297885438</v>
      </c>
      <c r="BE1006" s="77"/>
      <c r="BF1006" s="77"/>
      <c r="BG1006" s="77"/>
      <c r="BH1006" s="77"/>
      <c r="BI1006" s="77"/>
    </row>
    <row r="1007" spans="1:61" ht="15">
      <c r="A1007" s="62" t="s">
        <v>299</v>
      </c>
      <c r="B1007" s="62" t="s">
        <v>299</v>
      </c>
      <c r="C1007" s="63"/>
      <c r="D1007" s="64"/>
      <c r="E1007" s="65"/>
      <c r="F1007" s="66"/>
      <c r="G1007" s="63"/>
      <c r="H1007" s="67"/>
      <c r="I1007" s="68"/>
      <c r="J1007" s="68"/>
      <c r="K1007" s="32" t="s">
        <v>65</v>
      </c>
      <c r="L1007" s="75">
        <v>1007</v>
      </c>
      <c r="M1007" s="75"/>
      <c r="N1007" s="70"/>
      <c r="O1007" s="77" t="s">
        <v>572</v>
      </c>
      <c r="P1007" s="79">
        <v>45271.31104166667</v>
      </c>
      <c r="Q1007" s="77" t="s">
        <v>1392</v>
      </c>
      <c r="R1007" s="77">
        <v>0</v>
      </c>
      <c r="S1007" s="77">
        <v>0</v>
      </c>
      <c r="T1007" s="77">
        <v>1</v>
      </c>
      <c r="U1007" s="77">
        <v>0</v>
      </c>
      <c r="V1007" s="77">
        <v>1</v>
      </c>
      <c r="W1007" s="81" t="s">
        <v>1880</v>
      </c>
      <c r="X1007" s="77"/>
      <c r="Y1007" s="77"/>
      <c r="Z1007" s="77"/>
      <c r="AA1007" s="77"/>
      <c r="AB1007" s="77"/>
      <c r="AC1007" s="81" t="s">
        <v>2707</v>
      </c>
      <c r="AD1007" s="77" t="s">
        <v>2751</v>
      </c>
      <c r="AE1007" s="80" t="str">
        <f>HYPERLINK("https://twitter.com/inovies/status/1734112757367062703")</f>
        <v>https://twitter.com/inovies/status/1734112757367062703</v>
      </c>
      <c r="AF1007" s="79">
        <v>45271.31104166667</v>
      </c>
      <c r="AG1007" s="85">
        <v>45271</v>
      </c>
      <c r="AH1007" s="81" t="s">
        <v>3587</v>
      </c>
      <c r="AI1007" s="77"/>
      <c r="AJ1007" s="77"/>
      <c r="AK1007" s="77"/>
      <c r="AL1007" s="77"/>
      <c r="AM1007" s="77"/>
      <c r="AN1007" s="77"/>
      <c r="AO1007" s="77"/>
      <c r="AP1007" s="77"/>
      <c r="AQ1007" s="77"/>
      <c r="AR1007" s="77"/>
      <c r="AS1007" s="77"/>
      <c r="AT1007" s="77"/>
      <c r="AU1007" s="77"/>
      <c r="AV1007" s="80" t="str">
        <f>HYPERLINK("https://pbs.twimg.com/profile_images/833576943677214720/5ZyUgpEJ_normal.jpg")</f>
        <v>https://pbs.twimg.com/profile_images/833576943677214720/5ZyUgpEJ_normal.jpg</v>
      </c>
      <c r="AW1007" s="81" t="s">
        <v>5351</v>
      </c>
      <c r="AX1007" s="81" t="s">
        <v>5129</v>
      </c>
      <c r="AY1007" s="81" t="s">
        <v>5721</v>
      </c>
      <c r="AZ1007" s="81" t="s">
        <v>5352</v>
      </c>
      <c r="BA1007" s="81" t="s">
        <v>5773</v>
      </c>
      <c r="BB1007" s="81" t="s">
        <v>5773</v>
      </c>
      <c r="BC1007" s="81" t="s">
        <v>5352</v>
      </c>
      <c r="BD1007" s="77">
        <v>297885438</v>
      </c>
      <c r="BE1007" s="77"/>
      <c r="BF1007" s="77"/>
      <c r="BG1007" s="77"/>
      <c r="BH1007" s="77"/>
      <c r="BI1007" s="77"/>
    </row>
    <row r="1008" spans="1:61" ht="15">
      <c r="A1008" s="62" t="s">
        <v>299</v>
      </c>
      <c r="B1008" s="62" t="s">
        <v>299</v>
      </c>
      <c r="C1008" s="63"/>
      <c r="D1008" s="64"/>
      <c r="E1008" s="65"/>
      <c r="F1008" s="66"/>
      <c r="G1008" s="63"/>
      <c r="H1008" s="67"/>
      <c r="I1008" s="68"/>
      <c r="J1008" s="68"/>
      <c r="K1008" s="32" t="s">
        <v>65</v>
      </c>
      <c r="L1008" s="75">
        <v>1008</v>
      </c>
      <c r="M1008" s="75"/>
      <c r="N1008" s="70"/>
      <c r="O1008" s="77" t="s">
        <v>572</v>
      </c>
      <c r="P1008" s="79">
        <v>45271.31103009259</v>
      </c>
      <c r="Q1008" s="77" t="s">
        <v>1393</v>
      </c>
      <c r="R1008" s="77">
        <v>0</v>
      </c>
      <c r="S1008" s="77">
        <v>0</v>
      </c>
      <c r="T1008" s="77">
        <v>1</v>
      </c>
      <c r="U1008" s="77">
        <v>0</v>
      </c>
      <c r="V1008" s="77">
        <v>1</v>
      </c>
      <c r="W1008" s="81" t="s">
        <v>1880</v>
      </c>
      <c r="X1008" s="77"/>
      <c r="Y1008" s="77"/>
      <c r="Z1008" s="77"/>
      <c r="AA1008" s="77"/>
      <c r="AB1008" s="77"/>
      <c r="AC1008" s="81" t="s">
        <v>2707</v>
      </c>
      <c r="AD1008" s="77" t="s">
        <v>2751</v>
      </c>
      <c r="AE1008" s="80" t="str">
        <f>HYPERLINK("https://twitter.com/inovies/status/1734112754909258133")</f>
        <v>https://twitter.com/inovies/status/1734112754909258133</v>
      </c>
      <c r="AF1008" s="79">
        <v>45271.31103009259</v>
      </c>
      <c r="AG1008" s="85">
        <v>45271</v>
      </c>
      <c r="AH1008" s="81" t="s">
        <v>3588</v>
      </c>
      <c r="AI1008" s="77"/>
      <c r="AJ1008" s="77"/>
      <c r="AK1008" s="77"/>
      <c r="AL1008" s="77"/>
      <c r="AM1008" s="77"/>
      <c r="AN1008" s="77"/>
      <c r="AO1008" s="77"/>
      <c r="AP1008" s="77"/>
      <c r="AQ1008" s="77"/>
      <c r="AR1008" s="77"/>
      <c r="AS1008" s="77"/>
      <c r="AT1008" s="77"/>
      <c r="AU1008" s="77"/>
      <c r="AV1008" s="80" t="str">
        <f>HYPERLINK("https://pbs.twimg.com/profile_images/833576943677214720/5ZyUgpEJ_normal.jpg")</f>
        <v>https://pbs.twimg.com/profile_images/833576943677214720/5ZyUgpEJ_normal.jpg</v>
      </c>
      <c r="AW1008" s="81" t="s">
        <v>5352</v>
      </c>
      <c r="AX1008" s="81" t="s">
        <v>5129</v>
      </c>
      <c r="AY1008" s="81" t="s">
        <v>5721</v>
      </c>
      <c r="AZ1008" s="81" t="s">
        <v>5353</v>
      </c>
      <c r="BA1008" s="81" t="s">
        <v>5773</v>
      </c>
      <c r="BB1008" s="81" t="s">
        <v>5773</v>
      </c>
      <c r="BC1008" s="81" t="s">
        <v>5353</v>
      </c>
      <c r="BD1008" s="77">
        <v>297885438</v>
      </c>
      <c r="BE1008" s="77"/>
      <c r="BF1008" s="77"/>
      <c r="BG1008" s="77"/>
      <c r="BH1008" s="77"/>
      <c r="BI1008" s="77"/>
    </row>
    <row r="1009" spans="1:61" ht="15">
      <c r="A1009" s="62" t="s">
        <v>299</v>
      </c>
      <c r="B1009" s="62" t="s">
        <v>299</v>
      </c>
      <c r="C1009" s="63"/>
      <c r="D1009" s="64"/>
      <c r="E1009" s="65"/>
      <c r="F1009" s="66"/>
      <c r="G1009" s="63"/>
      <c r="H1009" s="67"/>
      <c r="I1009" s="68"/>
      <c r="J1009" s="68"/>
      <c r="K1009" s="32" t="s">
        <v>65</v>
      </c>
      <c r="L1009" s="75">
        <v>1009</v>
      </c>
      <c r="M1009" s="75"/>
      <c r="N1009" s="70"/>
      <c r="O1009" s="77" t="s">
        <v>572</v>
      </c>
      <c r="P1009" s="79">
        <v>45271.31103009259</v>
      </c>
      <c r="Q1009" s="77" t="s">
        <v>1394</v>
      </c>
      <c r="R1009" s="77">
        <v>0</v>
      </c>
      <c r="S1009" s="77">
        <v>0</v>
      </c>
      <c r="T1009" s="77">
        <v>1</v>
      </c>
      <c r="U1009" s="77">
        <v>0</v>
      </c>
      <c r="V1009" s="77">
        <v>1</v>
      </c>
      <c r="W1009" s="81" t="s">
        <v>1880</v>
      </c>
      <c r="X1009" s="77"/>
      <c r="Y1009" s="77"/>
      <c r="Z1009" s="77"/>
      <c r="AA1009" s="77"/>
      <c r="AB1009" s="77"/>
      <c r="AC1009" s="81" t="s">
        <v>2707</v>
      </c>
      <c r="AD1009" s="77" t="s">
        <v>2751</v>
      </c>
      <c r="AE1009" s="80" t="str">
        <f>HYPERLINK("https://twitter.com/inovies/status/1734112752644358161")</f>
        <v>https://twitter.com/inovies/status/1734112752644358161</v>
      </c>
      <c r="AF1009" s="79">
        <v>45271.31103009259</v>
      </c>
      <c r="AG1009" s="85">
        <v>45271</v>
      </c>
      <c r="AH1009" s="81" t="s">
        <v>3588</v>
      </c>
      <c r="AI1009" s="77"/>
      <c r="AJ1009" s="77"/>
      <c r="AK1009" s="77"/>
      <c r="AL1009" s="77"/>
      <c r="AM1009" s="77"/>
      <c r="AN1009" s="77"/>
      <c r="AO1009" s="77"/>
      <c r="AP1009" s="77"/>
      <c r="AQ1009" s="77"/>
      <c r="AR1009" s="77"/>
      <c r="AS1009" s="77"/>
      <c r="AT1009" s="77"/>
      <c r="AU1009" s="77"/>
      <c r="AV1009" s="80" t="str">
        <f>HYPERLINK("https://pbs.twimg.com/profile_images/833576943677214720/5ZyUgpEJ_normal.jpg")</f>
        <v>https://pbs.twimg.com/profile_images/833576943677214720/5ZyUgpEJ_normal.jpg</v>
      </c>
      <c r="AW1009" s="81" t="s">
        <v>5353</v>
      </c>
      <c r="AX1009" s="81" t="s">
        <v>5129</v>
      </c>
      <c r="AY1009" s="81" t="s">
        <v>5721</v>
      </c>
      <c r="AZ1009" s="81" t="s">
        <v>5354</v>
      </c>
      <c r="BA1009" s="81" t="s">
        <v>5773</v>
      </c>
      <c r="BB1009" s="81" t="s">
        <v>5773</v>
      </c>
      <c r="BC1009" s="81" t="s">
        <v>5354</v>
      </c>
      <c r="BD1009" s="77">
        <v>297885438</v>
      </c>
      <c r="BE1009" s="77"/>
      <c r="BF1009" s="77"/>
      <c r="BG1009" s="77"/>
      <c r="BH1009" s="77"/>
      <c r="BI1009" s="77"/>
    </row>
    <row r="1010" spans="1:61" ht="15">
      <c r="A1010" s="62" t="s">
        <v>299</v>
      </c>
      <c r="B1010" s="62" t="s">
        <v>299</v>
      </c>
      <c r="C1010" s="63"/>
      <c r="D1010" s="64"/>
      <c r="E1010" s="65"/>
      <c r="F1010" s="66"/>
      <c r="G1010" s="63"/>
      <c r="H1010" s="67"/>
      <c r="I1010" s="68"/>
      <c r="J1010" s="68"/>
      <c r="K1010" s="32" t="s">
        <v>65</v>
      </c>
      <c r="L1010" s="75">
        <v>1010</v>
      </c>
      <c r="M1010" s="75"/>
      <c r="N1010" s="70"/>
      <c r="O1010" s="77" t="s">
        <v>572</v>
      </c>
      <c r="P1010" s="79">
        <v>45271.31101851852</v>
      </c>
      <c r="Q1010" s="77" t="s">
        <v>1395</v>
      </c>
      <c r="R1010" s="77">
        <v>0</v>
      </c>
      <c r="S1010" s="77">
        <v>0</v>
      </c>
      <c r="T1010" s="77">
        <v>1</v>
      </c>
      <c r="U1010" s="77">
        <v>0</v>
      </c>
      <c r="V1010" s="77">
        <v>1</v>
      </c>
      <c r="W1010" s="81" t="s">
        <v>1880</v>
      </c>
      <c r="X1010" s="77"/>
      <c r="Y1010" s="77"/>
      <c r="Z1010" s="77"/>
      <c r="AA1010" s="77"/>
      <c r="AB1010" s="77"/>
      <c r="AC1010" s="81" t="s">
        <v>2707</v>
      </c>
      <c r="AD1010" s="77" t="s">
        <v>2751</v>
      </c>
      <c r="AE1010" s="80" t="str">
        <f>HYPERLINK("https://twitter.com/inovies/status/1734112750589124894")</f>
        <v>https://twitter.com/inovies/status/1734112750589124894</v>
      </c>
      <c r="AF1010" s="79">
        <v>45271.31101851852</v>
      </c>
      <c r="AG1010" s="85">
        <v>45271</v>
      </c>
      <c r="AH1010" s="81" t="s">
        <v>3380</v>
      </c>
      <c r="AI1010" s="77"/>
      <c r="AJ1010" s="77"/>
      <c r="AK1010" s="77"/>
      <c r="AL1010" s="77"/>
      <c r="AM1010" s="77"/>
      <c r="AN1010" s="77"/>
      <c r="AO1010" s="77"/>
      <c r="AP1010" s="77"/>
      <c r="AQ1010" s="77"/>
      <c r="AR1010" s="77"/>
      <c r="AS1010" s="77"/>
      <c r="AT1010" s="77"/>
      <c r="AU1010" s="77"/>
      <c r="AV1010" s="80" t="str">
        <f>HYPERLINK("https://pbs.twimg.com/profile_images/833576943677214720/5ZyUgpEJ_normal.jpg")</f>
        <v>https://pbs.twimg.com/profile_images/833576943677214720/5ZyUgpEJ_normal.jpg</v>
      </c>
      <c r="AW1010" s="81" t="s">
        <v>5354</v>
      </c>
      <c r="AX1010" s="81" t="s">
        <v>5129</v>
      </c>
      <c r="AY1010" s="81" t="s">
        <v>5721</v>
      </c>
      <c r="AZ1010" s="81" t="s">
        <v>5126</v>
      </c>
      <c r="BA1010" s="81" t="s">
        <v>5773</v>
      </c>
      <c r="BB1010" s="81" t="s">
        <v>5773</v>
      </c>
      <c r="BC1010" s="81" t="s">
        <v>5126</v>
      </c>
      <c r="BD1010" s="77">
        <v>297885438</v>
      </c>
      <c r="BE1010" s="77"/>
      <c r="BF1010" s="77"/>
      <c r="BG1010" s="77"/>
      <c r="BH1010" s="77"/>
      <c r="BI1010" s="77"/>
    </row>
    <row r="1011" spans="1:61" ht="15">
      <c r="A1011" s="62" t="s">
        <v>299</v>
      </c>
      <c r="B1011" s="62" t="s">
        <v>299</v>
      </c>
      <c r="C1011" s="63"/>
      <c r="D1011" s="64"/>
      <c r="E1011" s="65"/>
      <c r="F1011" s="66"/>
      <c r="G1011" s="63"/>
      <c r="H1011" s="67"/>
      <c r="I1011" s="68"/>
      <c r="J1011" s="68"/>
      <c r="K1011" s="32" t="s">
        <v>65</v>
      </c>
      <c r="L1011" s="75">
        <v>1011</v>
      </c>
      <c r="M1011" s="75"/>
      <c r="N1011" s="70"/>
      <c r="O1011" s="77" t="s">
        <v>571</v>
      </c>
      <c r="P1011" s="79">
        <v>42975.310625</v>
      </c>
      <c r="Q1011" s="77" t="s">
        <v>1396</v>
      </c>
      <c r="R1011" s="77">
        <v>0</v>
      </c>
      <c r="S1011" s="77">
        <v>0</v>
      </c>
      <c r="T1011" s="77">
        <v>0</v>
      </c>
      <c r="U1011" s="77">
        <v>0</v>
      </c>
      <c r="V1011" s="77"/>
      <c r="W1011" s="81" t="s">
        <v>1917</v>
      </c>
      <c r="X1011" s="77"/>
      <c r="Y1011" s="77"/>
      <c r="Z1011" s="77" t="s">
        <v>299</v>
      </c>
      <c r="AA1011" s="77"/>
      <c r="AB1011" s="77"/>
      <c r="AC1011" s="81" t="s">
        <v>2705</v>
      </c>
      <c r="AD1011" s="77" t="s">
        <v>2751</v>
      </c>
      <c r="AE1011" s="80" t="str">
        <f>HYPERLINK("https://twitter.com/inovies/status/902070068443525120")</f>
        <v>https://twitter.com/inovies/status/902070068443525120</v>
      </c>
      <c r="AF1011" s="79">
        <v>42975.310625</v>
      </c>
      <c r="AG1011" s="85">
        <v>42975</v>
      </c>
      <c r="AH1011" s="81" t="s">
        <v>3589</v>
      </c>
      <c r="AI1011" s="77"/>
      <c r="AJ1011" s="77" t="s">
        <v>3887</v>
      </c>
      <c r="AK1011" s="77" t="s">
        <v>3889</v>
      </c>
      <c r="AL1011" s="77" t="s">
        <v>3892</v>
      </c>
      <c r="AM1011" s="77" t="s">
        <v>3889</v>
      </c>
      <c r="AN1011" s="77" t="s">
        <v>3908</v>
      </c>
      <c r="AO1011" s="77" t="s">
        <v>3889</v>
      </c>
      <c r="AP1011" s="77" t="s">
        <v>3919</v>
      </c>
      <c r="AQ1011" s="77"/>
      <c r="AR1011" s="77"/>
      <c r="AS1011" s="77"/>
      <c r="AT1011" s="77"/>
      <c r="AU1011" s="77"/>
      <c r="AV1011" s="80" t="str">
        <f>HYPERLINK("https://pbs.twimg.com/profile_images/833576943677214720/5ZyUgpEJ_normal.jpg")</f>
        <v>https://pbs.twimg.com/profile_images/833576943677214720/5ZyUgpEJ_normal.jpg</v>
      </c>
      <c r="AW1011" s="81" t="s">
        <v>5355</v>
      </c>
      <c r="AX1011" s="81" t="s">
        <v>5355</v>
      </c>
      <c r="AY1011" s="77"/>
      <c r="AZ1011" s="81" t="s">
        <v>5773</v>
      </c>
      <c r="BA1011" s="81" t="s">
        <v>5773</v>
      </c>
      <c r="BB1011" s="81" t="s">
        <v>5773</v>
      </c>
      <c r="BC1011" s="81" t="s">
        <v>5355</v>
      </c>
      <c r="BD1011" s="77">
        <v>297885438</v>
      </c>
      <c r="BE1011" s="77"/>
      <c r="BF1011" s="77"/>
      <c r="BG1011" s="77"/>
      <c r="BH1011" s="77"/>
      <c r="BI1011" s="77"/>
    </row>
    <row r="1012" spans="1:61" ht="15">
      <c r="A1012" s="62" t="s">
        <v>299</v>
      </c>
      <c r="B1012" s="62" t="s">
        <v>299</v>
      </c>
      <c r="C1012" s="63"/>
      <c r="D1012" s="64"/>
      <c r="E1012" s="65"/>
      <c r="F1012" s="66"/>
      <c r="G1012" s="63"/>
      <c r="H1012" s="67"/>
      <c r="I1012" s="68"/>
      <c r="J1012" s="68"/>
      <c r="K1012" s="32" t="s">
        <v>65</v>
      </c>
      <c r="L1012" s="75">
        <v>1012</v>
      </c>
      <c r="M1012" s="75"/>
      <c r="N1012" s="70"/>
      <c r="O1012" s="77" t="s">
        <v>179</v>
      </c>
      <c r="P1012" s="79">
        <v>42975.18488425926</v>
      </c>
      <c r="Q1012" s="77" t="s">
        <v>1397</v>
      </c>
      <c r="R1012" s="77">
        <v>0</v>
      </c>
      <c r="S1012" s="77">
        <v>1</v>
      </c>
      <c r="T1012" s="77">
        <v>0</v>
      </c>
      <c r="U1012" s="77">
        <v>0</v>
      </c>
      <c r="V1012" s="77"/>
      <c r="W1012" s="81" t="s">
        <v>1918</v>
      </c>
      <c r="X1012" s="77"/>
      <c r="Y1012" s="77"/>
      <c r="Z1012" s="77"/>
      <c r="AA1012" s="77" t="s">
        <v>2481</v>
      </c>
      <c r="AB1012" s="77" t="s">
        <v>2696</v>
      </c>
      <c r="AC1012" s="81" t="s">
        <v>2705</v>
      </c>
      <c r="AD1012" s="77" t="s">
        <v>2751</v>
      </c>
      <c r="AE1012" s="80" t="str">
        <f>HYPERLINK("https://twitter.com/inovies/status/902024499704586240")</f>
        <v>https://twitter.com/inovies/status/902024499704586240</v>
      </c>
      <c r="AF1012" s="79">
        <v>42975.18488425926</v>
      </c>
      <c r="AG1012" s="85">
        <v>42975</v>
      </c>
      <c r="AH1012" s="81" t="s">
        <v>3590</v>
      </c>
      <c r="AI1012" s="77" t="b">
        <v>0</v>
      </c>
      <c r="AJ1012" s="77"/>
      <c r="AK1012" s="77"/>
      <c r="AL1012" s="77"/>
      <c r="AM1012" s="77"/>
      <c r="AN1012" s="77"/>
      <c r="AO1012" s="77"/>
      <c r="AP1012" s="77"/>
      <c r="AQ1012" s="77" t="s">
        <v>4295</v>
      </c>
      <c r="AR1012" s="77"/>
      <c r="AS1012" s="77"/>
      <c r="AT1012" s="77"/>
      <c r="AU1012" s="77"/>
      <c r="AV1012" s="80" t="str">
        <f>HYPERLINK("https://pbs.twimg.com/media/DISiVX3UMAA6otC.jpg")</f>
        <v>https://pbs.twimg.com/media/DISiVX3UMAA6otC.jpg</v>
      </c>
      <c r="AW1012" s="81" t="s">
        <v>5356</v>
      </c>
      <c r="AX1012" s="81" t="s">
        <v>5356</v>
      </c>
      <c r="AY1012" s="77"/>
      <c r="AZ1012" s="81" t="s">
        <v>5773</v>
      </c>
      <c r="BA1012" s="81" t="s">
        <v>5773</v>
      </c>
      <c r="BB1012" s="81" t="s">
        <v>5773</v>
      </c>
      <c r="BC1012" s="81" t="s">
        <v>5356</v>
      </c>
      <c r="BD1012" s="77">
        <v>297885438</v>
      </c>
      <c r="BE1012" s="77"/>
      <c r="BF1012" s="77"/>
      <c r="BG1012" s="77"/>
      <c r="BH1012" s="77"/>
      <c r="BI1012" s="77"/>
    </row>
    <row r="1013" spans="1:61" ht="15">
      <c r="A1013" s="62" t="s">
        <v>299</v>
      </c>
      <c r="B1013" s="62" t="s">
        <v>299</v>
      </c>
      <c r="C1013" s="63"/>
      <c r="D1013" s="64"/>
      <c r="E1013" s="65"/>
      <c r="F1013" s="66"/>
      <c r="G1013" s="63"/>
      <c r="H1013" s="67"/>
      <c r="I1013" s="68"/>
      <c r="J1013" s="68"/>
      <c r="K1013" s="32" t="s">
        <v>65</v>
      </c>
      <c r="L1013" s="75">
        <v>1013</v>
      </c>
      <c r="M1013" s="75"/>
      <c r="N1013" s="70"/>
      <c r="O1013" s="77" t="s">
        <v>179</v>
      </c>
      <c r="P1013" s="79">
        <v>42972.851643518516</v>
      </c>
      <c r="Q1013" s="77" t="s">
        <v>1398</v>
      </c>
      <c r="R1013" s="77">
        <v>1</v>
      </c>
      <c r="S1013" s="77">
        <v>0</v>
      </c>
      <c r="T1013" s="77">
        <v>0</v>
      </c>
      <c r="U1013" s="77">
        <v>0</v>
      </c>
      <c r="V1013" s="77"/>
      <c r="W1013" s="77"/>
      <c r="X1013" s="77"/>
      <c r="Y1013" s="77"/>
      <c r="Z1013" s="77"/>
      <c r="AA1013" s="77"/>
      <c r="AB1013" s="77"/>
      <c r="AC1013" s="81" t="s">
        <v>2704</v>
      </c>
      <c r="AD1013" s="77" t="s">
        <v>2751</v>
      </c>
      <c r="AE1013" s="80" t="str">
        <f>HYPERLINK("https://twitter.com/inovies/status/901178962713255936")</f>
        <v>https://twitter.com/inovies/status/901178962713255936</v>
      </c>
      <c r="AF1013" s="79">
        <v>42972.851643518516</v>
      </c>
      <c r="AG1013" s="85">
        <v>42972</v>
      </c>
      <c r="AH1013" s="81" t="s">
        <v>3591</v>
      </c>
      <c r="AI1013" s="77"/>
      <c r="AJ1013" s="77" t="s">
        <v>3888</v>
      </c>
      <c r="AK1013" s="77" t="s">
        <v>3889</v>
      </c>
      <c r="AL1013" s="77" t="s">
        <v>3892</v>
      </c>
      <c r="AM1013" s="77" t="s">
        <v>3901</v>
      </c>
      <c r="AN1013" s="77" t="s">
        <v>3909</v>
      </c>
      <c r="AO1013" s="77" t="s">
        <v>3916</v>
      </c>
      <c r="AP1013" s="77" t="s">
        <v>3920</v>
      </c>
      <c r="AQ1013" s="77"/>
      <c r="AR1013" s="77"/>
      <c r="AS1013" s="77"/>
      <c r="AT1013" s="77"/>
      <c r="AU1013" s="77"/>
      <c r="AV1013" s="80" t="str">
        <f>HYPERLINK("https://pbs.twimg.com/profile_images/833576943677214720/5ZyUgpEJ_normal.jpg")</f>
        <v>https://pbs.twimg.com/profile_images/833576943677214720/5ZyUgpEJ_normal.jpg</v>
      </c>
      <c r="AW1013" s="81" t="s">
        <v>5357</v>
      </c>
      <c r="AX1013" s="81" t="s">
        <v>5357</v>
      </c>
      <c r="AY1013" s="77"/>
      <c r="AZ1013" s="81" t="s">
        <v>5773</v>
      </c>
      <c r="BA1013" s="81" t="s">
        <v>5773</v>
      </c>
      <c r="BB1013" s="81" t="s">
        <v>5773</v>
      </c>
      <c r="BC1013" s="81" t="s">
        <v>5357</v>
      </c>
      <c r="BD1013" s="77">
        <v>297885438</v>
      </c>
      <c r="BE1013" s="77"/>
      <c r="BF1013" s="77"/>
      <c r="BG1013" s="77"/>
      <c r="BH1013" s="77"/>
      <c r="BI1013" s="77"/>
    </row>
    <row r="1014" spans="1:61" ht="15">
      <c r="A1014" s="62" t="s">
        <v>299</v>
      </c>
      <c r="B1014" s="62" t="s">
        <v>299</v>
      </c>
      <c r="C1014" s="63"/>
      <c r="D1014" s="64"/>
      <c r="E1014" s="65"/>
      <c r="F1014" s="66"/>
      <c r="G1014" s="63"/>
      <c r="H1014" s="67"/>
      <c r="I1014" s="68"/>
      <c r="J1014" s="68"/>
      <c r="K1014" s="32" t="s">
        <v>65</v>
      </c>
      <c r="L1014" s="75">
        <v>1014</v>
      </c>
      <c r="M1014" s="75"/>
      <c r="N1014" s="70"/>
      <c r="O1014" s="77" t="s">
        <v>179</v>
      </c>
      <c r="P1014" s="79">
        <v>42971.21402777778</v>
      </c>
      <c r="Q1014" s="77" t="s">
        <v>1399</v>
      </c>
      <c r="R1014" s="77">
        <v>0</v>
      </c>
      <c r="S1014" s="77">
        <v>0</v>
      </c>
      <c r="T1014" s="77">
        <v>0</v>
      </c>
      <c r="U1014" s="77">
        <v>0</v>
      </c>
      <c r="V1014" s="77"/>
      <c r="W1014" s="77"/>
      <c r="X1014" s="77"/>
      <c r="Y1014" s="77"/>
      <c r="Z1014" s="77"/>
      <c r="AA1014" s="77"/>
      <c r="AB1014" s="77"/>
      <c r="AC1014" s="81" t="s">
        <v>2705</v>
      </c>
      <c r="AD1014" s="77" t="s">
        <v>2751</v>
      </c>
      <c r="AE1014" s="80" t="str">
        <f>HYPERLINK("https://twitter.com/inovies/status/900585511252774912")</f>
        <v>https://twitter.com/inovies/status/900585511252774912</v>
      </c>
      <c r="AF1014" s="79">
        <v>42971.21402777778</v>
      </c>
      <c r="AG1014" s="85">
        <v>42971</v>
      </c>
      <c r="AH1014" s="81" t="s">
        <v>3592</v>
      </c>
      <c r="AI1014" s="77"/>
      <c r="AJ1014" s="77" t="s">
        <v>3887</v>
      </c>
      <c r="AK1014" s="77" t="s">
        <v>3889</v>
      </c>
      <c r="AL1014" s="77" t="s">
        <v>3892</v>
      </c>
      <c r="AM1014" s="77" t="s">
        <v>3889</v>
      </c>
      <c r="AN1014" s="77" t="s">
        <v>3908</v>
      </c>
      <c r="AO1014" s="77" t="s">
        <v>3889</v>
      </c>
      <c r="AP1014" s="77" t="s">
        <v>3919</v>
      </c>
      <c r="AQ1014" s="77"/>
      <c r="AR1014" s="77"/>
      <c r="AS1014" s="77"/>
      <c r="AT1014" s="77"/>
      <c r="AU1014" s="77"/>
      <c r="AV1014" s="80" t="str">
        <f>HYPERLINK("https://pbs.twimg.com/profile_images/833576943677214720/5ZyUgpEJ_normal.jpg")</f>
        <v>https://pbs.twimg.com/profile_images/833576943677214720/5ZyUgpEJ_normal.jpg</v>
      </c>
      <c r="AW1014" s="81" t="s">
        <v>5358</v>
      </c>
      <c r="AX1014" s="81" t="s">
        <v>5358</v>
      </c>
      <c r="AY1014" s="77"/>
      <c r="AZ1014" s="81" t="s">
        <v>5773</v>
      </c>
      <c r="BA1014" s="81" t="s">
        <v>5773</v>
      </c>
      <c r="BB1014" s="81" t="s">
        <v>5773</v>
      </c>
      <c r="BC1014" s="81" t="s">
        <v>5358</v>
      </c>
      <c r="BD1014" s="77">
        <v>297885438</v>
      </c>
      <c r="BE1014" s="77"/>
      <c r="BF1014" s="77"/>
      <c r="BG1014" s="77"/>
      <c r="BH1014" s="77"/>
      <c r="BI1014" s="77"/>
    </row>
    <row r="1015" spans="1:61" ht="15">
      <c r="A1015" s="62" t="s">
        <v>299</v>
      </c>
      <c r="B1015" s="62" t="s">
        <v>299</v>
      </c>
      <c r="C1015" s="63"/>
      <c r="D1015" s="64"/>
      <c r="E1015" s="65"/>
      <c r="F1015" s="66"/>
      <c r="G1015" s="63"/>
      <c r="H1015" s="67"/>
      <c r="I1015" s="68"/>
      <c r="J1015" s="68"/>
      <c r="K1015" s="32" t="s">
        <v>65</v>
      </c>
      <c r="L1015" s="75">
        <v>1015</v>
      </c>
      <c r="M1015" s="75"/>
      <c r="N1015" s="70"/>
      <c r="O1015" s="77" t="s">
        <v>571</v>
      </c>
      <c r="P1015" s="79">
        <v>42395.51111111111</v>
      </c>
      <c r="Q1015" s="77" t="s">
        <v>1400</v>
      </c>
      <c r="R1015" s="77">
        <v>0</v>
      </c>
      <c r="S1015" s="77">
        <v>0</v>
      </c>
      <c r="T1015" s="77">
        <v>0</v>
      </c>
      <c r="U1015" s="77">
        <v>0</v>
      </c>
      <c r="V1015" s="77"/>
      <c r="W1015" s="77"/>
      <c r="X1015" s="77"/>
      <c r="Y1015" s="77"/>
      <c r="Z1015" s="77" t="s">
        <v>299</v>
      </c>
      <c r="AA1015" s="77"/>
      <c r="AB1015" s="77"/>
      <c r="AC1015" s="81" t="s">
        <v>2705</v>
      </c>
      <c r="AD1015" s="77" t="s">
        <v>2751</v>
      </c>
      <c r="AE1015" s="80" t="str">
        <f>HYPERLINK("https://twitter.com/inovies/status/691957760871702529")</f>
        <v>https://twitter.com/inovies/status/691957760871702529</v>
      </c>
      <c r="AF1015" s="79">
        <v>42395.51111111111</v>
      </c>
      <c r="AG1015" s="85">
        <v>42395</v>
      </c>
      <c r="AH1015" s="81" t="s">
        <v>3593</v>
      </c>
      <c r="AI1015" s="77"/>
      <c r="AJ1015" s="77"/>
      <c r="AK1015" s="77"/>
      <c r="AL1015" s="77"/>
      <c r="AM1015" s="77"/>
      <c r="AN1015" s="77"/>
      <c r="AO1015" s="77"/>
      <c r="AP1015" s="77"/>
      <c r="AQ1015" s="77"/>
      <c r="AR1015" s="77"/>
      <c r="AS1015" s="77"/>
      <c r="AT1015" s="77"/>
      <c r="AU1015" s="77"/>
      <c r="AV1015" s="80" t="str">
        <f>HYPERLINK("https://pbs.twimg.com/profile_images/833576943677214720/5ZyUgpEJ_normal.jpg")</f>
        <v>https://pbs.twimg.com/profile_images/833576943677214720/5ZyUgpEJ_normal.jpg</v>
      </c>
      <c r="AW1015" s="81" t="s">
        <v>5359</v>
      </c>
      <c r="AX1015" s="81" t="s">
        <v>5359</v>
      </c>
      <c r="AY1015" s="77"/>
      <c r="AZ1015" s="81" t="s">
        <v>5773</v>
      </c>
      <c r="BA1015" s="81" t="s">
        <v>5773</v>
      </c>
      <c r="BB1015" s="81" t="s">
        <v>5773</v>
      </c>
      <c r="BC1015" s="81" t="s">
        <v>5359</v>
      </c>
      <c r="BD1015" s="77">
        <v>297885438</v>
      </c>
      <c r="BE1015" s="77"/>
      <c r="BF1015" s="77"/>
      <c r="BG1015" s="77"/>
      <c r="BH1015" s="77"/>
      <c r="BI1015" s="77"/>
    </row>
    <row r="1016" spans="1:61" ht="15">
      <c r="A1016" s="62" t="s">
        <v>299</v>
      </c>
      <c r="B1016" s="62" t="s">
        <v>299</v>
      </c>
      <c r="C1016" s="63"/>
      <c r="D1016" s="64"/>
      <c r="E1016" s="65"/>
      <c r="F1016" s="66"/>
      <c r="G1016" s="63"/>
      <c r="H1016" s="67"/>
      <c r="I1016" s="68"/>
      <c r="J1016" s="68"/>
      <c r="K1016" s="32" t="s">
        <v>65</v>
      </c>
      <c r="L1016" s="75">
        <v>1016</v>
      </c>
      <c r="M1016" s="75"/>
      <c r="N1016" s="70"/>
      <c r="O1016" s="77" t="s">
        <v>179</v>
      </c>
      <c r="P1016" s="79">
        <v>42395.50982638889</v>
      </c>
      <c r="Q1016" s="80" t="str">
        <f>HYPERLINK("https://t.co/ug1YiksPVG")</f>
        <v>https://t.co/ug1YiksPVG</v>
      </c>
      <c r="R1016" s="77">
        <v>0</v>
      </c>
      <c r="S1016" s="77">
        <v>0</v>
      </c>
      <c r="T1016" s="77">
        <v>0</v>
      </c>
      <c r="U1016" s="77">
        <v>0</v>
      </c>
      <c r="V1016" s="77"/>
      <c r="W1016" s="77"/>
      <c r="X1016" s="80" t="str">
        <f>HYPERLINK("http://www.inovies.com/insights-view-115-website-design-inovies-web-design-a-larger-online-space-even-for-your-smaller-business-needs.html")</f>
        <v>http://www.inovies.com/insights-view-115-website-design-inovies-web-design-a-larger-online-space-even-for-your-smaller-business-needs.html</v>
      </c>
      <c r="Y1016" s="77" t="s">
        <v>1982</v>
      </c>
      <c r="Z1016" s="77"/>
      <c r="AA1016" s="77"/>
      <c r="AB1016" s="77"/>
      <c r="AC1016" s="81" t="s">
        <v>2705</v>
      </c>
      <c r="AD1016" s="77" t="s">
        <v>2756</v>
      </c>
      <c r="AE1016" s="80" t="str">
        <f>HYPERLINK("https://twitter.com/inovies/status/691957295635308545")</f>
        <v>https://twitter.com/inovies/status/691957295635308545</v>
      </c>
      <c r="AF1016" s="79">
        <v>42395.50982638889</v>
      </c>
      <c r="AG1016" s="85">
        <v>42395</v>
      </c>
      <c r="AH1016" s="81" t="s">
        <v>3594</v>
      </c>
      <c r="AI1016" s="77" t="b">
        <v>0</v>
      </c>
      <c r="AJ1016" s="77"/>
      <c r="AK1016" s="77"/>
      <c r="AL1016" s="77"/>
      <c r="AM1016" s="77"/>
      <c r="AN1016" s="77"/>
      <c r="AO1016" s="77"/>
      <c r="AP1016" s="77"/>
      <c r="AQ1016" s="77"/>
      <c r="AR1016" s="77"/>
      <c r="AS1016" s="77"/>
      <c r="AT1016" s="77"/>
      <c r="AU1016" s="77"/>
      <c r="AV1016" s="80" t="str">
        <f>HYPERLINK("https://pbs.twimg.com/profile_images/833576943677214720/5ZyUgpEJ_normal.jpg")</f>
        <v>https://pbs.twimg.com/profile_images/833576943677214720/5ZyUgpEJ_normal.jpg</v>
      </c>
      <c r="AW1016" s="81" t="s">
        <v>5360</v>
      </c>
      <c r="AX1016" s="81" t="s">
        <v>5360</v>
      </c>
      <c r="AY1016" s="77"/>
      <c r="AZ1016" s="81" t="s">
        <v>5773</v>
      </c>
      <c r="BA1016" s="81" t="s">
        <v>5773</v>
      </c>
      <c r="BB1016" s="81" t="s">
        <v>5773</v>
      </c>
      <c r="BC1016" s="81" t="s">
        <v>5360</v>
      </c>
      <c r="BD1016" s="77">
        <v>297885438</v>
      </c>
      <c r="BE1016" s="77"/>
      <c r="BF1016" s="77"/>
      <c r="BG1016" s="77"/>
      <c r="BH1016" s="77"/>
      <c r="BI1016" s="77"/>
    </row>
    <row r="1017" spans="1:61" ht="15">
      <c r="A1017" s="62" t="s">
        <v>299</v>
      </c>
      <c r="B1017" s="62" t="s">
        <v>299</v>
      </c>
      <c r="C1017" s="63"/>
      <c r="D1017" s="64"/>
      <c r="E1017" s="65"/>
      <c r="F1017" s="66"/>
      <c r="G1017" s="63"/>
      <c r="H1017" s="67"/>
      <c r="I1017" s="68"/>
      <c r="J1017" s="68"/>
      <c r="K1017" s="32" t="s">
        <v>65</v>
      </c>
      <c r="L1017" s="75">
        <v>1017</v>
      </c>
      <c r="M1017" s="75"/>
      <c r="N1017" s="70"/>
      <c r="O1017" s="77" t="s">
        <v>179</v>
      </c>
      <c r="P1017" s="79">
        <v>42395.50958333333</v>
      </c>
      <c r="Q1017" s="80" t="str">
        <f>HYPERLINK("https://t.co/BFA0UZUfGf")</f>
        <v>https://t.co/BFA0UZUfGf</v>
      </c>
      <c r="R1017" s="77">
        <v>0</v>
      </c>
      <c r="S1017" s="77">
        <v>0</v>
      </c>
      <c r="T1017" s="77">
        <v>0</v>
      </c>
      <c r="U1017" s="77">
        <v>0</v>
      </c>
      <c r="V1017" s="77"/>
      <c r="W1017" s="77"/>
      <c r="X1017" s="80" t="str">
        <f>HYPERLINK("http://www.inovies.com/insights-view-116-website-design-attention-these-design-errors-might-earn-you-a-title-bad-website-design.html")</f>
        <v>http://www.inovies.com/insights-view-116-website-design-attention-these-design-errors-might-earn-you-a-title-bad-website-design.html</v>
      </c>
      <c r="Y1017" s="77" t="s">
        <v>1982</v>
      </c>
      <c r="Z1017" s="77"/>
      <c r="AA1017" s="77"/>
      <c r="AB1017" s="77"/>
      <c r="AC1017" s="81" t="s">
        <v>2705</v>
      </c>
      <c r="AD1017" s="77" t="s">
        <v>2756</v>
      </c>
      <c r="AE1017" s="80" t="str">
        <f>HYPERLINK("https://twitter.com/inovies/status/691957204891480064")</f>
        <v>https://twitter.com/inovies/status/691957204891480064</v>
      </c>
      <c r="AF1017" s="79">
        <v>42395.50958333333</v>
      </c>
      <c r="AG1017" s="85">
        <v>42395</v>
      </c>
      <c r="AH1017" s="81" t="s">
        <v>3595</v>
      </c>
      <c r="AI1017" s="77" t="b">
        <v>0</v>
      </c>
      <c r="AJ1017" s="77"/>
      <c r="AK1017" s="77"/>
      <c r="AL1017" s="77"/>
      <c r="AM1017" s="77"/>
      <c r="AN1017" s="77"/>
      <c r="AO1017" s="77"/>
      <c r="AP1017" s="77"/>
      <c r="AQ1017" s="77"/>
      <c r="AR1017" s="77"/>
      <c r="AS1017" s="77"/>
      <c r="AT1017" s="77"/>
      <c r="AU1017" s="77"/>
      <c r="AV1017" s="80" t="str">
        <f>HYPERLINK("https://pbs.twimg.com/profile_images/833576943677214720/5ZyUgpEJ_normal.jpg")</f>
        <v>https://pbs.twimg.com/profile_images/833576943677214720/5ZyUgpEJ_normal.jpg</v>
      </c>
      <c r="AW1017" s="81" t="s">
        <v>5361</v>
      </c>
      <c r="AX1017" s="81" t="s">
        <v>5361</v>
      </c>
      <c r="AY1017" s="77"/>
      <c r="AZ1017" s="81" t="s">
        <v>5773</v>
      </c>
      <c r="BA1017" s="81" t="s">
        <v>5773</v>
      </c>
      <c r="BB1017" s="81" t="s">
        <v>5773</v>
      </c>
      <c r="BC1017" s="81" t="s">
        <v>5361</v>
      </c>
      <c r="BD1017" s="77">
        <v>297885438</v>
      </c>
      <c r="BE1017" s="77"/>
      <c r="BF1017" s="77"/>
      <c r="BG1017" s="77"/>
      <c r="BH1017" s="77"/>
      <c r="BI1017" s="77"/>
    </row>
    <row r="1018" spans="1:61" ht="15">
      <c r="A1018" s="62" t="s">
        <v>299</v>
      </c>
      <c r="B1018" s="62" t="s">
        <v>299</v>
      </c>
      <c r="C1018" s="63"/>
      <c r="D1018" s="64"/>
      <c r="E1018" s="65"/>
      <c r="F1018" s="66"/>
      <c r="G1018" s="63"/>
      <c r="H1018" s="67"/>
      <c r="I1018" s="68"/>
      <c r="J1018" s="68"/>
      <c r="K1018" s="32" t="s">
        <v>65</v>
      </c>
      <c r="L1018" s="75">
        <v>1018</v>
      </c>
      <c r="M1018" s="75"/>
      <c r="N1018" s="70"/>
      <c r="O1018" s="77" t="s">
        <v>179</v>
      </c>
      <c r="P1018" s="79">
        <v>42383.42413194444</v>
      </c>
      <c r="Q1018" s="77" t="s">
        <v>1401</v>
      </c>
      <c r="R1018" s="77">
        <v>0</v>
      </c>
      <c r="S1018" s="77">
        <v>0</v>
      </c>
      <c r="T1018" s="77">
        <v>0</v>
      </c>
      <c r="U1018" s="77">
        <v>0</v>
      </c>
      <c r="V1018" s="77"/>
      <c r="W1018" s="77"/>
      <c r="X1018" s="80" t="str">
        <f>HYPERLINK("http://goo.gl/zuxfjW")</f>
        <v>http://goo.gl/zuxfjW</v>
      </c>
      <c r="Y1018" s="77" t="s">
        <v>1975</v>
      </c>
      <c r="Z1018" s="77"/>
      <c r="AA1018" s="77" t="s">
        <v>2482</v>
      </c>
      <c r="AB1018" s="77" t="s">
        <v>2698</v>
      </c>
      <c r="AC1018" s="81" t="s">
        <v>2705</v>
      </c>
      <c r="AD1018" s="77" t="s">
        <v>2751</v>
      </c>
      <c r="AE1018" s="80" t="str">
        <f>HYPERLINK("https://twitter.com/inovies/status/687577585883086848")</f>
        <v>https://twitter.com/inovies/status/687577585883086848</v>
      </c>
      <c r="AF1018" s="79">
        <v>42383.42413194444</v>
      </c>
      <c r="AG1018" s="85">
        <v>42383</v>
      </c>
      <c r="AH1018" s="81" t="s">
        <v>3596</v>
      </c>
      <c r="AI1018" s="77" t="b">
        <v>0</v>
      </c>
      <c r="AJ1018" s="77" t="s">
        <v>3881</v>
      </c>
      <c r="AK1018" s="77" t="s">
        <v>3889</v>
      </c>
      <c r="AL1018" s="77" t="s">
        <v>3892</v>
      </c>
      <c r="AM1018" s="77" t="s">
        <v>3895</v>
      </c>
      <c r="AN1018" s="77" t="s">
        <v>3902</v>
      </c>
      <c r="AO1018" s="77" t="s">
        <v>3910</v>
      </c>
      <c r="AP1018" s="77" t="s">
        <v>3917</v>
      </c>
      <c r="AQ1018" s="77" t="s">
        <v>4296</v>
      </c>
      <c r="AR1018" s="77"/>
      <c r="AS1018" s="77"/>
      <c r="AT1018" s="77"/>
      <c r="AU1018" s="77"/>
      <c r="AV1018" s="80" t="str">
        <f>HYPERLINK("https://pbs.twimg.com/tweet_video_thumb/CYrECUiUAAEuzdH.png")</f>
        <v>https://pbs.twimg.com/tweet_video_thumb/CYrECUiUAAEuzdH.png</v>
      </c>
      <c r="AW1018" s="81" t="s">
        <v>5362</v>
      </c>
      <c r="AX1018" s="81" t="s">
        <v>5362</v>
      </c>
      <c r="AY1018" s="77"/>
      <c r="AZ1018" s="81" t="s">
        <v>5773</v>
      </c>
      <c r="BA1018" s="81" t="s">
        <v>5773</v>
      </c>
      <c r="BB1018" s="81" t="s">
        <v>5773</v>
      </c>
      <c r="BC1018" s="81" t="s">
        <v>5362</v>
      </c>
      <c r="BD1018" s="77">
        <v>297885438</v>
      </c>
      <c r="BE1018" s="77"/>
      <c r="BF1018" s="77"/>
      <c r="BG1018" s="77"/>
      <c r="BH1018" s="77"/>
      <c r="BI1018" s="77"/>
    </row>
    <row r="1019" spans="1:61" ht="15">
      <c r="A1019" s="62" t="s">
        <v>299</v>
      </c>
      <c r="B1019" s="62" t="s">
        <v>299</v>
      </c>
      <c r="C1019" s="63"/>
      <c r="D1019" s="64"/>
      <c r="E1019" s="65"/>
      <c r="F1019" s="66"/>
      <c r="G1019" s="63"/>
      <c r="H1019" s="67"/>
      <c r="I1019" s="68"/>
      <c r="J1019" s="68"/>
      <c r="K1019" s="32" t="s">
        <v>65</v>
      </c>
      <c r="L1019" s="75">
        <v>1019</v>
      </c>
      <c r="M1019" s="75"/>
      <c r="N1019" s="70"/>
      <c r="O1019" s="77" t="s">
        <v>179</v>
      </c>
      <c r="P1019" s="79">
        <v>42383.419224537036</v>
      </c>
      <c r="Q1019" s="77" t="s">
        <v>1402</v>
      </c>
      <c r="R1019" s="77">
        <v>0</v>
      </c>
      <c r="S1019" s="77">
        <v>0</v>
      </c>
      <c r="T1019" s="77">
        <v>0</v>
      </c>
      <c r="U1019" s="77">
        <v>0</v>
      </c>
      <c r="V1019" s="77"/>
      <c r="W1019" s="77"/>
      <c r="X1019" s="80" t="str">
        <f>HYPERLINK("http://goo.gl/oXyd4P")</f>
        <v>http://goo.gl/oXyd4P</v>
      </c>
      <c r="Y1019" s="77" t="s">
        <v>1975</v>
      </c>
      <c r="Z1019" s="77"/>
      <c r="AA1019" s="77"/>
      <c r="AB1019" s="77"/>
      <c r="AC1019" s="81" t="s">
        <v>2705</v>
      </c>
      <c r="AD1019" s="77" t="s">
        <v>2751</v>
      </c>
      <c r="AE1019" s="80" t="str">
        <f>HYPERLINK("https://twitter.com/inovies/status/687575807011631104")</f>
        <v>https://twitter.com/inovies/status/687575807011631104</v>
      </c>
      <c r="AF1019" s="79">
        <v>42383.419224537036</v>
      </c>
      <c r="AG1019" s="85">
        <v>42383</v>
      </c>
      <c r="AH1019" s="81" t="s">
        <v>3597</v>
      </c>
      <c r="AI1019" s="77" t="b">
        <v>0</v>
      </c>
      <c r="AJ1019" s="77"/>
      <c r="AK1019" s="77"/>
      <c r="AL1019" s="77"/>
      <c r="AM1019" s="77"/>
      <c r="AN1019" s="77"/>
      <c r="AO1019" s="77"/>
      <c r="AP1019" s="77"/>
      <c r="AQ1019" s="77"/>
      <c r="AR1019" s="77"/>
      <c r="AS1019" s="77"/>
      <c r="AT1019" s="77"/>
      <c r="AU1019" s="77"/>
      <c r="AV1019" s="80" t="str">
        <f>HYPERLINK("https://pbs.twimg.com/profile_images/833576943677214720/5ZyUgpEJ_normal.jpg")</f>
        <v>https://pbs.twimg.com/profile_images/833576943677214720/5ZyUgpEJ_normal.jpg</v>
      </c>
      <c r="AW1019" s="81" t="s">
        <v>5363</v>
      </c>
      <c r="AX1019" s="81" t="s">
        <v>5363</v>
      </c>
      <c r="AY1019" s="77"/>
      <c r="AZ1019" s="81" t="s">
        <v>5773</v>
      </c>
      <c r="BA1019" s="81" t="s">
        <v>5773</v>
      </c>
      <c r="BB1019" s="81" t="s">
        <v>5773</v>
      </c>
      <c r="BC1019" s="81" t="s">
        <v>5363</v>
      </c>
      <c r="BD1019" s="77">
        <v>297885438</v>
      </c>
      <c r="BE1019" s="77"/>
      <c r="BF1019" s="77"/>
      <c r="BG1019" s="77"/>
      <c r="BH1019" s="77"/>
      <c r="BI1019" s="77"/>
    </row>
    <row r="1020" spans="1:61" ht="15">
      <c r="A1020" s="62" t="s">
        <v>299</v>
      </c>
      <c r="B1020" s="62" t="s">
        <v>299</v>
      </c>
      <c r="C1020" s="63"/>
      <c r="D1020" s="64"/>
      <c r="E1020" s="65"/>
      <c r="F1020" s="66"/>
      <c r="G1020" s="63"/>
      <c r="H1020" s="67"/>
      <c r="I1020" s="68"/>
      <c r="J1020" s="68"/>
      <c r="K1020" s="32" t="s">
        <v>65</v>
      </c>
      <c r="L1020" s="75">
        <v>1020</v>
      </c>
      <c r="M1020" s="75"/>
      <c r="N1020" s="70"/>
      <c r="O1020" s="77" t="s">
        <v>179</v>
      </c>
      <c r="P1020" s="79">
        <v>41959.51378472222</v>
      </c>
      <c r="Q1020" s="77" t="s">
        <v>1403</v>
      </c>
      <c r="R1020" s="77">
        <v>0</v>
      </c>
      <c r="S1020" s="77">
        <v>0</v>
      </c>
      <c r="T1020" s="77">
        <v>0</v>
      </c>
      <c r="U1020" s="77">
        <v>0</v>
      </c>
      <c r="V1020" s="77"/>
      <c r="W1020" s="77"/>
      <c r="X1020" s="80" t="str">
        <f>HYPERLINK("http://www.inovies.com")</f>
        <v>http://www.inovies.com</v>
      </c>
      <c r="Y1020" s="77" t="s">
        <v>1982</v>
      </c>
      <c r="Z1020" s="77"/>
      <c r="AA1020" s="77" t="s">
        <v>2483</v>
      </c>
      <c r="AB1020" s="77" t="s">
        <v>2696</v>
      </c>
      <c r="AC1020" s="81" t="s">
        <v>2727</v>
      </c>
      <c r="AD1020" s="77" t="s">
        <v>2751</v>
      </c>
      <c r="AE1020" s="80" t="str">
        <f>HYPERLINK("https://twitter.com/inovies/status/533957618645999616")</f>
        <v>https://twitter.com/inovies/status/533957618645999616</v>
      </c>
      <c r="AF1020" s="79">
        <v>41959.51378472222</v>
      </c>
      <c r="AG1020" s="85">
        <v>41959</v>
      </c>
      <c r="AH1020" s="81" t="s">
        <v>3598</v>
      </c>
      <c r="AI1020" s="77" t="b">
        <v>0</v>
      </c>
      <c r="AJ1020" s="77"/>
      <c r="AK1020" s="77"/>
      <c r="AL1020" s="77"/>
      <c r="AM1020" s="77"/>
      <c r="AN1020" s="77"/>
      <c r="AO1020" s="77"/>
      <c r="AP1020" s="77"/>
      <c r="AQ1020" s="77" t="s">
        <v>4297</v>
      </c>
      <c r="AR1020" s="77"/>
      <c r="AS1020" s="77"/>
      <c r="AT1020" s="77"/>
      <c r="AU1020" s="77"/>
      <c r="AV1020" s="80" t="str">
        <f>HYPERLINK("https://pbs.twimg.com/media/B2j_mqCCQAA3SOp.jpg")</f>
        <v>https://pbs.twimg.com/media/B2j_mqCCQAA3SOp.jpg</v>
      </c>
      <c r="AW1020" s="81" t="s">
        <v>5364</v>
      </c>
      <c r="AX1020" s="81" t="s">
        <v>5364</v>
      </c>
      <c r="AY1020" s="77"/>
      <c r="AZ1020" s="81" t="s">
        <v>5773</v>
      </c>
      <c r="BA1020" s="81" t="s">
        <v>5773</v>
      </c>
      <c r="BB1020" s="81" t="s">
        <v>5773</v>
      </c>
      <c r="BC1020" s="81" t="s">
        <v>5364</v>
      </c>
      <c r="BD1020" s="77">
        <v>297885438</v>
      </c>
      <c r="BE1020" s="77"/>
      <c r="BF1020" s="77"/>
      <c r="BG1020" s="77"/>
      <c r="BH1020" s="77"/>
      <c r="BI1020" s="77"/>
    </row>
    <row r="1021" spans="1:61" ht="15">
      <c r="A1021" s="62" t="s">
        <v>299</v>
      </c>
      <c r="B1021" s="62" t="s">
        <v>299</v>
      </c>
      <c r="C1021" s="63"/>
      <c r="D1021" s="64"/>
      <c r="E1021" s="65"/>
      <c r="F1021" s="66"/>
      <c r="G1021" s="63"/>
      <c r="H1021" s="67"/>
      <c r="I1021" s="68"/>
      <c r="J1021" s="68"/>
      <c r="K1021" s="32" t="s">
        <v>65</v>
      </c>
      <c r="L1021" s="75">
        <v>1021</v>
      </c>
      <c r="M1021" s="75"/>
      <c r="N1021" s="70"/>
      <c r="O1021" s="77" t="s">
        <v>179</v>
      </c>
      <c r="P1021" s="79">
        <v>41959.51238425926</v>
      </c>
      <c r="Q1021" s="77" t="s">
        <v>1404</v>
      </c>
      <c r="R1021" s="77">
        <v>0</v>
      </c>
      <c r="S1021" s="77">
        <v>0</v>
      </c>
      <c r="T1021" s="77">
        <v>0</v>
      </c>
      <c r="U1021" s="77">
        <v>0</v>
      </c>
      <c r="V1021" s="77"/>
      <c r="W1021" s="77"/>
      <c r="X1021" s="80" t="str">
        <f>HYPERLINK("http://www.inovies.com")</f>
        <v>http://www.inovies.com</v>
      </c>
      <c r="Y1021" s="77" t="s">
        <v>1982</v>
      </c>
      <c r="Z1021" s="77"/>
      <c r="AA1021" s="77" t="s">
        <v>2484</v>
      </c>
      <c r="AB1021" s="77" t="s">
        <v>2696</v>
      </c>
      <c r="AC1021" s="81" t="s">
        <v>2727</v>
      </c>
      <c r="AD1021" s="77" t="s">
        <v>2751</v>
      </c>
      <c r="AE1021" s="80" t="str">
        <f>HYPERLINK("https://twitter.com/inovies/status/533957111168786432")</f>
        <v>https://twitter.com/inovies/status/533957111168786432</v>
      </c>
      <c r="AF1021" s="79">
        <v>41959.51238425926</v>
      </c>
      <c r="AG1021" s="85">
        <v>41959</v>
      </c>
      <c r="AH1021" s="81" t="s">
        <v>3599</v>
      </c>
      <c r="AI1021" s="77" t="b">
        <v>0</v>
      </c>
      <c r="AJ1021" s="77"/>
      <c r="AK1021" s="77"/>
      <c r="AL1021" s="77"/>
      <c r="AM1021" s="77"/>
      <c r="AN1021" s="77"/>
      <c r="AO1021" s="77"/>
      <c r="AP1021" s="77"/>
      <c r="AQ1021" s="77" t="s">
        <v>4298</v>
      </c>
      <c r="AR1021" s="77"/>
      <c r="AS1021" s="77"/>
      <c r="AT1021" s="77"/>
      <c r="AU1021" s="77"/>
      <c r="AV1021" s="80" t="str">
        <f>HYPERLINK("https://pbs.twimg.com/media/B2j_JMUCEAAkB5N.jpg")</f>
        <v>https://pbs.twimg.com/media/B2j_JMUCEAAkB5N.jpg</v>
      </c>
      <c r="AW1021" s="81" t="s">
        <v>5365</v>
      </c>
      <c r="AX1021" s="81" t="s">
        <v>5365</v>
      </c>
      <c r="AY1021" s="77"/>
      <c r="AZ1021" s="81" t="s">
        <v>5773</v>
      </c>
      <c r="BA1021" s="81" t="s">
        <v>5773</v>
      </c>
      <c r="BB1021" s="81" t="s">
        <v>5773</v>
      </c>
      <c r="BC1021" s="81" t="s">
        <v>5365</v>
      </c>
      <c r="BD1021" s="77">
        <v>297885438</v>
      </c>
      <c r="BE1021" s="77"/>
      <c r="BF1021" s="77"/>
      <c r="BG1021" s="77"/>
      <c r="BH1021" s="77"/>
      <c r="BI1021" s="77"/>
    </row>
    <row r="1022" spans="1:61" ht="15">
      <c r="A1022" s="62" t="s">
        <v>299</v>
      </c>
      <c r="B1022" s="62" t="s">
        <v>299</v>
      </c>
      <c r="C1022" s="63"/>
      <c r="D1022" s="64"/>
      <c r="E1022" s="65"/>
      <c r="F1022" s="66"/>
      <c r="G1022" s="63"/>
      <c r="H1022" s="67"/>
      <c r="I1022" s="68"/>
      <c r="J1022" s="68"/>
      <c r="K1022" s="32" t="s">
        <v>65</v>
      </c>
      <c r="L1022" s="75">
        <v>1022</v>
      </c>
      <c r="M1022" s="75"/>
      <c r="N1022" s="70"/>
      <c r="O1022" s="77" t="s">
        <v>179</v>
      </c>
      <c r="P1022" s="79">
        <v>41958.64922453704</v>
      </c>
      <c r="Q1022" s="77" t="s">
        <v>1405</v>
      </c>
      <c r="R1022" s="77">
        <v>0</v>
      </c>
      <c r="S1022" s="77">
        <v>0</v>
      </c>
      <c r="T1022" s="77">
        <v>0</v>
      </c>
      <c r="U1022" s="77">
        <v>0</v>
      </c>
      <c r="V1022" s="77"/>
      <c r="W1022" s="77"/>
      <c r="X1022" s="77"/>
      <c r="Y1022" s="77"/>
      <c r="Z1022" s="77"/>
      <c r="AA1022" s="77"/>
      <c r="AB1022" s="77"/>
      <c r="AC1022" s="81" t="s">
        <v>2727</v>
      </c>
      <c r="AD1022" s="77" t="s">
        <v>2751</v>
      </c>
      <c r="AE1022" s="80" t="str">
        <f>HYPERLINK("https://twitter.com/inovies/status/533644311888289792")</f>
        <v>https://twitter.com/inovies/status/533644311888289792</v>
      </c>
      <c r="AF1022" s="79">
        <v>41958.64922453704</v>
      </c>
      <c r="AG1022" s="85">
        <v>41958</v>
      </c>
      <c r="AH1022" s="81" t="s">
        <v>3600</v>
      </c>
      <c r="AI1022" s="77"/>
      <c r="AJ1022" s="77"/>
      <c r="AK1022" s="77"/>
      <c r="AL1022" s="77"/>
      <c r="AM1022" s="77"/>
      <c r="AN1022" s="77"/>
      <c r="AO1022" s="77"/>
      <c r="AP1022" s="77"/>
      <c r="AQ1022" s="77"/>
      <c r="AR1022" s="77"/>
      <c r="AS1022" s="77"/>
      <c r="AT1022" s="77"/>
      <c r="AU1022" s="77"/>
      <c r="AV1022" s="80" t="str">
        <f>HYPERLINK("https://pbs.twimg.com/profile_images/833576943677214720/5ZyUgpEJ_normal.jpg")</f>
        <v>https://pbs.twimg.com/profile_images/833576943677214720/5ZyUgpEJ_normal.jpg</v>
      </c>
      <c r="AW1022" s="81" t="s">
        <v>5366</v>
      </c>
      <c r="AX1022" s="81" t="s">
        <v>5366</v>
      </c>
      <c r="AY1022" s="77"/>
      <c r="AZ1022" s="81" t="s">
        <v>5773</v>
      </c>
      <c r="BA1022" s="81" t="s">
        <v>5773</v>
      </c>
      <c r="BB1022" s="81" t="s">
        <v>5773</v>
      </c>
      <c r="BC1022" s="81" t="s">
        <v>5366</v>
      </c>
      <c r="BD1022" s="77">
        <v>297885438</v>
      </c>
      <c r="BE1022" s="77"/>
      <c r="BF1022" s="77"/>
      <c r="BG1022" s="77"/>
      <c r="BH1022" s="77"/>
      <c r="BI1022" s="77"/>
    </row>
    <row r="1023" spans="1:61" ht="15">
      <c r="A1023" s="62" t="s">
        <v>299</v>
      </c>
      <c r="B1023" s="62" t="s">
        <v>299</v>
      </c>
      <c r="C1023" s="63"/>
      <c r="D1023" s="64"/>
      <c r="E1023" s="65"/>
      <c r="F1023" s="66"/>
      <c r="G1023" s="63"/>
      <c r="H1023" s="67"/>
      <c r="I1023" s="68"/>
      <c r="J1023" s="68"/>
      <c r="K1023" s="32" t="s">
        <v>65</v>
      </c>
      <c r="L1023" s="75">
        <v>1023</v>
      </c>
      <c r="M1023" s="75"/>
      <c r="N1023" s="70"/>
      <c r="O1023" s="77" t="s">
        <v>179</v>
      </c>
      <c r="P1023" s="79">
        <v>41958.6312962963</v>
      </c>
      <c r="Q1023" s="77" t="s">
        <v>1406</v>
      </c>
      <c r="R1023" s="77">
        <v>0</v>
      </c>
      <c r="S1023" s="77">
        <v>0</v>
      </c>
      <c r="T1023" s="77">
        <v>0</v>
      </c>
      <c r="U1023" s="77">
        <v>0</v>
      </c>
      <c r="V1023" s="77"/>
      <c r="W1023" s="77"/>
      <c r="X1023" s="77"/>
      <c r="Y1023" s="77"/>
      <c r="Z1023" s="77"/>
      <c r="AA1023" s="77" t="s">
        <v>2485</v>
      </c>
      <c r="AB1023" s="77" t="s">
        <v>2696</v>
      </c>
      <c r="AC1023" s="81" t="s">
        <v>2727</v>
      </c>
      <c r="AD1023" s="77" t="s">
        <v>2751</v>
      </c>
      <c r="AE1023" s="80" t="str">
        <f>HYPERLINK("https://twitter.com/inovies/status/533637815599263744")</f>
        <v>https://twitter.com/inovies/status/533637815599263744</v>
      </c>
      <c r="AF1023" s="79">
        <v>41958.6312962963</v>
      </c>
      <c r="AG1023" s="85">
        <v>41958</v>
      </c>
      <c r="AH1023" s="81" t="s">
        <v>3601</v>
      </c>
      <c r="AI1023" s="77" t="b">
        <v>0</v>
      </c>
      <c r="AJ1023" s="77"/>
      <c r="AK1023" s="77"/>
      <c r="AL1023" s="77"/>
      <c r="AM1023" s="77"/>
      <c r="AN1023" s="77"/>
      <c r="AO1023" s="77"/>
      <c r="AP1023" s="77"/>
      <c r="AQ1023" s="77" t="s">
        <v>4299</v>
      </c>
      <c r="AR1023" s="77"/>
      <c r="AS1023" s="77"/>
      <c r="AT1023" s="77"/>
      <c r="AU1023" s="77"/>
      <c r="AV1023" s="80" t="str">
        <f>HYPERLINK("https://pbs.twimg.com/media/B2fcwKpCMAAG8ZL.jpg")</f>
        <v>https://pbs.twimg.com/media/B2fcwKpCMAAG8ZL.jpg</v>
      </c>
      <c r="AW1023" s="81" t="s">
        <v>5367</v>
      </c>
      <c r="AX1023" s="81" t="s">
        <v>5367</v>
      </c>
      <c r="AY1023" s="77"/>
      <c r="AZ1023" s="81" t="s">
        <v>5773</v>
      </c>
      <c r="BA1023" s="81" t="s">
        <v>5773</v>
      </c>
      <c r="BB1023" s="81" t="s">
        <v>5773</v>
      </c>
      <c r="BC1023" s="81" t="s">
        <v>5367</v>
      </c>
      <c r="BD1023" s="77">
        <v>297885438</v>
      </c>
      <c r="BE1023" s="77"/>
      <c r="BF1023" s="77"/>
      <c r="BG1023" s="77"/>
      <c r="BH1023" s="77"/>
      <c r="BI1023" s="77"/>
    </row>
    <row r="1024" spans="1:61" ht="15">
      <c r="A1024" s="62" t="s">
        <v>299</v>
      </c>
      <c r="B1024" s="62" t="s">
        <v>299</v>
      </c>
      <c r="C1024" s="63"/>
      <c r="D1024" s="64"/>
      <c r="E1024" s="65"/>
      <c r="F1024" s="66"/>
      <c r="G1024" s="63"/>
      <c r="H1024" s="67"/>
      <c r="I1024" s="68"/>
      <c r="J1024" s="68"/>
      <c r="K1024" s="32" t="s">
        <v>65</v>
      </c>
      <c r="L1024" s="75">
        <v>1024</v>
      </c>
      <c r="M1024" s="75"/>
      <c r="N1024" s="70"/>
      <c r="O1024" s="77" t="s">
        <v>179</v>
      </c>
      <c r="P1024" s="79">
        <v>41951.713738425926</v>
      </c>
      <c r="Q1024" s="77" t="s">
        <v>1407</v>
      </c>
      <c r="R1024" s="77">
        <v>0</v>
      </c>
      <c r="S1024" s="77">
        <v>0</v>
      </c>
      <c r="T1024" s="77">
        <v>0</v>
      </c>
      <c r="U1024" s="77">
        <v>0</v>
      </c>
      <c r="V1024" s="77"/>
      <c r="W1024" s="77"/>
      <c r="X1024" s="77"/>
      <c r="Y1024" s="77"/>
      <c r="Z1024" s="77"/>
      <c r="AA1024" s="77" t="s">
        <v>2486</v>
      </c>
      <c r="AB1024" s="77" t="s">
        <v>2696</v>
      </c>
      <c r="AC1024" s="81" t="s">
        <v>2727</v>
      </c>
      <c r="AD1024" s="77" t="s">
        <v>2751</v>
      </c>
      <c r="AE1024" s="80" t="str">
        <f>HYPERLINK("https://twitter.com/inovies/status/531130978161278977")</f>
        <v>https://twitter.com/inovies/status/531130978161278977</v>
      </c>
      <c r="AF1024" s="79">
        <v>41951.713738425926</v>
      </c>
      <c r="AG1024" s="85">
        <v>41951</v>
      </c>
      <c r="AH1024" s="81" t="s">
        <v>3602</v>
      </c>
      <c r="AI1024" s="77" t="b">
        <v>0</v>
      </c>
      <c r="AJ1024" s="77"/>
      <c r="AK1024" s="77"/>
      <c r="AL1024" s="77"/>
      <c r="AM1024" s="77"/>
      <c r="AN1024" s="77"/>
      <c r="AO1024" s="77"/>
      <c r="AP1024" s="77"/>
      <c r="AQ1024" s="77" t="s">
        <v>4300</v>
      </c>
      <c r="AR1024" s="77"/>
      <c r="AS1024" s="77"/>
      <c r="AT1024" s="77"/>
      <c r="AU1024" s="77"/>
      <c r="AV1024" s="80" t="str">
        <f>HYPERLINK("https://pbs.twimg.com/media/B170yvZCcAAMfRL.jpg")</f>
        <v>https://pbs.twimg.com/media/B170yvZCcAAMfRL.jpg</v>
      </c>
      <c r="AW1024" s="81" t="s">
        <v>5368</v>
      </c>
      <c r="AX1024" s="81" t="s">
        <v>5368</v>
      </c>
      <c r="AY1024" s="77"/>
      <c r="AZ1024" s="81" t="s">
        <v>5773</v>
      </c>
      <c r="BA1024" s="81" t="s">
        <v>5773</v>
      </c>
      <c r="BB1024" s="81" t="s">
        <v>5773</v>
      </c>
      <c r="BC1024" s="81" t="s">
        <v>5368</v>
      </c>
      <c r="BD1024" s="77">
        <v>297885438</v>
      </c>
      <c r="BE1024" s="77"/>
      <c r="BF1024" s="77"/>
      <c r="BG1024" s="77"/>
      <c r="BH1024" s="77"/>
      <c r="BI1024" s="77"/>
    </row>
    <row r="1025" spans="1:61" ht="15">
      <c r="A1025" s="62" t="s">
        <v>299</v>
      </c>
      <c r="B1025" s="62" t="s">
        <v>299</v>
      </c>
      <c r="C1025" s="63"/>
      <c r="D1025" s="64"/>
      <c r="E1025" s="65"/>
      <c r="F1025" s="66"/>
      <c r="G1025" s="63"/>
      <c r="H1025" s="67"/>
      <c r="I1025" s="68"/>
      <c r="J1025" s="68"/>
      <c r="K1025" s="32" t="s">
        <v>65</v>
      </c>
      <c r="L1025" s="75">
        <v>1025</v>
      </c>
      <c r="M1025" s="75"/>
      <c r="N1025" s="70"/>
      <c r="O1025" s="77" t="s">
        <v>179</v>
      </c>
      <c r="P1025" s="79">
        <v>41950.74657407407</v>
      </c>
      <c r="Q1025" s="80" t="str">
        <f>HYPERLINK("http://t.co/jTs1FxVY5L")</f>
        <v>http://t.co/jTs1FxVY5L</v>
      </c>
      <c r="R1025" s="77">
        <v>0</v>
      </c>
      <c r="S1025" s="77">
        <v>1</v>
      </c>
      <c r="T1025" s="77">
        <v>0</v>
      </c>
      <c r="U1025" s="77">
        <v>0</v>
      </c>
      <c r="V1025" s="77"/>
      <c r="W1025" s="77"/>
      <c r="X1025" s="77"/>
      <c r="Y1025" s="77"/>
      <c r="Z1025" s="77"/>
      <c r="AA1025" s="77" t="s">
        <v>2487</v>
      </c>
      <c r="AB1025" s="77" t="s">
        <v>2694</v>
      </c>
      <c r="AC1025" s="81" t="s">
        <v>2727</v>
      </c>
      <c r="AD1025" s="77" t="s">
        <v>2756</v>
      </c>
      <c r="AE1025" s="80" t="str">
        <f>HYPERLINK("https://twitter.com/inovies/status/530780487057281024")</f>
        <v>https://twitter.com/inovies/status/530780487057281024</v>
      </c>
      <c r="AF1025" s="79">
        <v>41950.74657407407</v>
      </c>
      <c r="AG1025" s="85">
        <v>41950</v>
      </c>
      <c r="AH1025" s="81" t="s">
        <v>3414</v>
      </c>
      <c r="AI1025" s="77" t="b">
        <v>0</v>
      </c>
      <c r="AJ1025" s="77"/>
      <c r="AK1025" s="77"/>
      <c r="AL1025" s="77"/>
      <c r="AM1025" s="77"/>
      <c r="AN1025" s="77"/>
      <c r="AO1025" s="77"/>
      <c r="AP1025" s="77"/>
      <c r="AQ1025" s="77" t="s">
        <v>4301</v>
      </c>
      <c r="AR1025" s="77"/>
      <c r="AS1025" s="77"/>
      <c r="AT1025" s="77"/>
      <c r="AU1025" s="77"/>
      <c r="AV1025" s="80" t="str">
        <f>HYPERLINK("https://pbs.twimg.com/media/B122BzSCcAAfroF.jpg")</f>
        <v>https://pbs.twimg.com/media/B122BzSCcAAfroF.jpg</v>
      </c>
      <c r="AW1025" s="81" t="s">
        <v>5369</v>
      </c>
      <c r="AX1025" s="81" t="s">
        <v>5369</v>
      </c>
      <c r="AY1025" s="77"/>
      <c r="AZ1025" s="81" t="s">
        <v>5773</v>
      </c>
      <c r="BA1025" s="81" t="s">
        <v>5773</v>
      </c>
      <c r="BB1025" s="81" t="s">
        <v>5773</v>
      </c>
      <c r="BC1025" s="81" t="s">
        <v>5369</v>
      </c>
      <c r="BD1025" s="77">
        <v>297885438</v>
      </c>
      <c r="BE1025" s="77"/>
      <c r="BF1025" s="77"/>
      <c r="BG1025" s="77"/>
      <c r="BH1025" s="77"/>
      <c r="BI1025" s="77"/>
    </row>
    <row r="1026" spans="1:61" ht="15">
      <c r="A1026" s="62" t="s">
        <v>299</v>
      </c>
      <c r="B1026" s="62" t="s">
        <v>299</v>
      </c>
      <c r="C1026" s="63"/>
      <c r="D1026" s="64"/>
      <c r="E1026" s="65"/>
      <c r="F1026" s="66"/>
      <c r="G1026" s="63"/>
      <c r="H1026" s="67"/>
      <c r="I1026" s="68"/>
      <c r="J1026" s="68"/>
      <c r="K1026" s="32" t="s">
        <v>65</v>
      </c>
      <c r="L1026" s="75">
        <v>1026</v>
      </c>
      <c r="M1026" s="75"/>
      <c r="N1026" s="70"/>
      <c r="O1026" s="77" t="s">
        <v>179</v>
      </c>
      <c r="P1026" s="79">
        <v>41948.73451388889</v>
      </c>
      <c r="Q1026" s="77" t="s">
        <v>1408</v>
      </c>
      <c r="R1026" s="77">
        <v>0</v>
      </c>
      <c r="S1026" s="77">
        <v>1</v>
      </c>
      <c r="T1026" s="77">
        <v>0</v>
      </c>
      <c r="U1026" s="77">
        <v>0</v>
      </c>
      <c r="V1026" s="77"/>
      <c r="W1026" s="77"/>
      <c r="X1026" s="77"/>
      <c r="Y1026" s="77"/>
      <c r="Z1026" s="77"/>
      <c r="AA1026" s="77" t="s">
        <v>2488</v>
      </c>
      <c r="AB1026" s="77" t="s">
        <v>2696</v>
      </c>
      <c r="AC1026" s="81" t="s">
        <v>2727</v>
      </c>
      <c r="AD1026" s="77" t="s">
        <v>2751</v>
      </c>
      <c r="AE1026" s="80" t="str">
        <f>HYPERLINK("https://twitter.com/inovies/status/530051342727794688")</f>
        <v>https://twitter.com/inovies/status/530051342727794688</v>
      </c>
      <c r="AF1026" s="79">
        <v>41948.73451388889</v>
      </c>
      <c r="AG1026" s="85">
        <v>41948</v>
      </c>
      <c r="AH1026" s="81" t="s">
        <v>3603</v>
      </c>
      <c r="AI1026" s="77" t="b">
        <v>0</v>
      </c>
      <c r="AJ1026" s="77"/>
      <c r="AK1026" s="77"/>
      <c r="AL1026" s="77"/>
      <c r="AM1026" s="77"/>
      <c r="AN1026" s="77"/>
      <c r="AO1026" s="77"/>
      <c r="AP1026" s="77"/>
      <c r="AQ1026" s="77" t="s">
        <v>4302</v>
      </c>
      <c r="AR1026" s="77"/>
      <c r="AS1026" s="77"/>
      <c r="AT1026" s="77"/>
      <c r="AU1026" s="77"/>
      <c r="AV1026" s="80" t="str">
        <f>HYPERLINK("https://pbs.twimg.com/media/B1se3-rCQAAu9DS.jpg")</f>
        <v>https://pbs.twimg.com/media/B1se3-rCQAAu9DS.jpg</v>
      </c>
      <c r="AW1026" s="81" t="s">
        <v>5370</v>
      </c>
      <c r="AX1026" s="81" t="s">
        <v>5370</v>
      </c>
      <c r="AY1026" s="77"/>
      <c r="AZ1026" s="81" t="s">
        <v>5773</v>
      </c>
      <c r="BA1026" s="81" t="s">
        <v>5773</v>
      </c>
      <c r="BB1026" s="81" t="s">
        <v>5773</v>
      </c>
      <c r="BC1026" s="81" t="s">
        <v>5370</v>
      </c>
      <c r="BD1026" s="77">
        <v>297885438</v>
      </c>
      <c r="BE1026" s="77"/>
      <c r="BF1026" s="77"/>
      <c r="BG1026" s="77"/>
      <c r="BH1026" s="77"/>
      <c r="BI1026" s="77"/>
    </row>
    <row r="1027" spans="1:61" ht="15">
      <c r="A1027" s="62" t="s">
        <v>299</v>
      </c>
      <c r="B1027" s="62" t="s">
        <v>299</v>
      </c>
      <c r="C1027" s="63"/>
      <c r="D1027" s="64"/>
      <c r="E1027" s="65"/>
      <c r="F1027" s="66"/>
      <c r="G1027" s="63"/>
      <c r="H1027" s="67"/>
      <c r="I1027" s="68"/>
      <c r="J1027" s="68"/>
      <c r="K1027" s="32" t="s">
        <v>65</v>
      </c>
      <c r="L1027" s="75">
        <v>1027</v>
      </c>
      <c r="M1027" s="75"/>
      <c r="N1027" s="70"/>
      <c r="O1027" s="77" t="s">
        <v>179</v>
      </c>
      <c r="P1027" s="79">
        <v>41937.480208333334</v>
      </c>
      <c r="Q1027" s="77" t="s">
        <v>1409</v>
      </c>
      <c r="R1027" s="77">
        <v>0</v>
      </c>
      <c r="S1027" s="77">
        <v>0</v>
      </c>
      <c r="T1027" s="77">
        <v>0</v>
      </c>
      <c r="U1027" s="77">
        <v>0</v>
      </c>
      <c r="V1027" s="77"/>
      <c r="W1027" s="77"/>
      <c r="X1027" s="80" t="str">
        <f>HYPERLINK("https://www.linkedin.com/today/post/article/20141009134445-111930483-magical-formula-to-boost-traffic-for-your-website")</f>
        <v>https://www.linkedin.com/today/post/article/20141009134445-111930483-magical-formula-to-boost-traffic-for-your-website</v>
      </c>
      <c r="Y1027" s="77" t="s">
        <v>2004</v>
      </c>
      <c r="Z1027" s="77"/>
      <c r="AA1027" s="77"/>
      <c r="AB1027" s="77"/>
      <c r="AC1027" s="81" t="s">
        <v>2712</v>
      </c>
      <c r="AD1027" s="77" t="s">
        <v>2751</v>
      </c>
      <c r="AE1027" s="80" t="str">
        <f>HYPERLINK("https://twitter.com/inovies/status/525972917029330944")</f>
        <v>https://twitter.com/inovies/status/525972917029330944</v>
      </c>
      <c r="AF1027" s="79">
        <v>41937.480208333334</v>
      </c>
      <c r="AG1027" s="85">
        <v>41937</v>
      </c>
      <c r="AH1027" s="81" t="s">
        <v>3604</v>
      </c>
      <c r="AI1027" s="77" t="b">
        <v>0</v>
      </c>
      <c r="AJ1027" s="77"/>
      <c r="AK1027" s="77"/>
      <c r="AL1027" s="77"/>
      <c r="AM1027" s="77"/>
      <c r="AN1027" s="77"/>
      <c r="AO1027" s="77"/>
      <c r="AP1027" s="77"/>
      <c r="AQ1027" s="77"/>
      <c r="AR1027" s="77"/>
      <c r="AS1027" s="77"/>
      <c r="AT1027" s="77"/>
      <c r="AU1027" s="77"/>
      <c r="AV1027" s="80" t="str">
        <f>HYPERLINK("https://pbs.twimg.com/profile_images/833576943677214720/5ZyUgpEJ_normal.jpg")</f>
        <v>https://pbs.twimg.com/profile_images/833576943677214720/5ZyUgpEJ_normal.jpg</v>
      </c>
      <c r="AW1027" s="81" t="s">
        <v>5371</v>
      </c>
      <c r="AX1027" s="81" t="s">
        <v>5371</v>
      </c>
      <c r="AY1027" s="77"/>
      <c r="AZ1027" s="81" t="s">
        <v>5773</v>
      </c>
      <c r="BA1027" s="81" t="s">
        <v>5773</v>
      </c>
      <c r="BB1027" s="81" t="s">
        <v>5773</v>
      </c>
      <c r="BC1027" s="81" t="s">
        <v>5371</v>
      </c>
      <c r="BD1027" s="77">
        <v>297885438</v>
      </c>
      <c r="BE1027" s="77"/>
      <c r="BF1027" s="77"/>
      <c r="BG1027" s="77"/>
      <c r="BH1027" s="77"/>
      <c r="BI1027" s="77"/>
    </row>
    <row r="1028" spans="1:61" ht="15">
      <c r="A1028" s="62" t="s">
        <v>299</v>
      </c>
      <c r="B1028" s="62" t="s">
        <v>299</v>
      </c>
      <c r="C1028" s="63"/>
      <c r="D1028" s="64"/>
      <c r="E1028" s="65"/>
      <c r="F1028" s="66"/>
      <c r="G1028" s="63"/>
      <c r="H1028" s="67"/>
      <c r="I1028" s="68"/>
      <c r="J1028" s="68"/>
      <c r="K1028" s="32" t="s">
        <v>65</v>
      </c>
      <c r="L1028" s="75">
        <v>1028</v>
      </c>
      <c r="M1028" s="75"/>
      <c r="N1028" s="70"/>
      <c r="O1028" s="77" t="s">
        <v>179</v>
      </c>
      <c r="P1028" s="79">
        <v>45281.82157407407</v>
      </c>
      <c r="Q1028" s="77" t="s">
        <v>1410</v>
      </c>
      <c r="R1028" s="77">
        <v>0</v>
      </c>
      <c r="S1028" s="77">
        <v>1</v>
      </c>
      <c r="T1028" s="77">
        <v>1</v>
      </c>
      <c r="U1028" s="77">
        <v>0</v>
      </c>
      <c r="V1028" s="77">
        <v>10</v>
      </c>
      <c r="W1028" s="81" t="s">
        <v>1895</v>
      </c>
      <c r="X1028" s="80" t="str">
        <f>HYPERLINK("https://inovies.com/digital-marketing/")</f>
        <v>https://inovies.com/digital-marketing/</v>
      </c>
      <c r="Y1028" s="77" t="s">
        <v>1982</v>
      </c>
      <c r="Z1028" s="77"/>
      <c r="AA1028" s="77" t="s">
        <v>2489</v>
      </c>
      <c r="AB1028" s="77" t="s">
        <v>2695</v>
      </c>
      <c r="AC1028" s="81" t="s">
        <v>2707</v>
      </c>
      <c r="AD1028" s="77" t="s">
        <v>2751</v>
      </c>
      <c r="AE1028" s="80" t="str">
        <f>HYPERLINK("https://twitter.com/inovies/status/1737921648274100330")</f>
        <v>https://twitter.com/inovies/status/1737921648274100330</v>
      </c>
      <c r="AF1028" s="79">
        <v>45281.82157407407</v>
      </c>
      <c r="AG1028" s="85">
        <v>45281</v>
      </c>
      <c r="AH1028" s="81" t="s">
        <v>3605</v>
      </c>
      <c r="AI1028" s="77" t="b">
        <v>0</v>
      </c>
      <c r="AJ1028" s="77"/>
      <c r="AK1028" s="77"/>
      <c r="AL1028" s="77"/>
      <c r="AM1028" s="77"/>
      <c r="AN1028" s="77"/>
      <c r="AO1028" s="77"/>
      <c r="AP1028" s="77"/>
      <c r="AQ1028" s="77" t="s">
        <v>4303</v>
      </c>
      <c r="AR1028" s="77">
        <v>41190</v>
      </c>
      <c r="AS1028" s="77"/>
      <c r="AT1028" s="77"/>
      <c r="AU1028" s="77"/>
      <c r="AV1028" s="80" t="str">
        <f>HYPERLINK("https://pbs.twimg.com/ext_tw_video_thumb/1737921589428060161/pu/img/suuHbcoyBrWqz1oO.jpg")</f>
        <v>https://pbs.twimg.com/ext_tw_video_thumb/1737921589428060161/pu/img/suuHbcoyBrWqz1oO.jpg</v>
      </c>
      <c r="AW1028" s="81" t="s">
        <v>5372</v>
      </c>
      <c r="AX1028" s="81" t="s">
        <v>5372</v>
      </c>
      <c r="AY1028" s="77"/>
      <c r="AZ1028" s="81" t="s">
        <v>5773</v>
      </c>
      <c r="BA1028" s="81" t="s">
        <v>5773</v>
      </c>
      <c r="BB1028" s="81" t="s">
        <v>5773</v>
      </c>
      <c r="BC1028" s="81" t="s">
        <v>5372</v>
      </c>
      <c r="BD1028" s="77">
        <v>297885438</v>
      </c>
      <c r="BE1028" s="77"/>
      <c r="BF1028" s="77"/>
      <c r="BG1028" s="77"/>
      <c r="BH1028" s="77"/>
      <c r="BI1028" s="77"/>
    </row>
    <row r="1029" spans="1:61" ht="15">
      <c r="A1029" s="62" t="s">
        <v>299</v>
      </c>
      <c r="B1029" s="62" t="s">
        <v>299</v>
      </c>
      <c r="C1029" s="63"/>
      <c r="D1029" s="64"/>
      <c r="E1029" s="65"/>
      <c r="F1029" s="66"/>
      <c r="G1029" s="63"/>
      <c r="H1029" s="67"/>
      <c r="I1029" s="68"/>
      <c r="J1029" s="68"/>
      <c r="K1029" s="32" t="s">
        <v>65</v>
      </c>
      <c r="L1029" s="75">
        <v>1029</v>
      </c>
      <c r="M1029" s="75"/>
      <c r="N1029" s="70"/>
      <c r="O1029" s="77" t="s">
        <v>179</v>
      </c>
      <c r="P1029" s="79">
        <v>45281.06694444444</v>
      </c>
      <c r="Q1029" s="77" t="s">
        <v>1411</v>
      </c>
      <c r="R1029" s="77">
        <v>0</v>
      </c>
      <c r="S1029" s="77">
        <v>0</v>
      </c>
      <c r="T1029" s="77">
        <v>0</v>
      </c>
      <c r="U1029" s="77">
        <v>0</v>
      </c>
      <c r="V1029" s="77">
        <v>358</v>
      </c>
      <c r="W1029" s="81" t="s">
        <v>1919</v>
      </c>
      <c r="X1029" s="80" t="str">
        <f>HYPERLINK("https://www.inovies.com")</f>
        <v>https://www.inovies.com</v>
      </c>
      <c r="Y1029" s="77" t="s">
        <v>1982</v>
      </c>
      <c r="Z1029" s="77"/>
      <c r="AA1029" s="77" t="s">
        <v>2490</v>
      </c>
      <c r="AB1029" s="77" t="s">
        <v>2695</v>
      </c>
      <c r="AC1029" s="81" t="s">
        <v>2707</v>
      </c>
      <c r="AD1029" s="77" t="s">
        <v>2751</v>
      </c>
      <c r="AE1029" s="80" t="str">
        <f>HYPERLINK("https://twitter.com/inovies/status/1737648180869931143")</f>
        <v>https://twitter.com/inovies/status/1737648180869931143</v>
      </c>
      <c r="AF1029" s="79">
        <v>45281.06694444444</v>
      </c>
      <c r="AG1029" s="85">
        <v>45281</v>
      </c>
      <c r="AH1029" s="81" t="s">
        <v>3606</v>
      </c>
      <c r="AI1029" s="77" t="b">
        <v>0</v>
      </c>
      <c r="AJ1029" s="77"/>
      <c r="AK1029" s="77"/>
      <c r="AL1029" s="77"/>
      <c r="AM1029" s="77"/>
      <c r="AN1029" s="77"/>
      <c r="AO1029" s="77"/>
      <c r="AP1029" s="77"/>
      <c r="AQ1029" s="77" t="s">
        <v>4304</v>
      </c>
      <c r="AR1029" s="77">
        <v>560</v>
      </c>
      <c r="AS1029" s="77"/>
      <c r="AT1029" s="77"/>
      <c r="AU1029" s="77"/>
      <c r="AV1029" s="80" t="str">
        <f>HYPERLINK("https://pbs.twimg.com/ext_tw_video_thumb/1737648092546011136/pu/img/kPwfyr_EZsHNBprW.jpg")</f>
        <v>https://pbs.twimg.com/ext_tw_video_thumb/1737648092546011136/pu/img/kPwfyr_EZsHNBprW.jpg</v>
      </c>
      <c r="AW1029" s="81" t="s">
        <v>5373</v>
      </c>
      <c r="AX1029" s="81" t="s">
        <v>5373</v>
      </c>
      <c r="AY1029" s="77"/>
      <c r="AZ1029" s="81" t="s">
        <v>5773</v>
      </c>
      <c r="BA1029" s="81" t="s">
        <v>5773</v>
      </c>
      <c r="BB1029" s="81" t="s">
        <v>5773</v>
      </c>
      <c r="BC1029" s="81" t="s">
        <v>5373</v>
      </c>
      <c r="BD1029" s="77">
        <v>297885438</v>
      </c>
      <c r="BE1029" s="77"/>
      <c r="BF1029" s="77"/>
      <c r="BG1029" s="77"/>
      <c r="BH1029" s="77"/>
      <c r="BI1029" s="77"/>
    </row>
    <row r="1030" spans="1:61" ht="15">
      <c r="A1030" s="62" t="s">
        <v>299</v>
      </c>
      <c r="B1030" s="62" t="s">
        <v>299</v>
      </c>
      <c r="C1030" s="63"/>
      <c r="D1030" s="64"/>
      <c r="E1030" s="65"/>
      <c r="F1030" s="66"/>
      <c r="G1030" s="63"/>
      <c r="H1030" s="67"/>
      <c r="I1030" s="68"/>
      <c r="J1030" s="68"/>
      <c r="K1030" s="32" t="s">
        <v>65</v>
      </c>
      <c r="L1030" s="75">
        <v>1030</v>
      </c>
      <c r="M1030" s="75"/>
      <c r="N1030" s="70"/>
      <c r="O1030" s="77" t="s">
        <v>572</v>
      </c>
      <c r="P1030" s="79">
        <v>45271.32534722222</v>
      </c>
      <c r="Q1030" s="77" t="s">
        <v>1412</v>
      </c>
      <c r="R1030" s="77">
        <v>0</v>
      </c>
      <c r="S1030" s="77">
        <v>0</v>
      </c>
      <c r="T1030" s="77">
        <v>1</v>
      </c>
      <c r="U1030" s="77">
        <v>0</v>
      </c>
      <c r="V1030" s="77">
        <v>12</v>
      </c>
      <c r="W1030" s="81" t="s">
        <v>1880</v>
      </c>
      <c r="X1030" s="80" t="str">
        <f>HYPERLINK("https://inovies.com")</f>
        <v>https://inovies.com</v>
      </c>
      <c r="Y1030" s="77" t="s">
        <v>1982</v>
      </c>
      <c r="Z1030" s="77"/>
      <c r="AA1030" s="77"/>
      <c r="AB1030" s="77"/>
      <c r="AC1030" s="81" t="s">
        <v>2707</v>
      </c>
      <c r="AD1030" s="77" t="s">
        <v>2751</v>
      </c>
      <c r="AE1030" s="80" t="str">
        <f>HYPERLINK("https://twitter.com/inovies/status/1734117943024267400")</f>
        <v>https://twitter.com/inovies/status/1734117943024267400</v>
      </c>
      <c r="AF1030" s="79">
        <v>45271.32534722222</v>
      </c>
      <c r="AG1030" s="85">
        <v>45271</v>
      </c>
      <c r="AH1030" s="81" t="s">
        <v>3581</v>
      </c>
      <c r="AI1030" s="77" t="b">
        <v>0</v>
      </c>
      <c r="AJ1030" s="77"/>
      <c r="AK1030" s="77"/>
      <c r="AL1030" s="77"/>
      <c r="AM1030" s="77"/>
      <c r="AN1030" s="77"/>
      <c r="AO1030" s="77"/>
      <c r="AP1030" s="77"/>
      <c r="AQ1030" s="77"/>
      <c r="AR1030" s="77"/>
      <c r="AS1030" s="77"/>
      <c r="AT1030" s="77"/>
      <c r="AU1030" s="77"/>
      <c r="AV1030" s="80" t="str">
        <f>HYPERLINK("https://pbs.twimg.com/profile_images/833576943677214720/5ZyUgpEJ_normal.jpg")</f>
        <v>https://pbs.twimg.com/profile_images/833576943677214720/5ZyUgpEJ_normal.jpg</v>
      </c>
      <c r="AW1030" s="81" t="s">
        <v>5374</v>
      </c>
      <c r="AX1030" s="81" t="s">
        <v>5534</v>
      </c>
      <c r="AY1030" s="81" t="s">
        <v>5721</v>
      </c>
      <c r="AZ1030" s="81" t="s">
        <v>5341</v>
      </c>
      <c r="BA1030" s="81" t="s">
        <v>5773</v>
      </c>
      <c r="BB1030" s="81" t="s">
        <v>5773</v>
      </c>
      <c r="BC1030" s="81" t="s">
        <v>5341</v>
      </c>
      <c r="BD1030" s="77">
        <v>297885438</v>
      </c>
      <c r="BE1030" s="77"/>
      <c r="BF1030" s="77"/>
      <c r="BG1030" s="77"/>
      <c r="BH1030" s="77"/>
      <c r="BI1030" s="77"/>
    </row>
    <row r="1031" spans="1:61" ht="15">
      <c r="A1031" s="62" t="s">
        <v>299</v>
      </c>
      <c r="B1031" s="62" t="s">
        <v>299</v>
      </c>
      <c r="C1031" s="63"/>
      <c r="D1031" s="64"/>
      <c r="E1031" s="65"/>
      <c r="F1031" s="66"/>
      <c r="G1031" s="63"/>
      <c r="H1031" s="67"/>
      <c r="I1031" s="68"/>
      <c r="J1031" s="68"/>
      <c r="K1031" s="32" t="s">
        <v>65</v>
      </c>
      <c r="L1031" s="75">
        <v>1031</v>
      </c>
      <c r="M1031" s="75"/>
      <c r="N1031" s="70"/>
      <c r="O1031" s="77" t="s">
        <v>572</v>
      </c>
      <c r="P1031" s="79">
        <v>45271.325324074074</v>
      </c>
      <c r="Q1031" s="77" t="s">
        <v>1413</v>
      </c>
      <c r="R1031" s="77">
        <v>0</v>
      </c>
      <c r="S1031" s="77">
        <v>0</v>
      </c>
      <c r="T1031" s="77">
        <v>1</v>
      </c>
      <c r="U1031" s="77">
        <v>0</v>
      </c>
      <c r="V1031" s="77">
        <v>1</v>
      </c>
      <c r="W1031" s="81" t="s">
        <v>1880</v>
      </c>
      <c r="X1031" s="80" t="str">
        <f>HYPERLINK("https://inovies.com")</f>
        <v>https://inovies.com</v>
      </c>
      <c r="Y1031" s="77" t="s">
        <v>1982</v>
      </c>
      <c r="Z1031" s="77"/>
      <c r="AA1031" s="77"/>
      <c r="AB1031" s="77"/>
      <c r="AC1031" s="81" t="s">
        <v>2707</v>
      </c>
      <c r="AD1031" s="77" t="s">
        <v>2751</v>
      </c>
      <c r="AE1031" s="80" t="str">
        <f>HYPERLINK("https://twitter.com/inovies/status/1734117936095260845")</f>
        <v>https://twitter.com/inovies/status/1734117936095260845</v>
      </c>
      <c r="AF1031" s="79">
        <v>45271.325324074074</v>
      </c>
      <c r="AG1031" s="85">
        <v>45271</v>
      </c>
      <c r="AH1031" s="81" t="s">
        <v>3607</v>
      </c>
      <c r="AI1031" s="77" t="b">
        <v>0</v>
      </c>
      <c r="AJ1031" s="77"/>
      <c r="AK1031" s="77"/>
      <c r="AL1031" s="77"/>
      <c r="AM1031" s="77"/>
      <c r="AN1031" s="77"/>
      <c r="AO1031" s="77"/>
      <c r="AP1031" s="77"/>
      <c r="AQ1031" s="77"/>
      <c r="AR1031" s="77"/>
      <c r="AS1031" s="77"/>
      <c r="AT1031" s="77"/>
      <c r="AU1031" s="77"/>
      <c r="AV1031" s="80" t="str">
        <f>HYPERLINK("https://pbs.twimg.com/profile_images/833576943677214720/5ZyUgpEJ_normal.jpg")</f>
        <v>https://pbs.twimg.com/profile_images/833576943677214720/5ZyUgpEJ_normal.jpg</v>
      </c>
      <c r="AW1031" s="81" t="s">
        <v>5375</v>
      </c>
      <c r="AX1031" s="81" t="s">
        <v>5534</v>
      </c>
      <c r="AY1031" s="81" t="s">
        <v>5721</v>
      </c>
      <c r="AZ1031" s="81" t="s">
        <v>5376</v>
      </c>
      <c r="BA1031" s="81" t="s">
        <v>5773</v>
      </c>
      <c r="BB1031" s="81" t="s">
        <v>5773</v>
      </c>
      <c r="BC1031" s="81" t="s">
        <v>5376</v>
      </c>
      <c r="BD1031" s="77">
        <v>297885438</v>
      </c>
      <c r="BE1031" s="77"/>
      <c r="BF1031" s="77"/>
      <c r="BG1031" s="77"/>
      <c r="BH1031" s="77"/>
      <c r="BI1031" s="77"/>
    </row>
    <row r="1032" spans="1:61" ht="15">
      <c r="A1032" s="62" t="s">
        <v>299</v>
      </c>
      <c r="B1032" s="62" t="s">
        <v>299</v>
      </c>
      <c r="C1032" s="63"/>
      <c r="D1032" s="64"/>
      <c r="E1032" s="65"/>
      <c r="F1032" s="66"/>
      <c r="G1032" s="63"/>
      <c r="H1032" s="67"/>
      <c r="I1032" s="68"/>
      <c r="J1032" s="68"/>
      <c r="K1032" s="32" t="s">
        <v>65</v>
      </c>
      <c r="L1032" s="75">
        <v>1032</v>
      </c>
      <c r="M1032" s="75"/>
      <c r="N1032" s="70"/>
      <c r="O1032" s="77" t="s">
        <v>572</v>
      </c>
      <c r="P1032" s="79">
        <v>45271.325324074074</v>
      </c>
      <c r="Q1032" s="77" t="s">
        <v>1414</v>
      </c>
      <c r="R1032" s="77">
        <v>0</v>
      </c>
      <c r="S1032" s="77">
        <v>0</v>
      </c>
      <c r="T1032" s="77">
        <v>1</v>
      </c>
      <c r="U1032" s="77">
        <v>0</v>
      </c>
      <c r="V1032" s="77">
        <v>3</v>
      </c>
      <c r="W1032" s="81" t="s">
        <v>1880</v>
      </c>
      <c r="X1032" s="80" t="str">
        <f>HYPERLINK("https://inovies.com")</f>
        <v>https://inovies.com</v>
      </c>
      <c r="Y1032" s="77" t="s">
        <v>1982</v>
      </c>
      <c r="Z1032" s="77"/>
      <c r="AA1032" s="77"/>
      <c r="AB1032" s="77"/>
      <c r="AC1032" s="81" t="s">
        <v>2707</v>
      </c>
      <c r="AD1032" s="77" t="s">
        <v>2751</v>
      </c>
      <c r="AE1032" s="80" t="str">
        <f>HYPERLINK("https://twitter.com/inovies/status/1734117933880594822")</f>
        <v>https://twitter.com/inovies/status/1734117933880594822</v>
      </c>
      <c r="AF1032" s="79">
        <v>45271.325324074074</v>
      </c>
      <c r="AG1032" s="85">
        <v>45271</v>
      </c>
      <c r="AH1032" s="81" t="s">
        <v>3607</v>
      </c>
      <c r="AI1032" s="77" t="b">
        <v>0</v>
      </c>
      <c r="AJ1032" s="77"/>
      <c r="AK1032" s="77"/>
      <c r="AL1032" s="77"/>
      <c r="AM1032" s="77"/>
      <c r="AN1032" s="77"/>
      <c r="AO1032" s="77"/>
      <c r="AP1032" s="77"/>
      <c r="AQ1032" s="77"/>
      <c r="AR1032" s="77"/>
      <c r="AS1032" s="77"/>
      <c r="AT1032" s="77"/>
      <c r="AU1032" s="77"/>
      <c r="AV1032" s="80" t="str">
        <f>HYPERLINK("https://pbs.twimg.com/profile_images/833576943677214720/5ZyUgpEJ_normal.jpg")</f>
        <v>https://pbs.twimg.com/profile_images/833576943677214720/5ZyUgpEJ_normal.jpg</v>
      </c>
      <c r="AW1032" s="81" t="s">
        <v>5376</v>
      </c>
      <c r="AX1032" s="81" t="s">
        <v>5534</v>
      </c>
      <c r="AY1032" s="81" t="s">
        <v>5721</v>
      </c>
      <c r="AZ1032" s="81" t="s">
        <v>5276</v>
      </c>
      <c r="BA1032" s="81" t="s">
        <v>5773</v>
      </c>
      <c r="BB1032" s="81" t="s">
        <v>5773</v>
      </c>
      <c r="BC1032" s="81" t="s">
        <v>5276</v>
      </c>
      <c r="BD1032" s="77">
        <v>297885438</v>
      </c>
      <c r="BE1032" s="77"/>
      <c r="BF1032" s="77"/>
      <c r="BG1032" s="77"/>
      <c r="BH1032" s="77"/>
      <c r="BI1032" s="77"/>
    </row>
    <row r="1033" spans="1:61" ht="15">
      <c r="A1033" s="62" t="s">
        <v>299</v>
      </c>
      <c r="B1033" s="62" t="s">
        <v>299</v>
      </c>
      <c r="C1033" s="63"/>
      <c r="D1033" s="64"/>
      <c r="E1033" s="65"/>
      <c r="F1033" s="66"/>
      <c r="G1033" s="63"/>
      <c r="H1033" s="67"/>
      <c r="I1033" s="68"/>
      <c r="J1033" s="68"/>
      <c r="K1033" s="32" t="s">
        <v>65</v>
      </c>
      <c r="L1033" s="75">
        <v>1033</v>
      </c>
      <c r="M1033" s="75"/>
      <c r="N1033" s="70"/>
      <c r="O1033" s="77" t="s">
        <v>572</v>
      </c>
      <c r="P1033" s="79">
        <v>45271.31940972222</v>
      </c>
      <c r="Q1033" s="77" t="s">
        <v>1415</v>
      </c>
      <c r="R1033" s="77">
        <v>0</v>
      </c>
      <c r="S1033" s="77">
        <v>0</v>
      </c>
      <c r="T1033" s="77">
        <v>1</v>
      </c>
      <c r="U1033" s="77">
        <v>0</v>
      </c>
      <c r="V1033" s="77"/>
      <c r="W1033" s="81" t="s">
        <v>1880</v>
      </c>
      <c r="X1033" s="80" t="str">
        <f>HYPERLINK("https://www.inovies.com")</f>
        <v>https://www.inovies.com</v>
      </c>
      <c r="Y1033" s="77" t="s">
        <v>1982</v>
      </c>
      <c r="Z1033" s="77"/>
      <c r="AA1033" s="77"/>
      <c r="AB1033" s="77"/>
      <c r="AC1033" s="81" t="s">
        <v>2707</v>
      </c>
      <c r="AD1033" s="77" t="s">
        <v>2751</v>
      </c>
      <c r="AE1033" s="80" t="str">
        <f>HYPERLINK("https://twitter.com/inovies/status/1734115789014184194")</f>
        <v>https://twitter.com/inovies/status/1734115789014184194</v>
      </c>
      <c r="AF1033" s="79">
        <v>45271.31940972222</v>
      </c>
      <c r="AG1033" s="85">
        <v>45271</v>
      </c>
      <c r="AH1033" s="81" t="s">
        <v>3608</v>
      </c>
      <c r="AI1033" s="77" t="b">
        <v>0</v>
      </c>
      <c r="AJ1033" s="77"/>
      <c r="AK1033" s="77"/>
      <c r="AL1033" s="77"/>
      <c r="AM1033" s="77"/>
      <c r="AN1033" s="77"/>
      <c r="AO1033" s="77"/>
      <c r="AP1033" s="77"/>
      <c r="AQ1033" s="77"/>
      <c r="AR1033" s="77"/>
      <c r="AS1033" s="77"/>
      <c r="AT1033" s="77"/>
      <c r="AU1033" s="77"/>
      <c r="AV1033" s="80" t="str">
        <f>HYPERLINK("https://pbs.twimg.com/profile_images/833576943677214720/5ZyUgpEJ_normal.jpg")</f>
        <v>https://pbs.twimg.com/profile_images/833576943677214720/5ZyUgpEJ_normal.jpg</v>
      </c>
      <c r="AW1033" s="81" t="s">
        <v>5377</v>
      </c>
      <c r="AX1033" s="81" t="s">
        <v>5610</v>
      </c>
      <c r="AY1033" s="81" t="s">
        <v>5721</v>
      </c>
      <c r="AZ1033" s="81" t="s">
        <v>5378</v>
      </c>
      <c r="BA1033" s="81" t="s">
        <v>5773</v>
      </c>
      <c r="BB1033" s="81" t="s">
        <v>5773</v>
      </c>
      <c r="BC1033" s="81" t="s">
        <v>5378</v>
      </c>
      <c r="BD1033" s="77">
        <v>297885438</v>
      </c>
      <c r="BE1033" s="77"/>
      <c r="BF1033" s="77"/>
      <c r="BG1033" s="77"/>
      <c r="BH1033" s="77"/>
      <c r="BI1033" s="77"/>
    </row>
    <row r="1034" spans="1:61" ht="15">
      <c r="A1034" s="62" t="s">
        <v>299</v>
      </c>
      <c r="B1034" s="62" t="s">
        <v>299</v>
      </c>
      <c r="C1034" s="63"/>
      <c r="D1034" s="64"/>
      <c r="E1034" s="65"/>
      <c r="F1034" s="66"/>
      <c r="G1034" s="63"/>
      <c r="H1034" s="67"/>
      <c r="I1034" s="68"/>
      <c r="J1034" s="68"/>
      <c r="K1034" s="32" t="s">
        <v>65</v>
      </c>
      <c r="L1034" s="75">
        <v>1034</v>
      </c>
      <c r="M1034" s="75"/>
      <c r="N1034" s="70"/>
      <c r="O1034" s="77" t="s">
        <v>572</v>
      </c>
      <c r="P1034" s="79">
        <v>45271.319398148145</v>
      </c>
      <c r="Q1034" s="77" t="s">
        <v>1416</v>
      </c>
      <c r="R1034" s="77">
        <v>0</v>
      </c>
      <c r="S1034" s="77">
        <v>0</v>
      </c>
      <c r="T1034" s="77">
        <v>1</v>
      </c>
      <c r="U1034" s="77">
        <v>0</v>
      </c>
      <c r="V1034" s="77"/>
      <c r="W1034" s="81" t="s">
        <v>1880</v>
      </c>
      <c r="X1034" s="80" t="str">
        <f>HYPERLINK("https://www.inovies.com")</f>
        <v>https://www.inovies.com</v>
      </c>
      <c r="Y1034" s="77" t="s">
        <v>1982</v>
      </c>
      <c r="Z1034" s="77"/>
      <c r="AA1034" s="77"/>
      <c r="AB1034" s="77"/>
      <c r="AC1034" s="81" t="s">
        <v>2707</v>
      </c>
      <c r="AD1034" s="77" t="s">
        <v>2751</v>
      </c>
      <c r="AE1034" s="80" t="str">
        <f>HYPERLINK("https://twitter.com/inovies/status/1734115786334015664")</f>
        <v>https://twitter.com/inovies/status/1734115786334015664</v>
      </c>
      <c r="AF1034" s="79">
        <v>45271.319398148145</v>
      </c>
      <c r="AG1034" s="85">
        <v>45271</v>
      </c>
      <c r="AH1034" s="81" t="s">
        <v>3609</v>
      </c>
      <c r="AI1034" s="77" t="b">
        <v>0</v>
      </c>
      <c r="AJ1034" s="77"/>
      <c r="AK1034" s="77"/>
      <c r="AL1034" s="77"/>
      <c r="AM1034" s="77"/>
      <c r="AN1034" s="77"/>
      <c r="AO1034" s="77"/>
      <c r="AP1034" s="77"/>
      <c r="AQ1034" s="77"/>
      <c r="AR1034" s="77"/>
      <c r="AS1034" s="77"/>
      <c r="AT1034" s="77"/>
      <c r="AU1034" s="77"/>
      <c r="AV1034" s="80" t="str">
        <f>HYPERLINK("https://pbs.twimg.com/profile_images/833576943677214720/5ZyUgpEJ_normal.jpg")</f>
        <v>https://pbs.twimg.com/profile_images/833576943677214720/5ZyUgpEJ_normal.jpg</v>
      </c>
      <c r="AW1034" s="81" t="s">
        <v>5378</v>
      </c>
      <c r="AX1034" s="81" t="s">
        <v>5610</v>
      </c>
      <c r="AY1034" s="81" t="s">
        <v>5721</v>
      </c>
      <c r="AZ1034" s="81" t="s">
        <v>5347</v>
      </c>
      <c r="BA1034" s="81" t="s">
        <v>5773</v>
      </c>
      <c r="BB1034" s="81" t="s">
        <v>5773</v>
      </c>
      <c r="BC1034" s="81" t="s">
        <v>5347</v>
      </c>
      <c r="BD1034" s="77">
        <v>297885438</v>
      </c>
      <c r="BE1034" s="77"/>
      <c r="BF1034" s="77"/>
      <c r="BG1034" s="77"/>
      <c r="BH1034" s="77"/>
      <c r="BI1034" s="77"/>
    </row>
    <row r="1035" spans="1:61" ht="15">
      <c r="A1035" s="62" t="s">
        <v>299</v>
      </c>
      <c r="B1035" s="62" t="s">
        <v>299</v>
      </c>
      <c r="C1035" s="63"/>
      <c r="D1035" s="64"/>
      <c r="E1035" s="65"/>
      <c r="F1035" s="66"/>
      <c r="G1035" s="63"/>
      <c r="H1035" s="67"/>
      <c r="I1035" s="68"/>
      <c r="J1035" s="68"/>
      <c r="K1035" s="32" t="s">
        <v>65</v>
      </c>
      <c r="L1035" s="75">
        <v>1035</v>
      </c>
      <c r="M1035" s="75"/>
      <c r="N1035" s="70"/>
      <c r="O1035" s="77" t="s">
        <v>572</v>
      </c>
      <c r="P1035" s="79">
        <v>45271.31935185185</v>
      </c>
      <c r="Q1035" s="77" t="s">
        <v>1417</v>
      </c>
      <c r="R1035" s="77">
        <v>0</v>
      </c>
      <c r="S1035" s="77">
        <v>0</v>
      </c>
      <c r="T1035" s="77">
        <v>1</v>
      </c>
      <c r="U1035" s="77">
        <v>0</v>
      </c>
      <c r="V1035" s="77"/>
      <c r="W1035" s="81" t="s">
        <v>1880</v>
      </c>
      <c r="X1035" s="80" t="str">
        <f>HYPERLINK("https://www.inovies.com")</f>
        <v>https://www.inovies.com</v>
      </c>
      <c r="Y1035" s="77" t="s">
        <v>1982</v>
      </c>
      <c r="Z1035" s="77"/>
      <c r="AA1035" s="77"/>
      <c r="AB1035" s="77"/>
      <c r="AC1035" s="81" t="s">
        <v>2707</v>
      </c>
      <c r="AD1035" s="77" t="s">
        <v>2751</v>
      </c>
      <c r="AE1035" s="80" t="str">
        <f>HYPERLINK("https://twitter.com/inovies/status/1734115770517316006")</f>
        <v>https://twitter.com/inovies/status/1734115770517316006</v>
      </c>
      <c r="AF1035" s="79">
        <v>45271.31935185185</v>
      </c>
      <c r="AG1035" s="85">
        <v>45271</v>
      </c>
      <c r="AH1035" s="81" t="s">
        <v>3610</v>
      </c>
      <c r="AI1035" s="77" t="b">
        <v>0</v>
      </c>
      <c r="AJ1035" s="77"/>
      <c r="AK1035" s="77"/>
      <c r="AL1035" s="77"/>
      <c r="AM1035" s="77"/>
      <c r="AN1035" s="77"/>
      <c r="AO1035" s="77"/>
      <c r="AP1035" s="77"/>
      <c r="AQ1035" s="77"/>
      <c r="AR1035" s="77"/>
      <c r="AS1035" s="77"/>
      <c r="AT1035" s="77"/>
      <c r="AU1035" s="77"/>
      <c r="AV1035" s="80" t="str">
        <f>HYPERLINK("https://pbs.twimg.com/profile_images/833576943677214720/5ZyUgpEJ_normal.jpg")</f>
        <v>https://pbs.twimg.com/profile_images/833576943677214720/5ZyUgpEJ_normal.jpg</v>
      </c>
      <c r="AW1035" s="81" t="s">
        <v>5379</v>
      </c>
      <c r="AX1035" s="81" t="s">
        <v>5610</v>
      </c>
      <c r="AY1035" s="81" t="s">
        <v>5721</v>
      </c>
      <c r="AZ1035" s="81" t="s">
        <v>5380</v>
      </c>
      <c r="BA1035" s="81" t="s">
        <v>5773</v>
      </c>
      <c r="BB1035" s="81" t="s">
        <v>5773</v>
      </c>
      <c r="BC1035" s="81" t="s">
        <v>5380</v>
      </c>
      <c r="BD1035" s="77">
        <v>297885438</v>
      </c>
      <c r="BE1035" s="77"/>
      <c r="BF1035" s="77"/>
      <c r="BG1035" s="77"/>
      <c r="BH1035" s="77"/>
      <c r="BI1035" s="77"/>
    </row>
    <row r="1036" spans="1:61" ht="15">
      <c r="A1036" s="62" t="s">
        <v>299</v>
      </c>
      <c r="B1036" s="62" t="s">
        <v>299</v>
      </c>
      <c r="C1036" s="63"/>
      <c r="D1036" s="64"/>
      <c r="E1036" s="65"/>
      <c r="F1036" s="66"/>
      <c r="G1036" s="63"/>
      <c r="H1036" s="67"/>
      <c r="I1036" s="68"/>
      <c r="J1036" s="68"/>
      <c r="K1036" s="32" t="s">
        <v>65</v>
      </c>
      <c r="L1036" s="75">
        <v>1036</v>
      </c>
      <c r="M1036" s="75"/>
      <c r="N1036" s="70"/>
      <c r="O1036" s="77" t="s">
        <v>572</v>
      </c>
      <c r="P1036" s="79">
        <v>45271.31935185185</v>
      </c>
      <c r="Q1036" s="77" t="s">
        <v>1418</v>
      </c>
      <c r="R1036" s="77">
        <v>0</v>
      </c>
      <c r="S1036" s="77">
        <v>0</v>
      </c>
      <c r="T1036" s="77">
        <v>1</v>
      </c>
      <c r="U1036" s="77">
        <v>0</v>
      </c>
      <c r="V1036" s="77">
        <v>1</v>
      </c>
      <c r="W1036" s="81" t="s">
        <v>1880</v>
      </c>
      <c r="X1036" s="80" t="str">
        <f>HYPERLINK("https://www.inovies.com")</f>
        <v>https://www.inovies.com</v>
      </c>
      <c r="Y1036" s="77" t="s">
        <v>1982</v>
      </c>
      <c r="Z1036" s="77"/>
      <c r="AA1036" s="77"/>
      <c r="AB1036" s="77"/>
      <c r="AC1036" s="81" t="s">
        <v>2707</v>
      </c>
      <c r="AD1036" s="77" t="s">
        <v>2751</v>
      </c>
      <c r="AE1036" s="80" t="str">
        <f>HYPERLINK("https://twitter.com/inovies/status/1734115767967207638")</f>
        <v>https://twitter.com/inovies/status/1734115767967207638</v>
      </c>
      <c r="AF1036" s="79">
        <v>45271.31935185185</v>
      </c>
      <c r="AG1036" s="85">
        <v>45271</v>
      </c>
      <c r="AH1036" s="81" t="s">
        <v>3610</v>
      </c>
      <c r="AI1036" s="77" t="b">
        <v>0</v>
      </c>
      <c r="AJ1036" s="77"/>
      <c r="AK1036" s="77"/>
      <c r="AL1036" s="77"/>
      <c r="AM1036" s="77"/>
      <c r="AN1036" s="77"/>
      <c r="AO1036" s="77"/>
      <c r="AP1036" s="77"/>
      <c r="AQ1036" s="77"/>
      <c r="AR1036" s="77"/>
      <c r="AS1036" s="77"/>
      <c r="AT1036" s="77"/>
      <c r="AU1036" s="77"/>
      <c r="AV1036" s="80" t="str">
        <f>HYPERLINK("https://pbs.twimg.com/profile_images/833576943677214720/5ZyUgpEJ_normal.jpg")</f>
        <v>https://pbs.twimg.com/profile_images/833576943677214720/5ZyUgpEJ_normal.jpg</v>
      </c>
      <c r="AW1036" s="81" t="s">
        <v>5380</v>
      </c>
      <c r="AX1036" s="81" t="s">
        <v>5610</v>
      </c>
      <c r="AY1036" s="81" t="s">
        <v>5721</v>
      </c>
      <c r="AZ1036" s="81" t="s">
        <v>5280</v>
      </c>
      <c r="BA1036" s="81" t="s">
        <v>5773</v>
      </c>
      <c r="BB1036" s="81" t="s">
        <v>5773</v>
      </c>
      <c r="BC1036" s="81" t="s">
        <v>5280</v>
      </c>
      <c r="BD1036" s="77">
        <v>297885438</v>
      </c>
      <c r="BE1036" s="77"/>
      <c r="BF1036" s="77"/>
      <c r="BG1036" s="77"/>
      <c r="BH1036" s="77"/>
      <c r="BI1036" s="77"/>
    </row>
    <row r="1037" spans="1:61" ht="15">
      <c r="A1037" s="62" t="s">
        <v>299</v>
      </c>
      <c r="B1037" s="62" t="s">
        <v>299</v>
      </c>
      <c r="C1037" s="63"/>
      <c r="D1037" s="64"/>
      <c r="E1037" s="65"/>
      <c r="F1037" s="66"/>
      <c r="G1037" s="63"/>
      <c r="H1037" s="67"/>
      <c r="I1037" s="68"/>
      <c r="J1037" s="68"/>
      <c r="K1037" s="32" t="s">
        <v>65</v>
      </c>
      <c r="L1037" s="75">
        <v>1037</v>
      </c>
      <c r="M1037" s="75"/>
      <c r="N1037" s="70"/>
      <c r="O1037" s="77" t="s">
        <v>572</v>
      </c>
      <c r="P1037" s="79">
        <v>45271.31109953704</v>
      </c>
      <c r="Q1037" s="77" t="s">
        <v>1419</v>
      </c>
      <c r="R1037" s="77">
        <v>0</v>
      </c>
      <c r="S1037" s="77">
        <v>0</v>
      </c>
      <c r="T1037" s="77">
        <v>1</v>
      </c>
      <c r="U1037" s="77">
        <v>0</v>
      </c>
      <c r="V1037" s="77">
        <v>10</v>
      </c>
      <c r="W1037" s="81" t="s">
        <v>1880</v>
      </c>
      <c r="X1037" s="77"/>
      <c r="Y1037" s="77"/>
      <c r="Z1037" s="77"/>
      <c r="AA1037" s="77"/>
      <c r="AB1037" s="77"/>
      <c r="AC1037" s="81" t="s">
        <v>2707</v>
      </c>
      <c r="AD1037" s="77" t="s">
        <v>2751</v>
      </c>
      <c r="AE1037" s="80" t="str">
        <f>HYPERLINK("https://twitter.com/inovies/status/1734112780280606751")</f>
        <v>https://twitter.com/inovies/status/1734112780280606751</v>
      </c>
      <c r="AF1037" s="79">
        <v>45271.31109953704</v>
      </c>
      <c r="AG1037" s="85">
        <v>45271</v>
      </c>
      <c r="AH1037" s="81" t="s">
        <v>3611</v>
      </c>
      <c r="AI1037" s="77"/>
      <c r="AJ1037" s="77"/>
      <c r="AK1037" s="77"/>
      <c r="AL1037" s="77"/>
      <c r="AM1037" s="77"/>
      <c r="AN1037" s="77"/>
      <c r="AO1037" s="77"/>
      <c r="AP1037" s="77"/>
      <c r="AQ1037" s="77"/>
      <c r="AR1037" s="77"/>
      <c r="AS1037" s="77"/>
      <c r="AT1037" s="77"/>
      <c r="AU1037" s="77"/>
      <c r="AV1037" s="80" t="str">
        <f>HYPERLINK("https://pbs.twimg.com/profile_images/833576943677214720/5ZyUgpEJ_normal.jpg")</f>
        <v>https://pbs.twimg.com/profile_images/833576943677214720/5ZyUgpEJ_normal.jpg</v>
      </c>
      <c r="AW1037" s="81" t="s">
        <v>5381</v>
      </c>
      <c r="AX1037" s="81" t="s">
        <v>5129</v>
      </c>
      <c r="AY1037" s="81" t="s">
        <v>5721</v>
      </c>
      <c r="AZ1037" s="81" t="s">
        <v>5382</v>
      </c>
      <c r="BA1037" s="81" t="s">
        <v>5773</v>
      </c>
      <c r="BB1037" s="81" t="s">
        <v>5773</v>
      </c>
      <c r="BC1037" s="81" t="s">
        <v>5382</v>
      </c>
      <c r="BD1037" s="77">
        <v>297885438</v>
      </c>
      <c r="BE1037" s="77"/>
      <c r="BF1037" s="77"/>
      <c r="BG1037" s="77"/>
      <c r="BH1037" s="77"/>
      <c r="BI1037" s="77"/>
    </row>
    <row r="1038" spans="1:61" ht="15">
      <c r="A1038" s="62" t="s">
        <v>299</v>
      </c>
      <c r="B1038" s="62" t="s">
        <v>299</v>
      </c>
      <c r="C1038" s="63"/>
      <c r="D1038" s="64"/>
      <c r="E1038" s="65"/>
      <c r="F1038" s="66"/>
      <c r="G1038" s="63"/>
      <c r="H1038" s="67"/>
      <c r="I1038" s="68"/>
      <c r="J1038" s="68"/>
      <c r="K1038" s="32" t="s">
        <v>65</v>
      </c>
      <c r="L1038" s="75">
        <v>1038</v>
      </c>
      <c r="M1038" s="75"/>
      <c r="N1038" s="70"/>
      <c r="O1038" s="77" t="s">
        <v>572</v>
      </c>
      <c r="P1038" s="79">
        <v>45271.31109953704</v>
      </c>
      <c r="Q1038" s="77" t="s">
        <v>1420</v>
      </c>
      <c r="R1038" s="77">
        <v>0</v>
      </c>
      <c r="S1038" s="77">
        <v>0</v>
      </c>
      <c r="T1038" s="77">
        <v>1</v>
      </c>
      <c r="U1038" s="77">
        <v>0</v>
      </c>
      <c r="V1038" s="77">
        <v>8</v>
      </c>
      <c r="W1038" s="81" t="s">
        <v>1880</v>
      </c>
      <c r="X1038" s="77"/>
      <c r="Y1038" s="77"/>
      <c r="Z1038" s="77"/>
      <c r="AA1038" s="77"/>
      <c r="AB1038" s="77"/>
      <c r="AC1038" s="81" t="s">
        <v>2707</v>
      </c>
      <c r="AD1038" s="77" t="s">
        <v>2751</v>
      </c>
      <c r="AE1038" s="80" t="str">
        <f>HYPERLINK("https://twitter.com/inovies/status/1734112778158293281")</f>
        <v>https://twitter.com/inovies/status/1734112778158293281</v>
      </c>
      <c r="AF1038" s="79">
        <v>45271.31109953704</v>
      </c>
      <c r="AG1038" s="85">
        <v>45271</v>
      </c>
      <c r="AH1038" s="81" t="s">
        <v>3611</v>
      </c>
      <c r="AI1038" s="77"/>
      <c r="AJ1038" s="77"/>
      <c r="AK1038" s="77"/>
      <c r="AL1038" s="77"/>
      <c r="AM1038" s="77"/>
      <c r="AN1038" s="77"/>
      <c r="AO1038" s="77"/>
      <c r="AP1038" s="77"/>
      <c r="AQ1038" s="77"/>
      <c r="AR1038" s="77"/>
      <c r="AS1038" s="77"/>
      <c r="AT1038" s="77"/>
      <c r="AU1038" s="77"/>
      <c r="AV1038" s="80" t="str">
        <f>HYPERLINK("https://pbs.twimg.com/profile_images/833576943677214720/5ZyUgpEJ_normal.jpg")</f>
        <v>https://pbs.twimg.com/profile_images/833576943677214720/5ZyUgpEJ_normal.jpg</v>
      </c>
      <c r="AW1038" s="81" t="s">
        <v>5382</v>
      </c>
      <c r="AX1038" s="81" t="s">
        <v>5129</v>
      </c>
      <c r="AY1038" s="81" t="s">
        <v>5721</v>
      </c>
      <c r="AZ1038" s="81" t="s">
        <v>5383</v>
      </c>
      <c r="BA1038" s="81" t="s">
        <v>5773</v>
      </c>
      <c r="BB1038" s="81" t="s">
        <v>5773</v>
      </c>
      <c r="BC1038" s="81" t="s">
        <v>5383</v>
      </c>
      <c r="BD1038" s="77">
        <v>297885438</v>
      </c>
      <c r="BE1038" s="77"/>
      <c r="BF1038" s="77"/>
      <c r="BG1038" s="77"/>
      <c r="BH1038" s="77"/>
      <c r="BI1038" s="77"/>
    </row>
    <row r="1039" spans="1:61" ht="15">
      <c r="A1039" s="62" t="s">
        <v>299</v>
      </c>
      <c r="B1039" s="62" t="s">
        <v>299</v>
      </c>
      <c r="C1039" s="63"/>
      <c r="D1039" s="64"/>
      <c r="E1039" s="65"/>
      <c r="F1039" s="66"/>
      <c r="G1039" s="63"/>
      <c r="H1039" s="67"/>
      <c r="I1039" s="68"/>
      <c r="J1039" s="68"/>
      <c r="K1039" s="32" t="s">
        <v>65</v>
      </c>
      <c r="L1039" s="75">
        <v>1039</v>
      </c>
      <c r="M1039" s="75"/>
      <c r="N1039" s="70"/>
      <c r="O1039" s="77" t="s">
        <v>572</v>
      </c>
      <c r="P1039" s="79">
        <v>45271.31108796296</v>
      </c>
      <c r="Q1039" s="77" t="s">
        <v>1421</v>
      </c>
      <c r="R1039" s="77">
        <v>0</v>
      </c>
      <c r="S1039" s="77">
        <v>0</v>
      </c>
      <c r="T1039" s="77">
        <v>1</v>
      </c>
      <c r="U1039" s="77">
        <v>0</v>
      </c>
      <c r="V1039" s="77">
        <v>8</v>
      </c>
      <c r="W1039" s="81" t="s">
        <v>1880</v>
      </c>
      <c r="X1039" s="77"/>
      <c r="Y1039" s="77"/>
      <c r="Z1039" s="77"/>
      <c r="AA1039" s="77"/>
      <c r="AB1039" s="77"/>
      <c r="AC1039" s="81" t="s">
        <v>2707</v>
      </c>
      <c r="AD1039" s="77" t="s">
        <v>2751</v>
      </c>
      <c r="AE1039" s="80" t="str">
        <f>HYPERLINK("https://twitter.com/inovies/status/1734112776077865214")</f>
        <v>https://twitter.com/inovies/status/1734112776077865214</v>
      </c>
      <c r="AF1039" s="79">
        <v>45271.31108796296</v>
      </c>
      <c r="AG1039" s="85">
        <v>45271</v>
      </c>
      <c r="AH1039" s="81" t="s">
        <v>3612</v>
      </c>
      <c r="AI1039" s="77"/>
      <c r="AJ1039" s="77"/>
      <c r="AK1039" s="77"/>
      <c r="AL1039" s="77"/>
      <c r="AM1039" s="77"/>
      <c r="AN1039" s="77"/>
      <c r="AO1039" s="77"/>
      <c r="AP1039" s="77"/>
      <c r="AQ1039" s="77"/>
      <c r="AR1039" s="77"/>
      <c r="AS1039" s="77"/>
      <c r="AT1039" s="77"/>
      <c r="AU1039" s="77"/>
      <c r="AV1039" s="80" t="str">
        <f>HYPERLINK("https://pbs.twimg.com/profile_images/833576943677214720/5ZyUgpEJ_normal.jpg")</f>
        <v>https://pbs.twimg.com/profile_images/833576943677214720/5ZyUgpEJ_normal.jpg</v>
      </c>
      <c r="AW1039" s="81" t="s">
        <v>5383</v>
      </c>
      <c r="AX1039" s="81" t="s">
        <v>5129</v>
      </c>
      <c r="AY1039" s="81" t="s">
        <v>5721</v>
      </c>
      <c r="AZ1039" s="81" t="s">
        <v>5384</v>
      </c>
      <c r="BA1039" s="81" t="s">
        <v>5773</v>
      </c>
      <c r="BB1039" s="81" t="s">
        <v>5773</v>
      </c>
      <c r="BC1039" s="81" t="s">
        <v>5384</v>
      </c>
      <c r="BD1039" s="77">
        <v>297885438</v>
      </c>
      <c r="BE1039" s="77"/>
      <c r="BF1039" s="77"/>
      <c r="BG1039" s="77"/>
      <c r="BH1039" s="77"/>
      <c r="BI1039" s="77"/>
    </row>
    <row r="1040" spans="1:61" ht="15">
      <c r="A1040" s="62" t="s">
        <v>299</v>
      </c>
      <c r="B1040" s="62" t="s">
        <v>299</v>
      </c>
      <c r="C1040" s="63"/>
      <c r="D1040" s="64"/>
      <c r="E1040" s="65"/>
      <c r="F1040" s="66"/>
      <c r="G1040" s="63"/>
      <c r="H1040" s="67"/>
      <c r="I1040" s="68"/>
      <c r="J1040" s="68"/>
      <c r="K1040" s="32" t="s">
        <v>65</v>
      </c>
      <c r="L1040" s="75">
        <v>1040</v>
      </c>
      <c r="M1040" s="75"/>
      <c r="N1040" s="70"/>
      <c r="O1040" s="77" t="s">
        <v>572</v>
      </c>
      <c r="P1040" s="79">
        <v>45271.31108796296</v>
      </c>
      <c r="Q1040" s="77" t="s">
        <v>1422</v>
      </c>
      <c r="R1040" s="77">
        <v>0</v>
      </c>
      <c r="S1040" s="77">
        <v>0</v>
      </c>
      <c r="T1040" s="77">
        <v>1</v>
      </c>
      <c r="U1040" s="77">
        <v>0</v>
      </c>
      <c r="V1040" s="77">
        <v>8</v>
      </c>
      <c r="W1040" s="81" t="s">
        <v>1880</v>
      </c>
      <c r="X1040" s="77"/>
      <c r="Y1040" s="77"/>
      <c r="Z1040" s="77"/>
      <c r="AA1040" s="77"/>
      <c r="AB1040" s="77"/>
      <c r="AC1040" s="81" t="s">
        <v>2707</v>
      </c>
      <c r="AD1040" s="77" t="s">
        <v>2751</v>
      </c>
      <c r="AE1040" s="80" t="str">
        <f>HYPERLINK("https://twitter.com/inovies/status/1734112773964018026")</f>
        <v>https://twitter.com/inovies/status/1734112773964018026</v>
      </c>
      <c r="AF1040" s="79">
        <v>45271.31108796296</v>
      </c>
      <c r="AG1040" s="85">
        <v>45271</v>
      </c>
      <c r="AH1040" s="81" t="s">
        <v>3612</v>
      </c>
      <c r="AI1040" s="77"/>
      <c r="AJ1040" s="77"/>
      <c r="AK1040" s="77"/>
      <c r="AL1040" s="77"/>
      <c r="AM1040" s="77"/>
      <c r="AN1040" s="77"/>
      <c r="AO1040" s="77"/>
      <c r="AP1040" s="77"/>
      <c r="AQ1040" s="77"/>
      <c r="AR1040" s="77"/>
      <c r="AS1040" s="77"/>
      <c r="AT1040" s="77"/>
      <c r="AU1040" s="77"/>
      <c r="AV1040" s="80" t="str">
        <f>HYPERLINK("https://pbs.twimg.com/profile_images/833576943677214720/5ZyUgpEJ_normal.jpg")</f>
        <v>https://pbs.twimg.com/profile_images/833576943677214720/5ZyUgpEJ_normal.jpg</v>
      </c>
      <c r="AW1040" s="81" t="s">
        <v>5384</v>
      </c>
      <c r="AX1040" s="81" t="s">
        <v>5129</v>
      </c>
      <c r="AY1040" s="81" t="s">
        <v>5721</v>
      </c>
      <c r="AZ1040" s="81" t="s">
        <v>5124</v>
      </c>
      <c r="BA1040" s="81" t="s">
        <v>5773</v>
      </c>
      <c r="BB1040" s="81" t="s">
        <v>5773</v>
      </c>
      <c r="BC1040" s="81" t="s">
        <v>5124</v>
      </c>
      <c r="BD1040" s="77">
        <v>297885438</v>
      </c>
      <c r="BE1040" s="77"/>
      <c r="BF1040" s="77"/>
      <c r="BG1040" s="77"/>
      <c r="BH1040" s="77"/>
      <c r="BI1040" s="77"/>
    </row>
    <row r="1041" spans="1:61" ht="15">
      <c r="A1041" s="62" t="s">
        <v>299</v>
      </c>
      <c r="B1041" s="62" t="s">
        <v>299</v>
      </c>
      <c r="C1041" s="63"/>
      <c r="D1041" s="64"/>
      <c r="E1041" s="65"/>
      <c r="F1041" s="66"/>
      <c r="G1041" s="63"/>
      <c r="H1041" s="67"/>
      <c r="I1041" s="68"/>
      <c r="J1041" s="68"/>
      <c r="K1041" s="32" t="s">
        <v>65</v>
      </c>
      <c r="L1041" s="75">
        <v>1041</v>
      </c>
      <c r="M1041" s="75"/>
      <c r="N1041" s="70"/>
      <c r="O1041" s="77" t="s">
        <v>572</v>
      </c>
      <c r="P1041" s="79">
        <v>45269.40015046296</v>
      </c>
      <c r="Q1041" s="77" t="s">
        <v>1423</v>
      </c>
      <c r="R1041" s="77">
        <v>0</v>
      </c>
      <c r="S1041" s="77">
        <v>0</v>
      </c>
      <c r="T1041" s="77">
        <v>0</v>
      </c>
      <c r="U1041" s="77">
        <v>0</v>
      </c>
      <c r="V1041" s="77">
        <v>14</v>
      </c>
      <c r="W1041" s="81" t="s">
        <v>1881</v>
      </c>
      <c r="X1041" s="80" t="str">
        <f>HYPERLINK("https://inovies.com")</f>
        <v>https://inovies.com</v>
      </c>
      <c r="Y1041" s="77" t="s">
        <v>1982</v>
      </c>
      <c r="Z1041" s="77"/>
      <c r="AA1041" s="77" t="s">
        <v>2491</v>
      </c>
      <c r="AB1041" s="77" t="s">
        <v>2696</v>
      </c>
      <c r="AC1041" s="81" t="s">
        <v>2707</v>
      </c>
      <c r="AD1041" s="77" t="s">
        <v>2752</v>
      </c>
      <c r="AE1041" s="80" t="str">
        <f>HYPERLINK("https://twitter.com/inovies/status/1733420272525439100")</f>
        <v>https://twitter.com/inovies/status/1733420272525439100</v>
      </c>
      <c r="AF1041" s="79">
        <v>45269.40015046296</v>
      </c>
      <c r="AG1041" s="85">
        <v>45269</v>
      </c>
      <c r="AH1041" s="81" t="s">
        <v>3613</v>
      </c>
      <c r="AI1041" s="77" t="b">
        <v>0</v>
      </c>
      <c r="AJ1041" s="77"/>
      <c r="AK1041" s="77"/>
      <c r="AL1041" s="77"/>
      <c r="AM1041" s="77"/>
      <c r="AN1041" s="77"/>
      <c r="AO1041" s="77"/>
      <c r="AP1041" s="77"/>
      <c r="AQ1041" s="77" t="s">
        <v>4305</v>
      </c>
      <c r="AR1041" s="77"/>
      <c r="AS1041" s="77"/>
      <c r="AT1041" s="77"/>
      <c r="AU1041" s="77"/>
      <c r="AV1041" s="80" t="str">
        <f>HYPERLINK("https://pbs.twimg.com/media/GA5Yi8NWwAAGDW9.jpg")</f>
        <v>https://pbs.twimg.com/media/GA5Yi8NWwAAGDW9.jpg</v>
      </c>
      <c r="AW1041" s="81" t="s">
        <v>5385</v>
      </c>
      <c r="AX1041" s="81" t="s">
        <v>5294</v>
      </c>
      <c r="AY1041" s="81" t="s">
        <v>5721</v>
      </c>
      <c r="AZ1041" s="81" t="s">
        <v>5294</v>
      </c>
      <c r="BA1041" s="81" t="s">
        <v>5773</v>
      </c>
      <c r="BB1041" s="81" t="s">
        <v>5773</v>
      </c>
      <c r="BC1041" s="81" t="s">
        <v>5294</v>
      </c>
      <c r="BD1041" s="77">
        <v>297885438</v>
      </c>
      <c r="BE1041" s="77"/>
      <c r="BF1041" s="77"/>
      <c r="BG1041" s="77"/>
      <c r="BH1041" s="77"/>
      <c r="BI1041" s="77"/>
    </row>
    <row r="1042" spans="1:61" ht="15">
      <c r="A1042" s="62" t="s">
        <v>299</v>
      </c>
      <c r="B1042" s="62" t="s">
        <v>299</v>
      </c>
      <c r="C1042" s="63"/>
      <c r="D1042" s="64"/>
      <c r="E1042" s="65"/>
      <c r="F1042" s="66"/>
      <c r="G1042" s="63"/>
      <c r="H1042" s="67"/>
      <c r="I1042" s="68"/>
      <c r="J1042" s="68"/>
      <c r="K1042" s="32" t="s">
        <v>65</v>
      </c>
      <c r="L1042" s="75">
        <v>1042</v>
      </c>
      <c r="M1042" s="75"/>
      <c r="N1042" s="70"/>
      <c r="O1042" s="77" t="s">
        <v>572</v>
      </c>
      <c r="P1042" s="79">
        <v>45269.398506944446</v>
      </c>
      <c r="Q1042" s="77" t="s">
        <v>1424</v>
      </c>
      <c r="R1042" s="77">
        <v>0</v>
      </c>
      <c r="S1042" s="77">
        <v>0</v>
      </c>
      <c r="T1042" s="77">
        <v>0</v>
      </c>
      <c r="U1042" s="77">
        <v>0</v>
      </c>
      <c r="V1042" s="77">
        <v>10</v>
      </c>
      <c r="W1042" s="81" t="s">
        <v>1881</v>
      </c>
      <c r="X1042" s="80" t="str">
        <f>HYPERLINK("https://inovies.com")</f>
        <v>https://inovies.com</v>
      </c>
      <c r="Y1042" s="77" t="s">
        <v>1982</v>
      </c>
      <c r="Z1042" s="77"/>
      <c r="AA1042" s="77" t="s">
        <v>2492</v>
      </c>
      <c r="AB1042" s="77" t="s">
        <v>2696</v>
      </c>
      <c r="AC1042" s="81" t="s">
        <v>2707</v>
      </c>
      <c r="AD1042" s="77" t="s">
        <v>2752</v>
      </c>
      <c r="AE1042" s="80" t="str">
        <f>HYPERLINK("https://twitter.com/inovies/status/1733419680843301065")</f>
        <v>https://twitter.com/inovies/status/1733419680843301065</v>
      </c>
      <c r="AF1042" s="79">
        <v>45269.398506944446</v>
      </c>
      <c r="AG1042" s="85">
        <v>45269</v>
      </c>
      <c r="AH1042" s="81" t="s">
        <v>3614</v>
      </c>
      <c r="AI1042" s="77" t="b">
        <v>0</v>
      </c>
      <c r="AJ1042" s="77"/>
      <c r="AK1042" s="77"/>
      <c r="AL1042" s="77"/>
      <c r="AM1042" s="77"/>
      <c r="AN1042" s="77"/>
      <c r="AO1042" s="77"/>
      <c r="AP1042" s="77"/>
      <c r="AQ1042" s="77" t="s">
        <v>4306</v>
      </c>
      <c r="AR1042" s="77"/>
      <c r="AS1042" s="77"/>
      <c r="AT1042" s="77"/>
      <c r="AU1042" s="77"/>
      <c r="AV1042" s="80" t="str">
        <f>HYPERLINK("https://pbs.twimg.com/media/GA5YAZ1W8AE_54t.jpg")</f>
        <v>https://pbs.twimg.com/media/GA5YAZ1W8AE_54t.jpg</v>
      </c>
      <c r="AW1042" s="81" t="s">
        <v>5386</v>
      </c>
      <c r="AX1042" s="81" t="s">
        <v>5294</v>
      </c>
      <c r="AY1042" s="81" t="s">
        <v>5721</v>
      </c>
      <c r="AZ1042" s="81" t="s">
        <v>5294</v>
      </c>
      <c r="BA1042" s="81" t="s">
        <v>5773</v>
      </c>
      <c r="BB1042" s="81" t="s">
        <v>5773</v>
      </c>
      <c r="BC1042" s="81" t="s">
        <v>5294</v>
      </c>
      <c r="BD1042" s="77">
        <v>297885438</v>
      </c>
      <c r="BE1042" s="77"/>
      <c r="BF1042" s="77"/>
      <c r="BG1042" s="77"/>
      <c r="BH1042" s="77"/>
      <c r="BI1042" s="77"/>
    </row>
    <row r="1043" spans="1:61" ht="15">
      <c r="A1043" s="62" t="s">
        <v>299</v>
      </c>
      <c r="B1043" s="62" t="s">
        <v>299</v>
      </c>
      <c r="C1043" s="63"/>
      <c r="D1043" s="64"/>
      <c r="E1043" s="65"/>
      <c r="F1043" s="66"/>
      <c r="G1043" s="63"/>
      <c r="H1043" s="67"/>
      <c r="I1043" s="68"/>
      <c r="J1043" s="68"/>
      <c r="K1043" s="32" t="s">
        <v>65</v>
      </c>
      <c r="L1043" s="75">
        <v>1043</v>
      </c>
      <c r="M1043" s="75"/>
      <c r="N1043" s="70"/>
      <c r="O1043" s="77" t="s">
        <v>572</v>
      </c>
      <c r="P1043" s="79">
        <v>45269.39755787037</v>
      </c>
      <c r="Q1043" s="77" t="s">
        <v>1425</v>
      </c>
      <c r="R1043" s="77">
        <v>0</v>
      </c>
      <c r="S1043" s="77">
        <v>0</v>
      </c>
      <c r="T1043" s="77">
        <v>0</v>
      </c>
      <c r="U1043" s="77">
        <v>0</v>
      </c>
      <c r="V1043" s="77">
        <v>10</v>
      </c>
      <c r="W1043" s="81" t="s">
        <v>1881</v>
      </c>
      <c r="X1043" s="80" t="str">
        <f>HYPERLINK("https://inovies.com")</f>
        <v>https://inovies.com</v>
      </c>
      <c r="Y1043" s="77" t="s">
        <v>1982</v>
      </c>
      <c r="Z1043" s="77"/>
      <c r="AA1043" s="77" t="s">
        <v>2493</v>
      </c>
      <c r="AB1043" s="77" t="s">
        <v>2696</v>
      </c>
      <c r="AC1043" s="81" t="s">
        <v>2707</v>
      </c>
      <c r="AD1043" s="77" t="s">
        <v>2752</v>
      </c>
      <c r="AE1043" s="80" t="str">
        <f>HYPERLINK("https://twitter.com/inovies/status/1733419333177557355")</f>
        <v>https://twitter.com/inovies/status/1733419333177557355</v>
      </c>
      <c r="AF1043" s="79">
        <v>45269.39755787037</v>
      </c>
      <c r="AG1043" s="85">
        <v>45269</v>
      </c>
      <c r="AH1043" s="81" t="s">
        <v>3615</v>
      </c>
      <c r="AI1043" s="77" t="b">
        <v>0</v>
      </c>
      <c r="AJ1043" s="77"/>
      <c r="AK1043" s="77"/>
      <c r="AL1043" s="77"/>
      <c r="AM1043" s="77"/>
      <c r="AN1043" s="77"/>
      <c r="AO1043" s="77"/>
      <c r="AP1043" s="77"/>
      <c r="AQ1043" s="77" t="s">
        <v>4307</v>
      </c>
      <c r="AR1043" s="77"/>
      <c r="AS1043" s="77"/>
      <c r="AT1043" s="77"/>
      <c r="AU1043" s="77"/>
      <c r="AV1043" s="80" t="str">
        <f>HYPERLINK("https://pbs.twimg.com/media/GA5XsTQWsAAWUDS.jpg")</f>
        <v>https://pbs.twimg.com/media/GA5XsTQWsAAWUDS.jpg</v>
      </c>
      <c r="AW1043" s="81" t="s">
        <v>5387</v>
      </c>
      <c r="AX1043" s="81" t="s">
        <v>5294</v>
      </c>
      <c r="AY1043" s="81" t="s">
        <v>5721</v>
      </c>
      <c r="AZ1043" s="81" t="s">
        <v>5294</v>
      </c>
      <c r="BA1043" s="81" t="s">
        <v>5773</v>
      </c>
      <c r="BB1043" s="81" t="s">
        <v>5773</v>
      </c>
      <c r="BC1043" s="81" t="s">
        <v>5294</v>
      </c>
      <c r="BD1043" s="77">
        <v>297885438</v>
      </c>
      <c r="BE1043" s="77"/>
      <c r="BF1043" s="77"/>
      <c r="BG1043" s="77"/>
      <c r="BH1043" s="77"/>
      <c r="BI1043" s="77"/>
    </row>
    <row r="1044" spans="1:61" ht="15">
      <c r="A1044" s="62" t="s">
        <v>299</v>
      </c>
      <c r="B1044" s="62" t="s">
        <v>299</v>
      </c>
      <c r="C1044" s="63"/>
      <c r="D1044" s="64"/>
      <c r="E1044" s="65"/>
      <c r="F1044" s="66"/>
      <c r="G1044" s="63"/>
      <c r="H1044" s="67"/>
      <c r="I1044" s="68"/>
      <c r="J1044" s="68"/>
      <c r="K1044" s="32" t="s">
        <v>65</v>
      </c>
      <c r="L1044" s="75">
        <v>1044</v>
      </c>
      <c r="M1044" s="75"/>
      <c r="N1044" s="70"/>
      <c r="O1044" s="77" t="s">
        <v>572</v>
      </c>
      <c r="P1044" s="79">
        <v>45269.396631944444</v>
      </c>
      <c r="Q1044" s="77" t="s">
        <v>1426</v>
      </c>
      <c r="R1044" s="77">
        <v>0</v>
      </c>
      <c r="S1044" s="77">
        <v>0</v>
      </c>
      <c r="T1044" s="77">
        <v>0</v>
      </c>
      <c r="U1044" s="77">
        <v>0</v>
      </c>
      <c r="V1044" s="77">
        <v>10</v>
      </c>
      <c r="W1044" s="81" t="s">
        <v>1881</v>
      </c>
      <c r="X1044" s="80" t="str">
        <f>HYPERLINK("https://inovies.com")</f>
        <v>https://inovies.com</v>
      </c>
      <c r="Y1044" s="77" t="s">
        <v>1982</v>
      </c>
      <c r="Z1044" s="77"/>
      <c r="AA1044" s="77" t="s">
        <v>2494</v>
      </c>
      <c r="AB1044" s="77" t="s">
        <v>2696</v>
      </c>
      <c r="AC1044" s="81" t="s">
        <v>2707</v>
      </c>
      <c r="AD1044" s="77" t="s">
        <v>2752</v>
      </c>
      <c r="AE1044" s="80" t="str">
        <f>HYPERLINK("https://twitter.com/inovies/status/1733418998967001250")</f>
        <v>https://twitter.com/inovies/status/1733418998967001250</v>
      </c>
      <c r="AF1044" s="79">
        <v>45269.396631944444</v>
      </c>
      <c r="AG1044" s="85">
        <v>45269</v>
      </c>
      <c r="AH1044" s="81" t="s">
        <v>3616</v>
      </c>
      <c r="AI1044" s="77" t="b">
        <v>0</v>
      </c>
      <c r="AJ1044" s="77"/>
      <c r="AK1044" s="77"/>
      <c r="AL1044" s="77"/>
      <c r="AM1044" s="77"/>
      <c r="AN1044" s="77"/>
      <c r="AO1044" s="77"/>
      <c r="AP1044" s="77"/>
      <c r="AQ1044" s="77" t="s">
        <v>4308</v>
      </c>
      <c r="AR1044" s="77"/>
      <c r="AS1044" s="77"/>
      <c r="AT1044" s="77"/>
      <c r="AU1044" s="77"/>
      <c r="AV1044" s="80" t="str">
        <f>HYPERLINK("https://pbs.twimg.com/media/GA5XYaJXgAA7Zuo.jpg")</f>
        <v>https://pbs.twimg.com/media/GA5XYaJXgAA7Zuo.jpg</v>
      </c>
      <c r="AW1044" s="81" t="s">
        <v>5388</v>
      </c>
      <c r="AX1044" s="81" t="s">
        <v>5294</v>
      </c>
      <c r="AY1044" s="81" t="s">
        <v>5721</v>
      </c>
      <c r="AZ1044" s="81" t="s">
        <v>5294</v>
      </c>
      <c r="BA1044" s="81" t="s">
        <v>5773</v>
      </c>
      <c r="BB1044" s="81" t="s">
        <v>5773</v>
      </c>
      <c r="BC1044" s="81" t="s">
        <v>5294</v>
      </c>
      <c r="BD1044" s="77">
        <v>297885438</v>
      </c>
      <c r="BE1044" s="77"/>
      <c r="BF1044" s="77"/>
      <c r="BG1044" s="77"/>
      <c r="BH1044" s="77"/>
      <c r="BI1044" s="77"/>
    </row>
    <row r="1045" spans="1:61" ht="15">
      <c r="A1045" s="62" t="s">
        <v>299</v>
      </c>
      <c r="B1045" s="62" t="s">
        <v>299</v>
      </c>
      <c r="C1045" s="63"/>
      <c r="D1045" s="64"/>
      <c r="E1045" s="65"/>
      <c r="F1045" s="66"/>
      <c r="G1045" s="63"/>
      <c r="H1045" s="67"/>
      <c r="I1045" s="68"/>
      <c r="J1045" s="68"/>
      <c r="K1045" s="32" t="s">
        <v>65</v>
      </c>
      <c r="L1045" s="75">
        <v>1045</v>
      </c>
      <c r="M1045" s="75"/>
      <c r="N1045" s="70"/>
      <c r="O1045" s="77" t="s">
        <v>572</v>
      </c>
      <c r="P1045" s="79">
        <v>45268.32451388889</v>
      </c>
      <c r="Q1045" s="77" t="s">
        <v>1427</v>
      </c>
      <c r="R1045" s="77">
        <v>0</v>
      </c>
      <c r="S1045" s="77">
        <v>0</v>
      </c>
      <c r="T1045" s="77">
        <v>0</v>
      </c>
      <c r="U1045" s="77">
        <v>0</v>
      </c>
      <c r="V1045" s="77">
        <v>9</v>
      </c>
      <c r="W1045" s="81" t="s">
        <v>1871</v>
      </c>
      <c r="X1045" s="80" t="str">
        <f>HYPERLINK("https://inovies.com")</f>
        <v>https://inovies.com</v>
      </c>
      <c r="Y1045" s="77" t="s">
        <v>1982</v>
      </c>
      <c r="Z1045" s="77"/>
      <c r="AA1045" s="77" t="s">
        <v>2495</v>
      </c>
      <c r="AB1045" s="77" t="s">
        <v>2696</v>
      </c>
      <c r="AC1045" s="81" t="s">
        <v>2707</v>
      </c>
      <c r="AD1045" s="77" t="s">
        <v>2752</v>
      </c>
      <c r="AE1045" s="80" t="str">
        <f>HYPERLINK("https://twitter.com/inovies/status/1733030475487137921")</f>
        <v>https://twitter.com/inovies/status/1733030475487137921</v>
      </c>
      <c r="AF1045" s="79">
        <v>45268.32451388889</v>
      </c>
      <c r="AG1045" s="85">
        <v>45268</v>
      </c>
      <c r="AH1045" s="81" t="s">
        <v>3617</v>
      </c>
      <c r="AI1045" s="77" t="b">
        <v>0</v>
      </c>
      <c r="AJ1045" s="77"/>
      <c r="AK1045" s="77"/>
      <c r="AL1045" s="77"/>
      <c r="AM1045" s="77"/>
      <c r="AN1045" s="77"/>
      <c r="AO1045" s="77"/>
      <c r="AP1045" s="77"/>
      <c r="AQ1045" s="77" t="s">
        <v>4309</v>
      </c>
      <c r="AR1045" s="77"/>
      <c r="AS1045" s="77"/>
      <c r="AT1045" s="77"/>
      <c r="AU1045" s="77"/>
      <c r="AV1045" s="80" t="str">
        <f>HYPERLINK("https://pbs.twimg.com/media/GAz2BsWXcAASk1E.jpg")</f>
        <v>https://pbs.twimg.com/media/GAz2BsWXcAASk1E.jpg</v>
      </c>
      <c r="AW1045" s="81" t="s">
        <v>5389</v>
      </c>
      <c r="AX1045" s="81" t="s">
        <v>5557</v>
      </c>
      <c r="AY1045" s="81" t="s">
        <v>5721</v>
      </c>
      <c r="AZ1045" s="81" t="s">
        <v>5557</v>
      </c>
      <c r="BA1045" s="81" t="s">
        <v>5773</v>
      </c>
      <c r="BB1045" s="81" t="s">
        <v>5773</v>
      </c>
      <c r="BC1045" s="81" t="s">
        <v>5557</v>
      </c>
      <c r="BD1045" s="77">
        <v>297885438</v>
      </c>
      <c r="BE1045" s="77"/>
      <c r="BF1045" s="77"/>
      <c r="BG1045" s="77"/>
      <c r="BH1045" s="77"/>
      <c r="BI1045" s="77"/>
    </row>
    <row r="1046" spans="1:61" ht="15">
      <c r="A1046" s="62" t="s">
        <v>299</v>
      </c>
      <c r="B1046" s="62" t="s">
        <v>299</v>
      </c>
      <c r="C1046" s="63"/>
      <c r="D1046" s="64"/>
      <c r="E1046" s="65"/>
      <c r="F1046" s="66"/>
      <c r="G1046" s="63"/>
      <c r="H1046" s="67"/>
      <c r="I1046" s="68"/>
      <c r="J1046" s="68"/>
      <c r="K1046" s="32" t="s">
        <v>65</v>
      </c>
      <c r="L1046" s="75">
        <v>1046</v>
      </c>
      <c r="M1046" s="75"/>
      <c r="N1046" s="70"/>
      <c r="O1046" s="77" t="s">
        <v>572</v>
      </c>
      <c r="P1046" s="79">
        <v>45268.32375</v>
      </c>
      <c r="Q1046" s="77" t="s">
        <v>1428</v>
      </c>
      <c r="R1046" s="77">
        <v>0</v>
      </c>
      <c r="S1046" s="77">
        <v>0</v>
      </c>
      <c r="T1046" s="77">
        <v>0</v>
      </c>
      <c r="U1046" s="77">
        <v>0</v>
      </c>
      <c r="V1046" s="77">
        <v>9</v>
      </c>
      <c r="W1046" s="81" t="s">
        <v>1871</v>
      </c>
      <c r="X1046" s="80" t="str">
        <f>HYPERLINK("https://inovies.com")</f>
        <v>https://inovies.com</v>
      </c>
      <c r="Y1046" s="77" t="s">
        <v>1982</v>
      </c>
      <c r="Z1046" s="77"/>
      <c r="AA1046" s="77" t="s">
        <v>2496</v>
      </c>
      <c r="AB1046" s="77" t="s">
        <v>2696</v>
      </c>
      <c r="AC1046" s="81" t="s">
        <v>2707</v>
      </c>
      <c r="AD1046" s="77" t="s">
        <v>2752</v>
      </c>
      <c r="AE1046" s="80" t="str">
        <f>HYPERLINK("https://twitter.com/inovies/status/1733030198684086600")</f>
        <v>https://twitter.com/inovies/status/1733030198684086600</v>
      </c>
      <c r="AF1046" s="79">
        <v>45268.32375</v>
      </c>
      <c r="AG1046" s="85">
        <v>45268</v>
      </c>
      <c r="AH1046" s="81" t="s">
        <v>3618</v>
      </c>
      <c r="AI1046" s="77" t="b">
        <v>0</v>
      </c>
      <c r="AJ1046" s="77"/>
      <c r="AK1046" s="77"/>
      <c r="AL1046" s="77"/>
      <c r="AM1046" s="77"/>
      <c r="AN1046" s="77"/>
      <c r="AO1046" s="77"/>
      <c r="AP1046" s="77"/>
      <c r="AQ1046" s="77" t="s">
        <v>4310</v>
      </c>
      <c r="AR1046" s="77"/>
      <c r="AS1046" s="77"/>
      <c r="AT1046" s="77"/>
      <c r="AU1046" s="77"/>
      <c r="AV1046" s="80" t="str">
        <f>HYPERLINK("https://pbs.twimg.com/media/GAz1xuaXYAAO0Ch.jpg")</f>
        <v>https://pbs.twimg.com/media/GAz1xuaXYAAO0Ch.jpg</v>
      </c>
      <c r="AW1046" s="81" t="s">
        <v>5390</v>
      </c>
      <c r="AX1046" s="81" t="s">
        <v>5557</v>
      </c>
      <c r="AY1046" s="81" t="s">
        <v>5721</v>
      </c>
      <c r="AZ1046" s="81" t="s">
        <v>5557</v>
      </c>
      <c r="BA1046" s="81" t="s">
        <v>5773</v>
      </c>
      <c r="BB1046" s="81" t="s">
        <v>5773</v>
      </c>
      <c r="BC1046" s="81" t="s">
        <v>5557</v>
      </c>
      <c r="BD1046" s="77">
        <v>297885438</v>
      </c>
      <c r="BE1046" s="77"/>
      <c r="BF1046" s="77"/>
      <c r="BG1046" s="77"/>
      <c r="BH1046" s="77"/>
      <c r="BI1046" s="77"/>
    </row>
    <row r="1047" spans="1:61" ht="15">
      <c r="A1047" s="62" t="s">
        <v>299</v>
      </c>
      <c r="B1047" s="62" t="s">
        <v>299</v>
      </c>
      <c r="C1047" s="63"/>
      <c r="D1047" s="64"/>
      <c r="E1047" s="65"/>
      <c r="F1047" s="66"/>
      <c r="G1047" s="63"/>
      <c r="H1047" s="67"/>
      <c r="I1047" s="68"/>
      <c r="J1047" s="68"/>
      <c r="K1047" s="32" t="s">
        <v>65</v>
      </c>
      <c r="L1047" s="75">
        <v>1047</v>
      </c>
      <c r="M1047" s="75"/>
      <c r="N1047" s="70"/>
      <c r="O1047" s="77" t="s">
        <v>572</v>
      </c>
      <c r="P1047" s="79">
        <v>45268.32336805556</v>
      </c>
      <c r="Q1047" s="77" t="s">
        <v>1429</v>
      </c>
      <c r="R1047" s="77">
        <v>0</v>
      </c>
      <c r="S1047" s="77">
        <v>0</v>
      </c>
      <c r="T1047" s="77">
        <v>0</v>
      </c>
      <c r="U1047" s="77">
        <v>0</v>
      </c>
      <c r="V1047" s="77">
        <v>10</v>
      </c>
      <c r="W1047" s="81" t="s">
        <v>1871</v>
      </c>
      <c r="X1047" s="80" t="str">
        <f>HYPERLINK("https://inovies.com")</f>
        <v>https://inovies.com</v>
      </c>
      <c r="Y1047" s="77" t="s">
        <v>1982</v>
      </c>
      <c r="Z1047" s="77"/>
      <c r="AA1047" s="77" t="s">
        <v>2497</v>
      </c>
      <c r="AB1047" s="77" t="s">
        <v>2696</v>
      </c>
      <c r="AC1047" s="81" t="s">
        <v>2707</v>
      </c>
      <c r="AD1047" s="77" t="s">
        <v>2752</v>
      </c>
      <c r="AE1047" s="80" t="str">
        <f>HYPERLINK("https://twitter.com/inovies/status/1733030060494291162")</f>
        <v>https://twitter.com/inovies/status/1733030060494291162</v>
      </c>
      <c r="AF1047" s="79">
        <v>45268.32336805556</v>
      </c>
      <c r="AG1047" s="85">
        <v>45268</v>
      </c>
      <c r="AH1047" s="81" t="s">
        <v>3619</v>
      </c>
      <c r="AI1047" s="77" t="b">
        <v>0</v>
      </c>
      <c r="AJ1047" s="77"/>
      <c r="AK1047" s="77"/>
      <c r="AL1047" s="77"/>
      <c r="AM1047" s="77"/>
      <c r="AN1047" s="77"/>
      <c r="AO1047" s="77"/>
      <c r="AP1047" s="77"/>
      <c r="AQ1047" s="77" t="s">
        <v>4311</v>
      </c>
      <c r="AR1047" s="77"/>
      <c r="AS1047" s="77"/>
      <c r="AT1047" s="77"/>
      <c r="AU1047" s="77"/>
      <c r="AV1047" s="80" t="str">
        <f>HYPERLINK("https://pbs.twimg.com/media/GAz1ppmWAAAWehN.jpg")</f>
        <v>https://pbs.twimg.com/media/GAz1ppmWAAAWehN.jpg</v>
      </c>
      <c r="AW1047" s="81" t="s">
        <v>5391</v>
      </c>
      <c r="AX1047" s="81" t="s">
        <v>5557</v>
      </c>
      <c r="AY1047" s="81" t="s">
        <v>5721</v>
      </c>
      <c r="AZ1047" s="81" t="s">
        <v>5557</v>
      </c>
      <c r="BA1047" s="81" t="s">
        <v>5773</v>
      </c>
      <c r="BB1047" s="81" t="s">
        <v>5773</v>
      </c>
      <c r="BC1047" s="81" t="s">
        <v>5557</v>
      </c>
      <c r="BD1047" s="77">
        <v>297885438</v>
      </c>
      <c r="BE1047" s="77"/>
      <c r="BF1047" s="77"/>
      <c r="BG1047" s="77"/>
      <c r="BH1047" s="77"/>
      <c r="BI1047" s="77"/>
    </row>
    <row r="1048" spans="1:61" ht="15">
      <c r="A1048" s="62" t="s">
        <v>299</v>
      </c>
      <c r="B1048" s="62" t="s">
        <v>299</v>
      </c>
      <c r="C1048" s="63"/>
      <c r="D1048" s="64"/>
      <c r="E1048" s="65"/>
      <c r="F1048" s="66"/>
      <c r="G1048" s="63"/>
      <c r="H1048" s="67"/>
      <c r="I1048" s="68"/>
      <c r="J1048" s="68"/>
      <c r="K1048" s="32" t="s">
        <v>65</v>
      </c>
      <c r="L1048" s="75">
        <v>1048</v>
      </c>
      <c r="M1048" s="75"/>
      <c r="N1048" s="70"/>
      <c r="O1048" s="77" t="s">
        <v>572</v>
      </c>
      <c r="P1048" s="79">
        <v>45268.32295138889</v>
      </c>
      <c r="Q1048" s="77" t="s">
        <v>1430</v>
      </c>
      <c r="R1048" s="77">
        <v>0</v>
      </c>
      <c r="S1048" s="77">
        <v>0</v>
      </c>
      <c r="T1048" s="77">
        <v>0</v>
      </c>
      <c r="U1048" s="77">
        <v>0</v>
      </c>
      <c r="V1048" s="77">
        <v>8</v>
      </c>
      <c r="W1048" s="81" t="s">
        <v>1871</v>
      </c>
      <c r="X1048" s="80" t="str">
        <f>HYPERLINK("https://inovies.com")</f>
        <v>https://inovies.com</v>
      </c>
      <c r="Y1048" s="77" t="s">
        <v>1982</v>
      </c>
      <c r="Z1048" s="77"/>
      <c r="AA1048" s="77" t="s">
        <v>2498</v>
      </c>
      <c r="AB1048" s="77" t="s">
        <v>2696</v>
      </c>
      <c r="AC1048" s="81" t="s">
        <v>2707</v>
      </c>
      <c r="AD1048" s="77" t="s">
        <v>2752</v>
      </c>
      <c r="AE1048" s="80" t="str">
        <f>HYPERLINK("https://twitter.com/inovies/status/1733029910522798199")</f>
        <v>https://twitter.com/inovies/status/1733029910522798199</v>
      </c>
      <c r="AF1048" s="79">
        <v>45268.32295138889</v>
      </c>
      <c r="AG1048" s="85">
        <v>45268</v>
      </c>
      <c r="AH1048" s="81" t="s">
        <v>3620</v>
      </c>
      <c r="AI1048" s="77" t="b">
        <v>0</v>
      </c>
      <c r="AJ1048" s="77"/>
      <c r="AK1048" s="77"/>
      <c r="AL1048" s="77"/>
      <c r="AM1048" s="77"/>
      <c r="AN1048" s="77"/>
      <c r="AO1048" s="77"/>
      <c r="AP1048" s="77"/>
      <c r="AQ1048" s="77" t="s">
        <v>4312</v>
      </c>
      <c r="AR1048" s="77"/>
      <c r="AS1048" s="77"/>
      <c r="AT1048" s="77"/>
      <c r="AU1048" s="77"/>
      <c r="AV1048" s="80" t="str">
        <f>HYPERLINK("https://pbs.twimg.com/media/GAz1g_6W8AAS5vU.jpg")</f>
        <v>https://pbs.twimg.com/media/GAz1g_6W8AAS5vU.jpg</v>
      </c>
      <c r="AW1048" s="81" t="s">
        <v>5392</v>
      </c>
      <c r="AX1048" s="81" t="s">
        <v>5557</v>
      </c>
      <c r="AY1048" s="81" t="s">
        <v>5721</v>
      </c>
      <c r="AZ1048" s="81" t="s">
        <v>5557</v>
      </c>
      <c r="BA1048" s="81" t="s">
        <v>5773</v>
      </c>
      <c r="BB1048" s="81" t="s">
        <v>5773</v>
      </c>
      <c r="BC1048" s="81" t="s">
        <v>5557</v>
      </c>
      <c r="BD1048" s="77">
        <v>297885438</v>
      </c>
      <c r="BE1048" s="77"/>
      <c r="BF1048" s="77"/>
      <c r="BG1048" s="77"/>
      <c r="BH1048" s="77"/>
      <c r="BI1048" s="77"/>
    </row>
    <row r="1049" spans="1:61" ht="15">
      <c r="A1049" s="62" t="s">
        <v>299</v>
      </c>
      <c r="B1049" s="62" t="s">
        <v>299</v>
      </c>
      <c r="C1049" s="63"/>
      <c r="D1049" s="64"/>
      <c r="E1049" s="65"/>
      <c r="F1049" s="66"/>
      <c r="G1049" s="63"/>
      <c r="H1049" s="67"/>
      <c r="I1049" s="68"/>
      <c r="J1049" s="68"/>
      <c r="K1049" s="32" t="s">
        <v>65</v>
      </c>
      <c r="L1049" s="75">
        <v>1049</v>
      </c>
      <c r="M1049" s="75"/>
      <c r="N1049" s="70"/>
      <c r="O1049" s="77" t="s">
        <v>179</v>
      </c>
      <c r="P1049" s="79">
        <v>45267.83650462963</v>
      </c>
      <c r="Q1049" s="77" t="s">
        <v>1431</v>
      </c>
      <c r="R1049" s="77">
        <v>0</v>
      </c>
      <c r="S1049" s="77">
        <v>0</v>
      </c>
      <c r="T1049" s="77">
        <v>0</v>
      </c>
      <c r="U1049" s="77">
        <v>0</v>
      </c>
      <c r="V1049" s="77">
        <v>6</v>
      </c>
      <c r="W1049" s="81" t="s">
        <v>1871</v>
      </c>
      <c r="X1049" s="80" t="str">
        <f>HYPERLINK("https://inovies.com")</f>
        <v>https://inovies.com</v>
      </c>
      <c r="Y1049" s="77" t="s">
        <v>1982</v>
      </c>
      <c r="Z1049" s="77"/>
      <c r="AA1049" s="77" t="s">
        <v>2499</v>
      </c>
      <c r="AB1049" s="77" t="s">
        <v>2696</v>
      </c>
      <c r="AC1049" s="81" t="s">
        <v>2707</v>
      </c>
      <c r="AD1049" s="77" t="s">
        <v>2752</v>
      </c>
      <c r="AE1049" s="80" t="str">
        <f>HYPERLINK("https://twitter.com/inovies/status/1732853626752700562")</f>
        <v>https://twitter.com/inovies/status/1732853626752700562</v>
      </c>
      <c r="AF1049" s="79">
        <v>45267.83650462963</v>
      </c>
      <c r="AG1049" s="85">
        <v>45267</v>
      </c>
      <c r="AH1049" s="81" t="s">
        <v>3621</v>
      </c>
      <c r="AI1049" s="77" t="b">
        <v>0</v>
      </c>
      <c r="AJ1049" s="77"/>
      <c r="AK1049" s="77"/>
      <c r="AL1049" s="77"/>
      <c r="AM1049" s="77"/>
      <c r="AN1049" s="77"/>
      <c r="AO1049" s="77"/>
      <c r="AP1049" s="77"/>
      <c r="AQ1049" s="77" t="s">
        <v>4313</v>
      </c>
      <c r="AR1049" s="77"/>
      <c r="AS1049" s="77"/>
      <c r="AT1049" s="77"/>
      <c r="AU1049" s="77"/>
      <c r="AV1049" s="80" t="str">
        <f>HYPERLINK("https://pbs.twimg.com/media/GAxVLofW8AAPs3-.jpg")</f>
        <v>https://pbs.twimg.com/media/GAxVLofW8AAPs3-.jpg</v>
      </c>
      <c r="AW1049" s="81" t="s">
        <v>5393</v>
      </c>
      <c r="AX1049" s="81" t="s">
        <v>5393</v>
      </c>
      <c r="AY1049" s="77"/>
      <c r="AZ1049" s="81" t="s">
        <v>5773</v>
      </c>
      <c r="BA1049" s="81" t="s">
        <v>5773</v>
      </c>
      <c r="BB1049" s="81" t="s">
        <v>5773</v>
      </c>
      <c r="BC1049" s="81" t="s">
        <v>5393</v>
      </c>
      <c r="BD1049" s="77">
        <v>297885438</v>
      </c>
      <c r="BE1049" s="77"/>
      <c r="BF1049" s="77"/>
      <c r="BG1049" s="77"/>
      <c r="BH1049" s="77"/>
      <c r="BI1049" s="77"/>
    </row>
    <row r="1050" spans="1:61" ht="15">
      <c r="A1050" s="62" t="s">
        <v>299</v>
      </c>
      <c r="B1050" s="62" t="s">
        <v>299</v>
      </c>
      <c r="C1050" s="63"/>
      <c r="D1050" s="64"/>
      <c r="E1050" s="65"/>
      <c r="F1050" s="66"/>
      <c r="G1050" s="63"/>
      <c r="H1050" s="67"/>
      <c r="I1050" s="68"/>
      <c r="J1050" s="68"/>
      <c r="K1050" s="32" t="s">
        <v>65</v>
      </c>
      <c r="L1050" s="75">
        <v>1050</v>
      </c>
      <c r="M1050" s="75"/>
      <c r="N1050" s="70"/>
      <c r="O1050" s="77" t="s">
        <v>179</v>
      </c>
      <c r="P1050" s="79">
        <v>45267.835960648146</v>
      </c>
      <c r="Q1050" s="77" t="s">
        <v>1432</v>
      </c>
      <c r="R1050" s="77">
        <v>0</v>
      </c>
      <c r="S1050" s="77">
        <v>0</v>
      </c>
      <c r="T1050" s="77">
        <v>0</v>
      </c>
      <c r="U1050" s="77">
        <v>0</v>
      </c>
      <c r="V1050" s="77">
        <v>6</v>
      </c>
      <c r="W1050" s="81" t="s">
        <v>1871</v>
      </c>
      <c r="X1050" s="80" t="str">
        <f>HYPERLINK("https://inovies.com")</f>
        <v>https://inovies.com</v>
      </c>
      <c r="Y1050" s="77" t="s">
        <v>1982</v>
      </c>
      <c r="Z1050" s="77"/>
      <c r="AA1050" s="77" t="s">
        <v>2500</v>
      </c>
      <c r="AB1050" s="77" t="s">
        <v>2696</v>
      </c>
      <c r="AC1050" s="81" t="s">
        <v>2707</v>
      </c>
      <c r="AD1050" s="77" t="s">
        <v>2752</v>
      </c>
      <c r="AE1050" s="80" t="str">
        <f>HYPERLINK("https://twitter.com/inovies/status/1732853431973363730")</f>
        <v>https://twitter.com/inovies/status/1732853431973363730</v>
      </c>
      <c r="AF1050" s="79">
        <v>45267.835960648146</v>
      </c>
      <c r="AG1050" s="85">
        <v>45267</v>
      </c>
      <c r="AH1050" s="81" t="s">
        <v>3622</v>
      </c>
      <c r="AI1050" s="77" t="b">
        <v>0</v>
      </c>
      <c r="AJ1050" s="77"/>
      <c r="AK1050" s="77"/>
      <c r="AL1050" s="77"/>
      <c r="AM1050" s="77"/>
      <c r="AN1050" s="77"/>
      <c r="AO1050" s="77"/>
      <c r="AP1050" s="77"/>
      <c r="AQ1050" s="77" t="s">
        <v>4314</v>
      </c>
      <c r="AR1050" s="77"/>
      <c r="AS1050" s="77"/>
      <c r="AT1050" s="77"/>
      <c r="AU1050" s="77"/>
      <c r="AV1050" s="80" t="str">
        <f>HYPERLINK("https://pbs.twimg.com/media/GAxVANyW4AAezKw.jpg")</f>
        <v>https://pbs.twimg.com/media/GAxVANyW4AAezKw.jpg</v>
      </c>
      <c r="AW1050" s="81" t="s">
        <v>5394</v>
      </c>
      <c r="AX1050" s="81" t="s">
        <v>5394</v>
      </c>
      <c r="AY1050" s="77"/>
      <c r="AZ1050" s="81" t="s">
        <v>5773</v>
      </c>
      <c r="BA1050" s="81" t="s">
        <v>5773</v>
      </c>
      <c r="BB1050" s="81" t="s">
        <v>5773</v>
      </c>
      <c r="BC1050" s="81" t="s">
        <v>5394</v>
      </c>
      <c r="BD1050" s="77">
        <v>297885438</v>
      </c>
      <c r="BE1050" s="77"/>
      <c r="BF1050" s="77"/>
      <c r="BG1050" s="77"/>
      <c r="BH1050" s="77"/>
      <c r="BI1050" s="77"/>
    </row>
    <row r="1051" spans="1:61" ht="15">
      <c r="A1051" s="62" t="s">
        <v>299</v>
      </c>
      <c r="B1051" s="62" t="s">
        <v>299</v>
      </c>
      <c r="C1051" s="63"/>
      <c r="D1051" s="64"/>
      <c r="E1051" s="65"/>
      <c r="F1051" s="66"/>
      <c r="G1051" s="63"/>
      <c r="H1051" s="67"/>
      <c r="I1051" s="68"/>
      <c r="J1051" s="68"/>
      <c r="K1051" s="32" t="s">
        <v>65</v>
      </c>
      <c r="L1051" s="75">
        <v>1051</v>
      </c>
      <c r="M1051" s="75"/>
      <c r="N1051" s="70"/>
      <c r="O1051" s="77" t="s">
        <v>179</v>
      </c>
      <c r="P1051" s="79">
        <v>45267.813414351855</v>
      </c>
      <c r="Q1051" s="77" t="s">
        <v>1433</v>
      </c>
      <c r="R1051" s="77">
        <v>0</v>
      </c>
      <c r="S1051" s="77">
        <v>0</v>
      </c>
      <c r="T1051" s="77">
        <v>0</v>
      </c>
      <c r="U1051" s="77">
        <v>0</v>
      </c>
      <c r="V1051" s="77">
        <v>8</v>
      </c>
      <c r="W1051" s="81" t="s">
        <v>1871</v>
      </c>
      <c r="X1051" s="80" t="str">
        <f>HYPERLINK("https://inovies.com")</f>
        <v>https://inovies.com</v>
      </c>
      <c r="Y1051" s="77" t="s">
        <v>1982</v>
      </c>
      <c r="Z1051" s="77"/>
      <c r="AA1051" s="77" t="s">
        <v>2501</v>
      </c>
      <c r="AB1051" s="77" t="s">
        <v>2696</v>
      </c>
      <c r="AC1051" s="81" t="s">
        <v>2707</v>
      </c>
      <c r="AD1051" s="77" t="s">
        <v>2752</v>
      </c>
      <c r="AE1051" s="80" t="str">
        <f>HYPERLINK("https://twitter.com/inovies/status/1732845261217513677")</f>
        <v>https://twitter.com/inovies/status/1732845261217513677</v>
      </c>
      <c r="AF1051" s="79">
        <v>45267.813414351855</v>
      </c>
      <c r="AG1051" s="85">
        <v>45267</v>
      </c>
      <c r="AH1051" s="81" t="s">
        <v>3623</v>
      </c>
      <c r="AI1051" s="77" t="b">
        <v>0</v>
      </c>
      <c r="AJ1051" s="77"/>
      <c r="AK1051" s="77"/>
      <c r="AL1051" s="77"/>
      <c r="AM1051" s="77"/>
      <c r="AN1051" s="77"/>
      <c r="AO1051" s="77"/>
      <c r="AP1051" s="77"/>
      <c r="AQ1051" s="77" t="s">
        <v>4315</v>
      </c>
      <c r="AR1051" s="77"/>
      <c r="AS1051" s="77"/>
      <c r="AT1051" s="77"/>
      <c r="AU1051" s="77"/>
      <c r="AV1051" s="80" t="str">
        <f>HYPERLINK("https://pbs.twimg.com/media/GAxNkv1WUAAhmnc.jpg")</f>
        <v>https://pbs.twimg.com/media/GAxNkv1WUAAhmnc.jpg</v>
      </c>
      <c r="AW1051" s="81" t="s">
        <v>5395</v>
      </c>
      <c r="AX1051" s="81" t="s">
        <v>5395</v>
      </c>
      <c r="AY1051" s="77"/>
      <c r="AZ1051" s="81" t="s">
        <v>5773</v>
      </c>
      <c r="BA1051" s="81" t="s">
        <v>5773</v>
      </c>
      <c r="BB1051" s="81" t="s">
        <v>5773</v>
      </c>
      <c r="BC1051" s="81" t="s">
        <v>5395</v>
      </c>
      <c r="BD1051" s="77">
        <v>297885438</v>
      </c>
      <c r="BE1051" s="77"/>
      <c r="BF1051" s="77"/>
      <c r="BG1051" s="77"/>
      <c r="BH1051" s="77"/>
      <c r="BI1051" s="77"/>
    </row>
    <row r="1052" spans="1:61" ht="15">
      <c r="A1052" s="62" t="s">
        <v>299</v>
      </c>
      <c r="B1052" s="62" t="s">
        <v>299</v>
      </c>
      <c r="C1052" s="63"/>
      <c r="D1052" s="64"/>
      <c r="E1052" s="65"/>
      <c r="F1052" s="66"/>
      <c r="G1052" s="63"/>
      <c r="H1052" s="67"/>
      <c r="I1052" s="68"/>
      <c r="J1052" s="68"/>
      <c r="K1052" s="32" t="s">
        <v>65</v>
      </c>
      <c r="L1052" s="75">
        <v>1052</v>
      </c>
      <c r="M1052" s="75"/>
      <c r="N1052" s="70"/>
      <c r="O1052" s="77" t="s">
        <v>179</v>
      </c>
      <c r="P1052" s="79">
        <v>45267.81300925926</v>
      </c>
      <c r="Q1052" s="77" t="s">
        <v>1434</v>
      </c>
      <c r="R1052" s="77">
        <v>0</v>
      </c>
      <c r="S1052" s="77">
        <v>0</v>
      </c>
      <c r="T1052" s="77">
        <v>0</v>
      </c>
      <c r="U1052" s="77">
        <v>0</v>
      </c>
      <c r="V1052" s="77">
        <v>7</v>
      </c>
      <c r="W1052" s="81" t="s">
        <v>1871</v>
      </c>
      <c r="X1052" s="80" t="str">
        <f>HYPERLINK("https://inovies.com")</f>
        <v>https://inovies.com</v>
      </c>
      <c r="Y1052" s="77" t="s">
        <v>1982</v>
      </c>
      <c r="Z1052" s="77"/>
      <c r="AA1052" s="77" t="s">
        <v>2502</v>
      </c>
      <c r="AB1052" s="77" t="s">
        <v>2696</v>
      </c>
      <c r="AC1052" s="81" t="s">
        <v>2707</v>
      </c>
      <c r="AD1052" s="77" t="s">
        <v>2752</v>
      </c>
      <c r="AE1052" s="80" t="str">
        <f>HYPERLINK("https://twitter.com/inovies/status/1732845113716404439")</f>
        <v>https://twitter.com/inovies/status/1732845113716404439</v>
      </c>
      <c r="AF1052" s="79">
        <v>45267.81300925926</v>
      </c>
      <c r="AG1052" s="85">
        <v>45267</v>
      </c>
      <c r="AH1052" s="81" t="s">
        <v>3624</v>
      </c>
      <c r="AI1052" s="77" t="b">
        <v>0</v>
      </c>
      <c r="AJ1052" s="77"/>
      <c r="AK1052" s="77"/>
      <c r="AL1052" s="77"/>
      <c r="AM1052" s="77"/>
      <c r="AN1052" s="77"/>
      <c r="AO1052" s="77"/>
      <c r="AP1052" s="77"/>
      <c r="AQ1052" s="77" t="s">
        <v>4316</v>
      </c>
      <c r="AR1052" s="77"/>
      <c r="AS1052" s="77"/>
      <c r="AT1052" s="77"/>
      <c r="AU1052" s="77"/>
      <c r="AV1052" s="80" t="str">
        <f>HYPERLINK("https://pbs.twimg.com/media/GAxNb6TXUAAlTqI.jpg")</f>
        <v>https://pbs.twimg.com/media/GAxNb6TXUAAlTqI.jpg</v>
      </c>
      <c r="AW1052" s="81" t="s">
        <v>5396</v>
      </c>
      <c r="AX1052" s="81" t="s">
        <v>5396</v>
      </c>
      <c r="AY1052" s="77"/>
      <c r="AZ1052" s="81" t="s">
        <v>5773</v>
      </c>
      <c r="BA1052" s="81" t="s">
        <v>5773</v>
      </c>
      <c r="BB1052" s="81" t="s">
        <v>5773</v>
      </c>
      <c r="BC1052" s="81" t="s">
        <v>5396</v>
      </c>
      <c r="BD1052" s="77">
        <v>297885438</v>
      </c>
      <c r="BE1052" s="77"/>
      <c r="BF1052" s="77"/>
      <c r="BG1052" s="77"/>
      <c r="BH1052" s="77"/>
      <c r="BI1052" s="77"/>
    </row>
    <row r="1053" spans="1:61" ht="15">
      <c r="A1053" s="62" t="s">
        <v>299</v>
      </c>
      <c r="B1053" s="62" t="s">
        <v>299</v>
      </c>
      <c r="C1053" s="63"/>
      <c r="D1053" s="64"/>
      <c r="E1053" s="65"/>
      <c r="F1053" s="66"/>
      <c r="G1053" s="63"/>
      <c r="H1053" s="67"/>
      <c r="I1053" s="68"/>
      <c r="J1053" s="68"/>
      <c r="K1053" s="32" t="s">
        <v>65</v>
      </c>
      <c r="L1053" s="75">
        <v>1053</v>
      </c>
      <c r="M1053" s="75"/>
      <c r="N1053" s="70"/>
      <c r="O1053" s="77" t="s">
        <v>179</v>
      </c>
      <c r="P1053" s="79">
        <v>45267.812581018516</v>
      </c>
      <c r="Q1053" s="77" t="s">
        <v>1435</v>
      </c>
      <c r="R1053" s="77">
        <v>0</v>
      </c>
      <c r="S1053" s="77">
        <v>0</v>
      </c>
      <c r="T1053" s="77">
        <v>0</v>
      </c>
      <c r="U1053" s="77">
        <v>0</v>
      </c>
      <c r="V1053" s="77">
        <v>8</v>
      </c>
      <c r="W1053" s="81" t="s">
        <v>1871</v>
      </c>
      <c r="X1053" s="80" t="str">
        <f>HYPERLINK("https://inovies.com")</f>
        <v>https://inovies.com</v>
      </c>
      <c r="Y1053" s="77" t="s">
        <v>1982</v>
      </c>
      <c r="Z1053" s="77"/>
      <c r="AA1053" s="77" t="s">
        <v>2503</v>
      </c>
      <c r="AB1053" s="77" t="s">
        <v>2696</v>
      </c>
      <c r="AC1053" s="81" t="s">
        <v>2707</v>
      </c>
      <c r="AD1053" s="77" t="s">
        <v>2752</v>
      </c>
      <c r="AE1053" s="80" t="str">
        <f>HYPERLINK("https://twitter.com/inovies/status/1732844957377888686")</f>
        <v>https://twitter.com/inovies/status/1732844957377888686</v>
      </c>
      <c r="AF1053" s="79">
        <v>45267.812581018516</v>
      </c>
      <c r="AG1053" s="85">
        <v>45267</v>
      </c>
      <c r="AH1053" s="81" t="s">
        <v>3625</v>
      </c>
      <c r="AI1053" s="77" t="b">
        <v>0</v>
      </c>
      <c r="AJ1053" s="77"/>
      <c r="AK1053" s="77"/>
      <c r="AL1053" s="77"/>
      <c r="AM1053" s="77"/>
      <c r="AN1053" s="77"/>
      <c r="AO1053" s="77"/>
      <c r="AP1053" s="77"/>
      <c r="AQ1053" s="77" t="s">
        <v>4317</v>
      </c>
      <c r="AR1053" s="77"/>
      <c r="AS1053" s="77"/>
      <c r="AT1053" s="77"/>
      <c r="AU1053" s="77"/>
      <c r="AV1053" s="80" t="str">
        <f>HYPERLINK("https://pbs.twimg.com/media/GAxNSx1XAAAIb8L.jpg")</f>
        <v>https://pbs.twimg.com/media/GAxNSx1XAAAIb8L.jpg</v>
      </c>
      <c r="AW1053" s="81" t="s">
        <v>5397</v>
      </c>
      <c r="AX1053" s="81" t="s">
        <v>5397</v>
      </c>
      <c r="AY1053" s="77"/>
      <c r="AZ1053" s="81" t="s">
        <v>5773</v>
      </c>
      <c r="BA1053" s="81" t="s">
        <v>5773</v>
      </c>
      <c r="BB1053" s="81" t="s">
        <v>5773</v>
      </c>
      <c r="BC1053" s="81" t="s">
        <v>5397</v>
      </c>
      <c r="BD1053" s="77">
        <v>297885438</v>
      </c>
      <c r="BE1053" s="77"/>
      <c r="BF1053" s="77"/>
      <c r="BG1053" s="77"/>
      <c r="BH1053" s="77"/>
      <c r="BI1053" s="77"/>
    </row>
    <row r="1054" spans="1:61" ht="15">
      <c r="A1054" s="62" t="s">
        <v>299</v>
      </c>
      <c r="B1054" s="62" t="s">
        <v>299</v>
      </c>
      <c r="C1054" s="63"/>
      <c r="D1054" s="64"/>
      <c r="E1054" s="65"/>
      <c r="F1054" s="66"/>
      <c r="G1054" s="63"/>
      <c r="H1054" s="67"/>
      <c r="I1054" s="68"/>
      <c r="J1054" s="68"/>
      <c r="K1054" s="32" t="s">
        <v>65</v>
      </c>
      <c r="L1054" s="75">
        <v>1054</v>
      </c>
      <c r="M1054" s="75"/>
      <c r="N1054" s="70"/>
      <c r="O1054" s="77" t="s">
        <v>179</v>
      </c>
      <c r="P1054" s="79">
        <v>45267.81214120371</v>
      </c>
      <c r="Q1054" s="77" t="s">
        <v>1436</v>
      </c>
      <c r="R1054" s="77">
        <v>0</v>
      </c>
      <c r="S1054" s="77">
        <v>0</v>
      </c>
      <c r="T1054" s="77">
        <v>0</v>
      </c>
      <c r="U1054" s="77">
        <v>0</v>
      </c>
      <c r="V1054" s="77">
        <v>7</v>
      </c>
      <c r="W1054" s="81" t="s">
        <v>1871</v>
      </c>
      <c r="X1054" s="80" t="str">
        <f>HYPERLINK("https://inovies.com")</f>
        <v>https://inovies.com</v>
      </c>
      <c r="Y1054" s="77" t="s">
        <v>1982</v>
      </c>
      <c r="Z1054" s="77"/>
      <c r="AA1054" s="77" t="s">
        <v>2504</v>
      </c>
      <c r="AB1054" s="77" t="s">
        <v>2696</v>
      </c>
      <c r="AC1054" s="81" t="s">
        <v>2707</v>
      </c>
      <c r="AD1054" s="77" t="s">
        <v>2752</v>
      </c>
      <c r="AE1054" s="80" t="str">
        <f>HYPERLINK("https://twitter.com/inovies/status/1732844801312076268")</f>
        <v>https://twitter.com/inovies/status/1732844801312076268</v>
      </c>
      <c r="AF1054" s="79">
        <v>45267.81214120371</v>
      </c>
      <c r="AG1054" s="85">
        <v>45267</v>
      </c>
      <c r="AH1054" s="81" t="s">
        <v>3626</v>
      </c>
      <c r="AI1054" s="77" t="b">
        <v>0</v>
      </c>
      <c r="AJ1054" s="77"/>
      <c r="AK1054" s="77"/>
      <c r="AL1054" s="77"/>
      <c r="AM1054" s="77"/>
      <c r="AN1054" s="77"/>
      <c r="AO1054" s="77"/>
      <c r="AP1054" s="77"/>
      <c r="AQ1054" s="77" t="s">
        <v>4318</v>
      </c>
      <c r="AR1054" s="77"/>
      <c r="AS1054" s="77"/>
      <c r="AT1054" s="77"/>
      <c r="AU1054" s="77"/>
      <c r="AV1054" s="80" t="str">
        <f>HYPERLINK("https://pbs.twimg.com/media/GAxNJ-9W0AAUIZc.jpg")</f>
        <v>https://pbs.twimg.com/media/GAxNJ-9W0AAUIZc.jpg</v>
      </c>
      <c r="AW1054" s="81" t="s">
        <v>5398</v>
      </c>
      <c r="AX1054" s="81" t="s">
        <v>5398</v>
      </c>
      <c r="AY1054" s="77"/>
      <c r="AZ1054" s="81" t="s">
        <v>5773</v>
      </c>
      <c r="BA1054" s="81" t="s">
        <v>5773</v>
      </c>
      <c r="BB1054" s="81" t="s">
        <v>5773</v>
      </c>
      <c r="BC1054" s="81" t="s">
        <v>5398</v>
      </c>
      <c r="BD1054" s="77">
        <v>297885438</v>
      </c>
      <c r="BE1054" s="77"/>
      <c r="BF1054" s="77"/>
      <c r="BG1054" s="77"/>
      <c r="BH1054" s="77"/>
      <c r="BI1054" s="77"/>
    </row>
    <row r="1055" spans="1:61" ht="15">
      <c r="A1055" s="62" t="s">
        <v>299</v>
      </c>
      <c r="B1055" s="62" t="s">
        <v>299</v>
      </c>
      <c r="C1055" s="63"/>
      <c r="D1055" s="64"/>
      <c r="E1055" s="65"/>
      <c r="F1055" s="66"/>
      <c r="G1055" s="63"/>
      <c r="H1055" s="67"/>
      <c r="I1055" s="68"/>
      <c r="J1055" s="68"/>
      <c r="K1055" s="32" t="s">
        <v>65</v>
      </c>
      <c r="L1055" s="75">
        <v>1055</v>
      </c>
      <c r="M1055" s="75"/>
      <c r="N1055" s="70"/>
      <c r="O1055" s="77" t="s">
        <v>179</v>
      </c>
      <c r="P1055" s="79">
        <v>45267.81172453704</v>
      </c>
      <c r="Q1055" s="77" t="s">
        <v>1437</v>
      </c>
      <c r="R1055" s="77">
        <v>0</v>
      </c>
      <c r="S1055" s="77">
        <v>0</v>
      </c>
      <c r="T1055" s="77">
        <v>0</v>
      </c>
      <c r="U1055" s="77">
        <v>0</v>
      </c>
      <c r="V1055" s="77">
        <v>7</v>
      </c>
      <c r="W1055" s="81" t="s">
        <v>1871</v>
      </c>
      <c r="X1055" s="80" t="str">
        <f>HYPERLINK("https://inovies.com")</f>
        <v>https://inovies.com</v>
      </c>
      <c r="Y1055" s="77" t="s">
        <v>1982</v>
      </c>
      <c r="Z1055" s="77"/>
      <c r="AA1055" s="77" t="s">
        <v>2505</v>
      </c>
      <c r="AB1055" s="77" t="s">
        <v>2696</v>
      </c>
      <c r="AC1055" s="81" t="s">
        <v>2707</v>
      </c>
      <c r="AD1055" s="77" t="s">
        <v>2752</v>
      </c>
      <c r="AE1055" s="80" t="str">
        <f>HYPERLINK("https://twitter.com/inovies/status/1732844649142681994")</f>
        <v>https://twitter.com/inovies/status/1732844649142681994</v>
      </c>
      <c r="AF1055" s="79">
        <v>45267.81172453704</v>
      </c>
      <c r="AG1055" s="85">
        <v>45267</v>
      </c>
      <c r="AH1055" s="81" t="s">
        <v>3627</v>
      </c>
      <c r="AI1055" s="77" t="b">
        <v>0</v>
      </c>
      <c r="AJ1055" s="77"/>
      <c r="AK1055" s="77"/>
      <c r="AL1055" s="77"/>
      <c r="AM1055" s="77"/>
      <c r="AN1055" s="77"/>
      <c r="AO1055" s="77"/>
      <c r="AP1055" s="77"/>
      <c r="AQ1055" s="77" t="s">
        <v>4319</v>
      </c>
      <c r="AR1055" s="77"/>
      <c r="AS1055" s="77"/>
      <c r="AT1055" s="77"/>
      <c r="AU1055" s="77"/>
      <c r="AV1055" s="80" t="str">
        <f>HYPERLINK("https://pbs.twimg.com/media/GAxNBHZW8AA-OvI.jpg")</f>
        <v>https://pbs.twimg.com/media/GAxNBHZW8AA-OvI.jpg</v>
      </c>
      <c r="AW1055" s="81" t="s">
        <v>5399</v>
      </c>
      <c r="AX1055" s="81" t="s">
        <v>5399</v>
      </c>
      <c r="AY1055" s="77"/>
      <c r="AZ1055" s="81" t="s">
        <v>5773</v>
      </c>
      <c r="BA1055" s="81" t="s">
        <v>5773</v>
      </c>
      <c r="BB1055" s="81" t="s">
        <v>5773</v>
      </c>
      <c r="BC1055" s="81" t="s">
        <v>5399</v>
      </c>
      <c r="BD1055" s="77">
        <v>297885438</v>
      </c>
      <c r="BE1055" s="77"/>
      <c r="BF1055" s="77"/>
      <c r="BG1055" s="77"/>
      <c r="BH1055" s="77"/>
      <c r="BI1055" s="77"/>
    </row>
    <row r="1056" spans="1:61" ht="15">
      <c r="A1056" s="62" t="s">
        <v>299</v>
      </c>
      <c r="B1056" s="62" t="s">
        <v>299</v>
      </c>
      <c r="C1056" s="63"/>
      <c r="D1056" s="64"/>
      <c r="E1056" s="65"/>
      <c r="F1056" s="66"/>
      <c r="G1056" s="63"/>
      <c r="H1056" s="67"/>
      <c r="I1056" s="68"/>
      <c r="J1056" s="68"/>
      <c r="K1056" s="32" t="s">
        <v>65</v>
      </c>
      <c r="L1056" s="75">
        <v>1056</v>
      </c>
      <c r="M1056" s="75"/>
      <c r="N1056" s="70"/>
      <c r="O1056" s="77" t="s">
        <v>179</v>
      </c>
      <c r="P1056" s="79">
        <v>45267.81130787037</v>
      </c>
      <c r="Q1056" s="77" t="s">
        <v>1438</v>
      </c>
      <c r="R1056" s="77">
        <v>0</v>
      </c>
      <c r="S1056" s="77">
        <v>0</v>
      </c>
      <c r="T1056" s="77">
        <v>0</v>
      </c>
      <c r="U1056" s="77">
        <v>0</v>
      </c>
      <c r="V1056" s="77">
        <v>8</v>
      </c>
      <c r="W1056" s="81" t="s">
        <v>1871</v>
      </c>
      <c r="X1056" s="80" t="str">
        <f>HYPERLINK("https://inovies.com")</f>
        <v>https://inovies.com</v>
      </c>
      <c r="Y1056" s="77" t="s">
        <v>1982</v>
      </c>
      <c r="Z1056" s="77"/>
      <c r="AA1056" s="77" t="s">
        <v>2506</v>
      </c>
      <c r="AB1056" s="77" t="s">
        <v>2696</v>
      </c>
      <c r="AC1056" s="81" t="s">
        <v>2707</v>
      </c>
      <c r="AD1056" s="77" t="s">
        <v>2752</v>
      </c>
      <c r="AE1056" s="80" t="str">
        <f>HYPERLINK("https://twitter.com/inovies/status/1732844499003461719")</f>
        <v>https://twitter.com/inovies/status/1732844499003461719</v>
      </c>
      <c r="AF1056" s="79">
        <v>45267.81130787037</v>
      </c>
      <c r="AG1056" s="85">
        <v>45267</v>
      </c>
      <c r="AH1056" s="81" t="s">
        <v>3628</v>
      </c>
      <c r="AI1056" s="77" t="b">
        <v>0</v>
      </c>
      <c r="AJ1056" s="77"/>
      <c r="AK1056" s="77"/>
      <c r="AL1056" s="77"/>
      <c r="AM1056" s="77"/>
      <c r="AN1056" s="77"/>
      <c r="AO1056" s="77"/>
      <c r="AP1056" s="77"/>
      <c r="AQ1056" s="77" t="s">
        <v>4320</v>
      </c>
      <c r="AR1056" s="77"/>
      <c r="AS1056" s="77"/>
      <c r="AT1056" s="77"/>
      <c r="AU1056" s="77"/>
      <c r="AV1056" s="80" t="str">
        <f>HYPERLINK("https://pbs.twimg.com/media/GAxM4KmXwAAf24q.jpg")</f>
        <v>https://pbs.twimg.com/media/GAxM4KmXwAAf24q.jpg</v>
      </c>
      <c r="AW1056" s="81" t="s">
        <v>5400</v>
      </c>
      <c r="AX1056" s="81" t="s">
        <v>5400</v>
      </c>
      <c r="AY1056" s="77"/>
      <c r="AZ1056" s="81" t="s">
        <v>5773</v>
      </c>
      <c r="BA1056" s="81" t="s">
        <v>5773</v>
      </c>
      <c r="BB1056" s="81" t="s">
        <v>5773</v>
      </c>
      <c r="BC1056" s="81" t="s">
        <v>5400</v>
      </c>
      <c r="BD1056" s="77">
        <v>297885438</v>
      </c>
      <c r="BE1056" s="77"/>
      <c r="BF1056" s="77"/>
      <c r="BG1056" s="77"/>
      <c r="BH1056" s="77"/>
      <c r="BI1056" s="77"/>
    </row>
    <row r="1057" spans="1:61" ht="15">
      <c r="A1057" s="62" t="s">
        <v>299</v>
      </c>
      <c r="B1057" s="62" t="s">
        <v>299</v>
      </c>
      <c r="C1057" s="63"/>
      <c r="D1057" s="64"/>
      <c r="E1057" s="65"/>
      <c r="F1057" s="66"/>
      <c r="G1057" s="63"/>
      <c r="H1057" s="67"/>
      <c r="I1057" s="68"/>
      <c r="J1057" s="68"/>
      <c r="K1057" s="32" t="s">
        <v>65</v>
      </c>
      <c r="L1057" s="75">
        <v>1057</v>
      </c>
      <c r="M1057" s="75"/>
      <c r="N1057" s="70"/>
      <c r="O1057" s="77" t="s">
        <v>179</v>
      </c>
      <c r="P1057" s="79">
        <v>45267.76898148148</v>
      </c>
      <c r="Q1057" s="77" t="s">
        <v>1439</v>
      </c>
      <c r="R1057" s="77">
        <v>0</v>
      </c>
      <c r="S1057" s="77">
        <v>0</v>
      </c>
      <c r="T1057" s="77">
        <v>0</v>
      </c>
      <c r="U1057" s="77">
        <v>0</v>
      </c>
      <c r="V1057" s="77">
        <v>11</v>
      </c>
      <c r="W1057" s="81" t="s">
        <v>1871</v>
      </c>
      <c r="X1057" s="80" t="str">
        <f>HYPERLINK("https://inovies.com")</f>
        <v>https://inovies.com</v>
      </c>
      <c r="Y1057" s="77" t="s">
        <v>1982</v>
      </c>
      <c r="Z1057" s="77"/>
      <c r="AA1057" s="77" t="s">
        <v>2507</v>
      </c>
      <c r="AB1057" s="77" t="s">
        <v>2696</v>
      </c>
      <c r="AC1057" s="81" t="s">
        <v>2707</v>
      </c>
      <c r="AD1057" s="77" t="s">
        <v>2752</v>
      </c>
      <c r="AE1057" s="80" t="str">
        <f>HYPERLINK("https://twitter.com/inovies/status/1732829159804620880")</f>
        <v>https://twitter.com/inovies/status/1732829159804620880</v>
      </c>
      <c r="AF1057" s="79">
        <v>45267.76898148148</v>
      </c>
      <c r="AG1057" s="85">
        <v>45267</v>
      </c>
      <c r="AH1057" s="81" t="s">
        <v>3629</v>
      </c>
      <c r="AI1057" s="77" t="b">
        <v>0</v>
      </c>
      <c r="AJ1057" s="77"/>
      <c r="AK1057" s="77"/>
      <c r="AL1057" s="77"/>
      <c r="AM1057" s="77"/>
      <c r="AN1057" s="77"/>
      <c r="AO1057" s="77"/>
      <c r="AP1057" s="77"/>
      <c r="AQ1057" s="77" t="s">
        <v>4321</v>
      </c>
      <c r="AR1057" s="77"/>
      <c r="AS1057" s="77"/>
      <c r="AT1057" s="77"/>
      <c r="AU1057" s="77"/>
      <c r="AV1057" s="80" t="str">
        <f>HYPERLINK("https://pbs.twimg.com/media/GAw-7EtWsAAexu9.jpg")</f>
        <v>https://pbs.twimg.com/media/GAw-7EtWsAAexu9.jpg</v>
      </c>
      <c r="AW1057" s="81" t="s">
        <v>5401</v>
      </c>
      <c r="AX1057" s="81" t="s">
        <v>5401</v>
      </c>
      <c r="AY1057" s="77"/>
      <c r="AZ1057" s="81" t="s">
        <v>5773</v>
      </c>
      <c r="BA1057" s="81" t="s">
        <v>5773</v>
      </c>
      <c r="BB1057" s="81" t="s">
        <v>5773</v>
      </c>
      <c r="BC1057" s="81" t="s">
        <v>5401</v>
      </c>
      <c r="BD1057" s="77">
        <v>297885438</v>
      </c>
      <c r="BE1057" s="77"/>
      <c r="BF1057" s="77"/>
      <c r="BG1057" s="77"/>
      <c r="BH1057" s="77"/>
      <c r="BI1057" s="77"/>
    </row>
    <row r="1058" spans="1:61" ht="15">
      <c r="A1058" s="62" t="s">
        <v>299</v>
      </c>
      <c r="B1058" s="62" t="s">
        <v>299</v>
      </c>
      <c r="C1058" s="63"/>
      <c r="D1058" s="64"/>
      <c r="E1058" s="65"/>
      <c r="F1058" s="66"/>
      <c r="G1058" s="63"/>
      <c r="H1058" s="67"/>
      <c r="I1058" s="68"/>
      <c r="J1058" s="68"/>
      <c r="K1058" s="32" t="s">
        <v>65</v>
      </c>
      <c r="L1058" s="75">
        <v>1058</v>
      </c>
      <c r="M1058" s="75"/>
      <c r="N1058" s="70"/>
      <c r="O1058" s="77" t="s">
        <v>179</v>
      </c>
      <c r="P1058" s="79">
        <v>45267.76835648148</v>
      </c>
      <c r="Q1058" s="77" t="s">
        <v>1440</v>
      </c>
      <c r="R1058" s="77">
        <v>0</v>
      </c>
      <c r="S1058" s="77">
        <v>0</v>
      </c>
      <c r="T1058" s="77">
        <v>0</v>
      </c>
      <c r="U1058" s="77">
        <v>0</v>
      </c>
      <c r="V1058" s="77">
        <v>11</v>
      </c>
      <c r="W1058" s="81" t="s">
        <v>1871</v>
      </c>
      <c r="X1058" s="80" t="str">
        <f>HYPERLINK("https://inovies.com")</f>
        <v>https://inovies.com</v>
      </c>
      <c r="Y1058" s="77" t="s">
        <v>1982</v>
      </c>
      <c r="Z1058" s="77"/>
      <c r="AA1058" s="77" t="s">
        <v>2508</v>
      </c>
      <c r="AB1058" s="77" t="s">
        <v>2696</v>
      </c>
      <c r="AC1058" s="81" t="s">
        <v>2707</v>
      </c>
      <c r="AD1058" s="77" t="s">
        <v>2752</v>
      </c>
      <c r="AE1058" s="80" t="str">
        <f>HYPERLINK("https://twitter.com/inovies/status/1732828932775293214")</f>
        <v>https://twitter.com/inovies/status/1732828932775293214</v>
      </c>
      <c r="AF1058" s="79">
        <v>45267.76835648148</v>
      </c>
      <c r="AG1058" s="85">
        <v>45267</v>
      </c>
      <c r="AH1058" s="81" t="s">
        <v>3630</v>
      </c>
      <c r="AI1058" s="77" t="b">
        <v>0</v>
      </c>
      <c r="AJ1058" s="77"/>
      <c r="AK1058" s="77"/>
      <c r="AL1058" s="77"/>
      <c r="AM1058" s="77"/>
      <c r="AN1058" s="77"/>
      <c r="AO1058" s="77"/>
      <c r="AP1058" s="77"/>
      <c r="AQ1058" s="77" t="s">
        <v>4322</v>
      </c>
      <c r="AR1058" s="77"/>
      <c r="AS1058" s="77"/>
      <c r="AT1058" s="77"/>
      <c r="AU1058" s="77"/>
      <c r="AV1058" s="80" t="str">
        <f>HYPERLINK("https://pbs.twimg.com/media/GAw-uTPWYAAlEmK.jpg")</f>
        <v>https://pbs.twimg.com/media/GAw-uTPWYAAlEmK.jpg</v>
      </c>
      <c r="AW1058" s="81" t="s">
        <v>5402</v>
      </c>
      <c r="AX1058" s="81" t="s">
        <v>5402</v>
      </c>
      <c r="AY1058" s="77"/>
      <c r="AZ1058" s="81" t="s">
        <v>5773</v>
      </c>
      <c r="BA1058" s="81" t="s">
        <v>5773</v>
      </c>
      <c r="BB1058" s="81" t="s">
        <v>5773</v>
      </c>
      <c r="BC1058" s="81" t="s">
        <v>5402</v>
      </c>
      <c r="BD1058" s="77">
        <v>297885438</v>
      </c>
      <c r="BE1058" s="77"/>
      <c r="BF1058" s="77"/>
      <c r="BG1058" s="77"/>
      <c r="BH1058" s="77"/>
      <c r="BI1058" s="77"/>
    </row>
    <row r="1059" spans="1:61" ht="15">
      <c r="A1059" s="62" t="s">
        <v>299</v>
      </c>
      <c r="B1059" s="62" t="s">
        <v>299</v>
      </c>
      <c r="C1059" s="63"/>
      <c r="D1059" s="64"/>
      <c r="E1059" s="65"/>
      <c r="F1059" s="66"/>
      <c r="G1059" s="63"/>
      <c r="H1059" s="67"/>
      <c r="I1059" s="68"/>
      <c r="J1059" s="68"/>
      <c r="K1059" s="32" t="s">
        <v>65</v>
      </c>
      <c r="L1059" s="75">
        <v>1059</v>
      </c>
      <c r="M1059" s="75"/>
      <c r="N1059" s="70"/>
      <c r="O1059" s="77" t="s">
        <v>179</v>
      </c>
      <c r="P1059" s="79">
        <v>45267.76795138889</v>
      </c>
      <c r="Q1059" s="77" t="s">
        <v>1441</v>
      </c>
      <c r="R1059" s="77">
        <v>0</v>
      </c>
      <c r="S1059" s="77">
        <v>0</v>
      </c>
      <c r="T1059" s="77">
        <v>0</v>
      </c>
      <c r="U1059" s="77">
        <v>0</v>
      </c>
      <c r="V1059" s="77">
        <v>10</v>
      </c>
      <c r="W1059" s="81" t="s">
        <v>1871</v>
      </c>
      <c r="X1059" s="80" t="str">
        <f>HYPERLINK("https://inovies.com")</f>
        <v>https://inovies.com</v>
      </c>
      <c r="Y1059" s="77" t="s">
        <v>1982</v>
      </c>
      <c r="Z1059" s="77"/>
      <c r="AA1059" s="77" t="s">
        <v>2509</v>
      </c>
      <c r="AB1059" s="77" t="s">
        <v>2696</v>
      </c>
      <c r="AC1059" s="81" t="s">
        <v>2707</v>
      </c>
      <c r="AD1059" s="77" t="s">
        <v>2752</v>
      </c>
      <c r="AE1059" s="80" t="str">
        <f>HYPERLINK("https://twitter.com/inovies/status/1732828783525204175")</f>
        <v>https://twitter.com/inovies/status/1732828783525204175</v>
      </c>
      <c r="AF1059" s="79">
        <v>45267.76795138889</v>
      </c>
      <c r="AG1059" s="85">
        <v>45267</v>
      </c>
      <c r="AH1059" s="81" t="s">
        <v>3631</v>
      </c>
      <c r="AI1059" s="77" t="b">
        <v>0</v>
      </c>
      <c r="AJ1059" s="77"/>
      <c r="AK1059" s="77"/>
      <c r="AL1059" s="77"/>
      <c r="AM1059" s="77"/>
      <c r="AN1059" s="77"/>
      <c r="AO1059" s="77"/>
      <c r="AP1059" s="77"/>
      <c r="AQ1059" s="77" t="s">
        <v>4323</v>
      </c>
      <c r="AR1059" s="77"/>
      <c r="AS1059" s="77"/>
      <c r="AT1059" s="77"/>
      <c r="AU1059" s="77"/>
      <c r="AV1059" s="80" t="str">
        <f>HYPERLINK("https://pbs.twimg.com/media/GAw-lo-WAAAytTe.jpg")</f>
        <v>https://pbs.twimg.com/media/GAw-lo-WAAAytTe.jpg</v>
      </c>
      <c r="AW1059" s="81" t="s">
        <v>5403</v>
      </c>
      <c r="AX1059" s="81" t="s">
        <v>5403</v>
      </c>
      <c r="AY1059" s="77"/>
      <c r="AZ1059" s="81" t="s">
        <v>5773</v>
      </c>
      <c r="BA1059" s="81" t="s">
        <v>5773</v>
      </c>
      <c r="BB1059" s="81" t="s">
        <v>5773</v>
      </c>
      <c r="BC1059" s="81" t="s">
        <v>5403</v>
      </c>
      <c r="BD1059" s="77">
        <v>297885438</v>
      </c>
      <c r="BE1059" s="77"/>
      <c r="BF1059" s="77"/>
      <c r="BG1059" s="77"/>
      <c r="BH1059" s="77"/>
      <c r="BI1059" s="77"/>
    </row>
    <row r="1060" spans="1:61" ht="15">
      <c r="A1060" s="62" t="s">
        <v>299</v>
      </c>
      <c r="B1060" s="62" t="s">
        <v>299</v>
      </c>
      <c r="C1060" s="63"/>
      <c r="D1060" s="64"/>
      <c r="E1060" s="65"/>
      <c r="F1060" s="66"/>
      <c r="G1060" s="63"/>
      <c r="H1060" s="67"/>
      <c r="I1060" s="68"/>
      <c r="J1060" s="68"/>
      <c r="K1060" s="32" t="s">
        <v>65</v>
      </c>
      <c r="L1060" s="75">
        <v>1060</v>
      </c>
      <c r="M1060" s="75"/>
      <c r="N1060" s="70"/>
      <c r="O1060" s="77" t="s">
        <v>179</v>
      </c>
      <c r="P1060" s="79">
        <v>45267.76756944445</v>
      </c>
      <c r="Q1060" s="77" t="s">
        <v>1442</v>
      </c>
      <c r="R1060" s="77">
        <v>0</v>
      </c>
      <c r="S1060" s="77">
        <v>0</v>
      </c>
      <c r="T1060" s="77">
        <v>0</v>
      </c>
      <c r="U1060" s="77">
        <v>0</v>
      </c>
      <c r="V1060" s="77">
        <v>10</v>
      </c>
      <c r="W1060" s="81" t="s">
        <v>1871</v>
      </c>
      <c r="X1060" s="80" t="str">
        <f>HYPERLINK("https://inovies.com")</f>
        <v>https://inovies.com</v>
      </c>
      <c r="Y1060" s="77" t="s">
        <v>1982</v>
      </c>
      <c r="Z1060" s="77"/>
      <c r="AA1060" s="77" t="s">
        <v>2510</v>
      </c>
      <c r="AB1060" s="77" t="s">
        <v>2696</v>
      </c>
      <c r="AC1060" s="81" t="s">
        <v>2707</v>
      </c>
      <c r="AD1060" s="77" t="s">
        <v>2752</v>
      </c>
      <c r="AE1060" s="80" t="str">
        <f>HYPERLINK("https://twitter.com/inovies/status/1732828645629046855")</f>
        <v>https://twitter.com/inovies/status/1732828645629046855</v>
      </c>
      <c r="AF1060" s="79">
        <v>45267.76756944445</v>
      </c>
      <c r="AG1060" s="85">
        <v>45267</v>
      </c>
      <c r="AH1060" s="81" t="s">
        <v>3632</v>
      </c>
      <c r="AI1060" s="77" t="b">
        <v>0</v>
      </c>
      <c r="AJ1060" s="77"/>
      <c r="AK1060" s="77"/>
      <c r="AL1060" s="77"/>
      <c r="AM1060" s="77"/>
      <c r="AN1060" s="77"/>
      <c r="AO1060" s="77"/>
      <c r="AP1060" s="77"/>
      <c r="AQ1060" s="77" t="s">
        <v>4324</v>
      </c>
      <c r="AR1060" s="77"/>
      <c r="AS1060" s="77"/>
      <c r="AT1060" s="77"/>
      <c r="AU1060" s="77"/>
      <c r="AV1060" s="80" t="str">
        <f>HYPERLINK("https://pbs.twimg.com/media/GAw-dhTWMAAyWtM.jpg")</f>
        <v>https://pbs.twimg.com/media/GAw-dhTWMAAyWtM.jpg</v>
      </c>
      <c r="AW1060" s="81" t="s">
        <v>5404</v>
      </c>
      <c r="AX1060" s="81" t="s">
        <v>5404</v>
      </c>
      <c r="AY1060" s="77"/>
      <c r="AZ1060" s="81" t="s">
        <v>5773</v>
      </c>
      <c r="BA1060" s="81" t="s">
        <v>5773</v>
      </c>
      <c r="BB1060" s="81" t="s">
        <v>5773</v>
      </c>
      <c r="BC1060" s="81" t="s">
        <v>5404</v>
      </c>
      <c r="BD1060" s="77">
        <v>297885438</v>
      </c>
      <c r="BE1060" s="77"/>
      <c r="BF1060" s="77"/>
      <c r="BG1060" s="77"/>
      <c r="BH1060" s="77"/>
      <c r="BI1060" s="77"/>
    </row>
    <row r="1061" spans="1:61" ht="15">
      <c r="A1061" s="62" t="s">
        <v>299</v>
      </c>
      <c r="B1061" s="62" t="s">
        <v>299</v>
      </c>
      <c r="C1061" s="63"/>
      <c r="D1061" s="64"/>
      <c r="E1061" s="65"/>
      <c r="F1061" s="66"/>
      <c r="G1061" s="63"/>
      <c r="H1061" s="67"/>
      <c r="I1061" s="68"/>
      <c r="J1061" s="68"/>
      <c r="K1061" s="32" t="s">
        <v>65</v>
      </c>
      <c r="L1061" s="75">
        <v>1061</v>
      </c>
      <c r="M1061" s="75"/>
      <c r="N1061" s="70"/>
      <c r="O1061" s="77" t="s">
        <v>179</v>
      </c>
      <c r="P1061" s="79">
        <v>45267.76672453704</v>
      </c>
      <c r="Q1061" s="77" t="s">
        <v>1443</v>
      </c>
      <c r="R1061" s="77">
        <v>0</v>
      </c>
      <c r="S1061" s="77">
        <v>0</v>
      </c>
      <c r="T1061" s="77">
        <v>0</v>
      </c>
      <c r="U1061" s="77">
        <v>0</v>
      </c>
      <c r="V1061" s="77">
        <v>7</v>
      </c>
      <c r="W1061" s="81" t="s">
        <v>1871</v>
      </c>
      <c r="X1061" s="80" t="str">
        <f>HYPERLINK("https://inovies.com")</f>
        <v>https://inovies.com</v>
      </c>
      <c r="Y1061" s="77" t="s">
        <v>1982</v>
      </c>
      <c r="Z1061" s="77"/>
      <c r="AA1061" s="77" t="s">
        <v>2511</v>
      </c>
      <c r="AB1061" s="77" t="s">
        <v>2696</v>
      </c>
      <c r="AC1061" s="81" t="s">
        <v>2707</v>
      </c>
      <c r="AD1061" s="77" t="s">
        <v>2752</v>
      </c>
      <c r="AE1061" s="80" t="str">
        <f>HYPERLINK("https://twitter.com/inovies/status/1732828340266869211")</f>
        <v>https://twitter.com/inovies/status/1732828340266869211</v>
      </c>
      <c r="AF1061" s="79">
        <v>45267.76672453704</v>
      </c>
      <c r="AG1061" s="85">
        <v>45267</v>
      </c>
      <c r="AH1061" s="81" t="s">
        <v>3633</v>
      </c>
      <c r="AI1061" s="77" t="b">
        <v>0</v>
      </c>
      <c r="AJ1061" s="77"/>
      <c r="AK1061" s="77"/>
      <c r="AL1061" s="77"/>
      <c r="AM1061" s="77"/>
      <c r="AN1061" s="77"/>
      <c r="AO1061" s="77"/>
      <c r="AP1061" s="77"/>
      <c r="AQ1061" s="77" t="s">
        <v>4325</v>
      </c>
      <c r="AR1061" s="77"/>
      <c r="AS1061" s="77"/>
      <c r="AT1061" s="77"/>
      <c r="AU1061" s="77"/>
      <c r="AV1061" s="80" t="str">
        <f>HYPERLINK("https://pbs.twimg.com/media/GAw-Lz5XEAA6yQ7.jpg")</f>
        <v>https://pbs.twimg.com/media/GAw-Lz5XEAA6yQ7.jpg</v>
      </c>
      <c r="AW1061" s="81" t="s">
        <v>5405</v>
      </c>
      <c r="AX1061" s="81" t="s">
        <v>5405</v>
      </c>
      <c r="AY1061" s="77"/>
      <c r="AZ1061" s="81" t="s">
        <v>5773</v>
      </c>
      <c r="BA1061" s="81" t="s">
        <v>5773</v>
      </c>
      <c r="BB1061" s="81" t="s">
        <v>5773</v>
      </c>
      <c r="BC1061" s="81" t="s">
        <v>5405</v>
      </c>
      <c r="BD1061" s="77">
        <v>297885438</v>
      </c>
      <c r="BE1061" s="77"/>
      <c r="BF1061" s="77"/>
      <c r="BG1061" s="77"/>
      <c r="BH1061" s="77"/>
      <c r="BI1061" s="77"/>
    </row>
    <row r="1062" spans="1:61" ht="15">
      <c r="A1062" s="62" t="s">
        <v>299</v>
      </c>
      <c r="B1062" s="62" t="s">
        <v>299</v>
      </c>
      <c r="C1062" s="63"/>
      <c r="D1062" s="64"/>
      <c r="E1062" s="65"/>
      <c r="F1062" s="66"/>
      <c r="G1062" s="63"/>
      <c r="H1062" s="67"/>
      <c r="I1062" s="68"/>
      <c r="J1062" s="68"/>
      <c r="K1062" s="32" t="s">
        <v>65</v>
      </c>
      <c r="L1062" s="75">
        <v>1062</v>
      </c>
      <c r="M1062" s="75"/>
      <c r="N1062" s="70"/>
      <c r="O1062" s="77" t="s">
        <v>179</v>
      </c>
      <c r="P1062" s="79">
        <v>45267.76626157408</v>
      </c>
      <c r="Q1062" s="77" t="s">
        <v>1444</v>
      </c>
      <c r="R1062" s="77">
        <v>0</v>
      </c>
      <c r="S1062" s="77">
        <v>0</v>
      </c>
      <c r="T1062" s="77">
        <v>0</v>
      </c>
      <c r="U1062" s="77">
        <v>0</v>
      </c>
      <c r="V1062" s="77">
        <v>8</v>
      </c>
      <c r="W1062" s="81" t="s">
        <v>1871</v>
      </c>
      <c r="X1062" s="80" t="str">
        <f>HYPERLINK("https://inovies.com")</f>
        <v>https://inovies.com</v>
      </c>
      <c r="Y1062" s="77" t="s">
        <v>1982</v>
      </c>
      <c r="Z1062" s="77"/>
      <c r="AA1062" s="77" t="s">
        <v>2512</v>
      </c>
      <c r="AB1062" s="77" t="s">
        <v>2696</v>
      </c>
      <c r="AC1062" s="81" t="s">
        <v>2707</v>
      </c>
      <c r="AD1062" s="77" t="s">
        <v>2752</v>
      </c>
      <c r="AE1062" s="80" t="str">
        <f>HYPERLINK("https://twitter.com/inovies/status/1732828173941747748")</f>
        <v>https://twitter.com/inovies/status/1732828173941747748</v>
      </c>
      <c r="AF1062" s="79">
        <v>45267.76626157408</v>
      </c>
      <c r="AG1062" s="85">
        <v>45267</v>
      </c>
      <c r="AH1062" s="81" t="s">
        <v>3634</v>
      </c>
      <c r="AI1062" s="77" t="b">
        <v>0</v>
      </c>
      <c r="AJ1062" s="77"/>
      <c r="AK1062" s="77"/>
      <c r="AL1062" s="77"/>
      <c r="AM1062" s="77"/>
      <c r="AN1062" s="77"/>
      <c r="AO1062" s="77"/>
      <c r="AP1062" s="77"/>
      <c r="AQ1062" s="77" t="s">
        <v>4326</v>
      </c>
      <c r="AR1062" s="77"/>
      <c r="AS1062" s="77"/>
      <c r="AT1062" s="77"/>
      <c r="AU1062" s="77"/>
      <c r="AV1062" s="80" t="str">
        <f>HYPERLINK("https://pbs.twimg.com/media/GAw-CG0XsAAVsc1.jpg")</f>
        <v>https://pbs.twimg.com/media/GAw-CG0XsAAVsc1.jpg</v>
      </c>
      <c r="AW1062" s="81" t="s">
        <v>5406</v>
      </c>
      <c r="AX1062" s="81" t="s">
        <v>5406</v>
      </c>
      <c r="AY1062" s="77"/>
      <c r="AZ1062" s="81" t="s">
        <v>5773</v>
      </c>
      <c r="BA1062" s="81" t="s">
        <v>5773</v>
      </c>
      <c r="BB1062" s="81" t="s">
        <v>5773</v>
      </c>
      <c r="BC1062" s="81" t="s">
        <v>5406</v>
      </c>
      <c r="BD1062" s="77">
        <v>297885438</v>
      </c>
      <c r="BE1062" s="77"/>
      <c r="BF1062" s="77"/>
      <c r="BG1062" s="77"/>
      <c r="BH1062" s="77"/>
      <c r="BI1062" s="77"/>
    </row>
    <row r="1063" spans="1:61" ht="15">
      <c r="A1063" s="62" t="s">
        <v>299</v>
      </c>
      <c r="B1063" s="62" t="s">
        <v>299</v>
      </c>
      <c r="C1063" s="63"/>
      <c r="D1063" s="64"/>
      <c r="E1063" s="65"/>
      <c r="F1063" s="66"/>
      <c r="G1063" s="63"/>
      <c r="H1063" s="67"/>
      <c r="I1063" s="68"/>
      <c r="J1063" s="68"/>
      <c r="K1063" s="32" t="s">
        <v>65</v>
      </c>
      <c r="L1063" s="75">
        <v>1063</v>
      </c>
      <c r="M1063" s="75"/>
      <c r="N1063" s="70"/>
      <c r="O1063" s="77" t="s">
        <v>179</v>
      </c>
      <c r="P1063" s="79">
        <v>45267.76584490741</v>
      </c>
      <c r="Q1063" s="77" t="s">
        <v>1445</v>
      </c>
      <c r="R1063" s="77">
        <v>0</v>
      </c>
      <c r="S1063" s="77">
        <v>0</v>
      </c>
      <c r="T1063" s="77">
        <v>0</v>
      </c>
      <c r="U1063" s="77">
        <v>0</v>
      </c>
      <c r="V1063" s="77">
        <v>8</v>
      </c>
      <c r="W1063" s="81" t="s">
        <v>1871</v>
      </c>
      <c r="X1063" s="80" t="str">
        <f>HYPERLINK("https://inovies.com")</f>
        <v>https://inovies.com</v>
      </c>
      <c r="Y1063" s="77" t="s">
        <v>1982</v>
      </c>
      <c r="Z1063" s="77"/>
      <c r="AA1063" s="77" t="s">
        <v>2513</v>
      </c>
      <c r="AB1063" s="77" t="s">
        <v>2696</v>
      </c>
      <c r="AC1063" s="81" t="s">
        <v>2707</v>
      </c>
      <c r="AD1063" s="77" t="s">
        <v>2752</v>
      </c>
      <c r="AE1063" s="80" t="str">
        <f>HYPERLINK("https://twitter.com/inovies/status/1732828023043338462")</f>
        <v>https://twitter.com/inovies/status/1732828023043338462</v>
      </c>
      <c r="AF1063" s="79">
        <v>45267.76584490741</v>
      </c>
      <c r="AG1063" s="85">
        <v>45267</v>
      </c>
      <c r="AH1063" s="81" t="s">
        <v>3635</v>
      </c>
      <c r="AI1063" s="77" t="b">
        <v>0</v>
      </c>
      <c r="AJ1063" s="77"/>
      <c r="AK1063" s="77"/>
      <c r="AL1063" s="77"/>
      <c r="AM1063" s="77"/>
      <c r="AN1063" s="77"/>
      <c r="AO1063" s="77"/>
      <c r="AP1063" s="77"/>
      <c r="AQ1063" s="77" t="s">
        <v>4327</v>
      </c>
      <c r="AR1063" s="77"/>
      <c r="AS1063" s="77"/>
      <c r="AT1063" s="77"/>
      <c r="AU1063" s="77"/>
      <c r="AV1063" s="80" t="str">
        <f>HYPERLINK("https://pbs.twimg.com/media/GAw95WnWMAAGxID.jpg")</f>
        <v>https://pbs.twimg.com/media/GAw95WnWMAAGxID.jpg</v>
      </c>
      <c r="AW1063" s="81" t="s">
        <v>5407</v>
      </c>
      <c r="AX1063" s="81" t="s">
        <v>5407</v>
      </c>
      <c r="AY1063" s="77"/>
      <c r="AZ1063" s="81" t="s">
        <v>5773</v>
      </c>
      <c r="BA1063" s="81" t="s">
        <v>5773</v>
      </c>
      <c r="BB1063" s="81" t="s">
        <v>5773</v>
      </c>
      <c r="BC1063" s="81" t="s">
        <v>5407</v>
      </c>
      <c r="BD1063" s="77">
        <v>297885438</v>
      </c>
      <c r="BE1063" s="77"/>
      <c r="BF1063" s="77"/>
      <c r="BG1063" s="77"/>
      <c r="BH1063" s="77"/>
      <c r="BI1063" s="77"/>
    </row>
    <row r="1064" spans="1:61" ht="15">
      <c r="A1064" s="62" t="s">
        <v>299</v>
      </c>
      <c r="B1064" s="62" t="s">
        <v>299</v>
      </c>
      <c r="C1064" s="63"/>
      <c r="D1064" s="64"/>
      <c r="E1064" s="65"/>
      <c r="F1064" s="66"/>
      <c r="G1064" s="63"/>
      <c r="H1064" s="67"/>
      <c r="I1064" s="68"/>
      <c r="J1064" s="68"/>
      <c r="K1064" s="32" t="s">
        <v>65</v>
      </c>
      <c r="L1064" s="75">
        <v>1064</v>
      </c>
      <c r="M1064" s="75"/>
      <c r="N1064" s="70"/>
      <c r="O1064" s="77" t="s">
        <v>179</v>
      </c>
      <c r="P1064" s="79">
        <v>45267.76550925926</v>
      </c>
      <c r="Q1064" s="77" t="s">
        <v>1446</v>
      </c>
      <c r="R1064" s="77">
        <v>0</v>
      </c>
      <c r="S1064" s="77">
        <v>0</v>
      </c>
      <c r="T1064" s="77">
        <v>0</v>
      </c>
      <c r="U1064" s="77">
        <v>0</v>
      </c>
      <c r="V1064" s="77">
        <v>8</v>
      </c>
      <c r="W1064" s="81" t="s">
        <v>1871</v>
      </c>
      <c r="X1064" s="80" t="str">
        <f>HYPERLINK("https://inovies.com")</f>
        <v>https://inovies.com</v>
      </c>
      <c r="Y1064" s="77" t="s">
        <v>1982</v>
      </c>
      <c r="Z1064" s="77"/>
      <c r="AA1064" s="77" t="s">
        <v>2514</v>
      </c>
      <c r="AB1064" s="77" t="s">
        <v>2696</v>
      </c>
      <c r="AC1064" s="81" t="s">
        <v>2707</v>
      </c>
      <c r="AD1064" s="77" t="s">
        <v>2752</v>
      </c>
      <c r="AE1064" s="80" t="str">
        <f>HYPERLINK("https://twitter.com/inovies/status/1732827902431879436")</f>
        <v>https://twitter.com/inovies/status/1732827902431879436</v>
      </c>
      <c r="AF1064" s="79">
        <v>45267.76550925926</v>
      </c>
      <c r="AG1064" s="85">
        <v>45267</v>
      </c>
      <c r="AH1064" s="81" t="s">
        <v>3636</v>
      </c>
      <c r="AI1064" s="77" t="b">
        <v>0</v>
      </c>
      <c r="AJ1064" s="77"/>
      <c r="AK1064" s="77"/>
      <c r="AL1064" s="77"/>
      <c r="AM1064" s="77"/>
      <c r="AN1064" s="77"/>
      <c r="AO1064" s="77"/>
      <c r="AP1064" s="77"/>
      <c r="AQ1064" s="77" t="s">
        <v>4328</v>
      </c>
      <c r="AR1064" s="77"/>
      <c r="AS1064" s="77"/>
      <c r="AT1064" s="77"/>
      <c r="AU1064" s="77"/>
      <c r="AV1064" s="80" t="str">
        <f>HYPERLINK("https://pbs.twimg.com/media/GAw9yLWXcAA7u8a.jpg")</f>
        <v>https://pbs.twimg.com/media/GAw9yLWXcAA7u8a.jpg</v>
      </c>
      <c r="AW1064" s="81" t="s">
        <v>5408</v>
      </c>
      <c r="AX1064" s="81" t="s">
        <v>5408</v>
      </c>
      <c r="AY1064" s="77"/>
      <c r="AZ1064" s="81" t="s">
        <v>5773</v>
      </c>
      <c r="BA1064" s="81" t="s">
        <v>5773</v>
      </c>
      <c r="BB1064" s="81" t="s">
        <v>5773</v>
      </c>
      <c r="BC1064" s="81" t="s">
        <v>5408</v>
      </c>
      <c r="BD1064" s="77">
        <v>297885438</v>
      </c>
      <c r="BE1064" s="77"/>
      <c r="BF1064" s="77"/>
      <c r="BG1064" s="77"/>
      <c r="BH1064" s="77"/>
      <c r="BI1064" s="77"/>
    </row>
    <row r="1065" spans="1:61" ht="15">
      <c r="A1065" s="62" t="s">
        <v>299</v>
      </c>
      <c r="B1065" s="62" t="s">
        <v>299</v>
      </c>
      <c r="C1065" s="63"/>
      <c r="D1065" s="64"/>
      <c r="E1065" s="65"/>
      <c r="F1065" s="66"/>
      <c r="G1065" s="63"/>
      <c r="H1065" s="67"/>
      <c r="I1065" s="68"/>
      <c r="J1065" s="68"/>
      <c r="K1065" s="32" t="s">
        <v>65</v>
      </c>
      <c r="L1065" s="75">
        <v>1065</v>
      </c>
      <c r="M1065" s="75"/>
      <c r="N1065" s="70"/>
      <c r="O1065" s="77" t="s">
        <v>179</v>
      </c>
      <c r="P1065" s="79">
        <v>45267.75355324074</v>
      </c>
      <c r="Q1065" s="77" t="s">
        <v>1447</v>
      </c>
      <c r="R1065" s="77">
        <v>0</v>
      </c>
      <c r="S1065" s="77">
        <v>0</v>
      </c>
      <c r="T1065" s="77">
        <v>0</v>
      </c>
      <c r="U1065" s="77">
        <v>0</v>
      </c>
      <c r="V1065" s="77">
        <v>5</v>
      </c>
      <c r="W1065" s="81" t="s">
        <v>1871</v>
      </c>
      <c r="X1065" s="80" t="str">
        <f>HYPERLINK("https://inovies.com")</f>
        <v>https://inovies.com</v>
      </c>
      <c r="Y1065" s="77" t="s">
        <v>1982</v>
      </c>
      <c r="Z1065" s="77"/>
      <c r="AA1065" s="77" t="s">
        <v>2515</v>
      </c>
      <c r="AB1065" s="77" t="s">
        <v>2696</v>
      </c>
      <c r="AC1065" s="81" t="s">
        <v>2707</v>
      </c>
      <c r="AD1065" s="77" t="s">
        <v>2752</v>
      </c>
      <c r="AE1065" s="80" t="str">
        <f>HYPERLINK("https://twitter.com/inovies/status/1732823566725312747")</f>
        <v>https://twitter.com/inovies/status/1732823566725312747</v>
      </c>
      <c r="AF1065" s="79">
        <v>45267.75355324074</v>
      </c>
      <c r="AG1065" s="85">
        <v>45267</v>
      </c>
      <c r="AH1065" s="81" t="s">
        <v>3637</v>
      </c>
      <c r="AI1065" s="77" t="b">
        <v>0</v>
      </c>
      <c r="AJ1065" s="77"/>
      <c r="AK1065" s="77"/>
      <c r="AL1065" s="77"/>
      <c r="AM1065" s="77"/>
      <c r="AN1065" s="77"/>
      <c r="AO1065" s="77"/>
      <c r="AP1065" s="77"/>
      <c r="AQ1065" s="77" t="s">
        <v>4329</v>
      </c>
      <c r="AR1065" s="77"/>
      <c r="AS1065" s="77"/>
      <c r="AT1065" s="77"/>
      <c r="AU1065" s="77"/>
      <c r="AV1065" s="80" t="str">
        <f>HYPERLINK("https://pbs.twimg.com/media/GAw516mXgAA15R-.jpg")</f>
        <v>https://pbs.twimg.com/media/GAw516mXgAA15R-.jpg</v>
      </c>
      <c r="AW1065" s="81" t="s">
        <v>5409</v>
      </c>
      <c r="AX1065" s="81" t="s">
        <v>5409</v>
      </c>
      <c r="AY1065" s="77"/>
      <c r="AZ1065" s="81" t="s">
        <v>5773</v>
      </c>
      <c r="BA1065" s="81" t="s">
        <v>5773</v>
      </c>
      <c r="BB1065" s="81" t="s">
        <v>5773</v>
      </c>
      <c r="BC1065" s="81" t="s">
        <v>5409</v>
      </c>
      <c r="BD1065" s="77">
        <v>297885438</v>
      </c>
      <c r="BE1065" s="77"/>
      <c r="BF1065" s="77"/>
      <c r="BG1065" s="77"/>
      <c r="BH1065" s="77"/>
      <c r="BI1065" s="77"/>
    </row>
    <row r="1066" spans="1:61" ht="15">
      <c r="A1066" s="62" t="s">
        <v>299</v>
      </c>
      <c r="B1066" s="62" t="s">
        <v>299</v>
      </c>
      <c r="C1066" s="63"/>
      <c r="D1066" s="64"/>
      <c r="E1066" s="65"/>
      <c r="F1066" s="66"/>
      <c r="G1066" s="63"/>
      <c r="H1066" s="67"/>
      <c r="I1066" s="68"/>
      <c r="J1066" s="68"/>
      <c r="K1066" s="32" t="s">
        <v>65</v>
      </c>
      <c r="L1066" s="75">
        <v>1066</v>
      </c>
      <c r="M1066" s="75"/>
      <c r="N1066" s="70"/>
      <c r="O1066" s="77" t="s">
        <v>179</v>
      </c>
      <c r="P1066" s="79">
        <v>45267.75289351852</v>
      </c>
      <c r="Q1066" s="77" t="s">
        <v>1448</v>
      </c>
      <c r="R1066" s="77">
        <v>0</v>
      </c>
      <c r="S1066" s="77">
        <v>0</v>
      </c>
      <c r="T1066" s="77">
        <v>0</v>
      </c>
      <c r="U1066" s="77">
        <v>0</v>
      </c>
      <c r="V1066" s="77">
        <v>5</v>
      </c>
      <c r="W1066" s="81" t="s">
        <v>1871</v>
      </c>
      <c r="X1066" s="80" t="str">
        <f>HYPERLINK("https://inovies.com")</f>
        <v>https://inovies.com</v>
      </c>
      <c r="Y1066" s="77" t="s">
        <v>1982</v>
      </c>
      <c r="Z1066" s="77"/>
      <c r="AA1066" s="77" t="s">
        <v>2516</v>
      </c>
      <c r="AB1066" s="77" t="s">
        <v>2696</v>
      </c>
      <c r="AC1066" s="81" t="s">
        <v>2707</v>
      </c>
      <c r="AD1066" s="77" t="s">
        <v>2752</v>
      </c>
      <c r="AE1066" s="80" t="str">
        <f>HYPERLINK("https://twitter.com/inovies/status/1732823327637459357")</f>
        <v>https://twitter.com/inovies/status/1732823327637459357</v>
      </c>
      <c r="AF1066" s="79">
        <v>45267.75289351852</v>
      </c>
      <c r="AG1066" s="85">
        <v>45267</v>
      </c>
      <c r="AH1066" s="81" t="s">
        <v>3638</v>
      </c>
      <c r="AI1066" s="77" t="b">
        <v>0</v>
      </c>
      <c r="AJ1066" s="77"/>
      <c r="AK1066" s="77"/>
      <c r="AL1066" s="77"/>
      <c r="AM1066" s="77"/>
      <c r="AN1066" s="77"/>
      <c r="AO1066" s="77"/>
      <c r="AP1066" s="77"/>
      <c r="AQ1066" s="77" t="s">
        <v>4330</v>
      </c>
      <c r="AR1066" s="77"/>
      <c r="AS1066" s="77"/>
      <c r="AT1066" s="77"/>
      <c r="AU1066" s="77"/>
      <c r="AV1066" s="80" t="str">
        <f>HYPERLINK("https://pbs.twimg.com/media/GAw5oDTXsAAIfqy.jpg")</f>
        <v>https://pbs.twimg.com/media/GAw5oDTXsAAIfqy.jpg</v>
      </c>
      <c r="AW1066" s="81" t="s">
        <v>5410</v>
      </c>
      <c r="AX1066" s="81" t="s">
        <v>5410</v>
      </c>
      <c r="AY1066" s="77"/>
      <c r="AZ1066" s="81" t="s">
        <v>5773</v>
      </c>
      <c r="BA1066" s="81" t="s">
        <v>5773</v>
      </c>
      <c r="BB1066" s="81" t="s">
        <v>5773</v>
      </c>
      <c r="BC1066" s="81" t="s">
        <v>5410</v>
      </c>
      <c r="BD1066" s="77">
        <v>297885438</v>
      </c>
      <c r="BE1066" s="77"/>
      <c r="BF1066" s="77"/>
      <c r="BG1066" s="77"/>
      <c r="BH1066" s="77"/>
      <c r="BI1066" s="77"/>
    </row>
    <row r="1067" spans="1:61" ht="15">
      <c r="A1067" s="62" t="s">
        <v>299</v>
      </c>
      <c r="B1067" s="62" t="s">
        <v>299</v>
      </c>
      <c r="C1067" s="63"/>
      <c r="D1067" s="64"/>
      <c r="E1067" s="65"/>
      <c r="F1067" s="66"/>
      <c r="G1067" s="63"/>
      <c r="H1067" s="67"/>
      <c r="I1067" s="68"/>
      <c r="J1067" s="68"/>
      <c r="K1067" s="32" t="s">
        <v>65</v>
      </c>
      <c r="L1067" s="75">
        <v>1067</v>
      </c>
      <c r="M1067" s="75"/>
      <c r="N1067" s="70"/>
      <c r="O1067" s="77" t="s">
        <v>179</v>
      </c>
      <c r="P1067" s="79">
        <v>45267.75244212963</v>
      </c>
      <c r="Q1067" s="77" t="s">
        <v>1449</v>
      </c>
      <c r="R1067" s="77">
        <v>0</v>
      </c>
      <c r="S1067" s="77">
        <v>0</v>
      </c>
      <c r="T1067" s="77">
        <v>0</v>
      </c>
      <c r="U1067" s="77">
        <v>0</v>
      </c>
      <c r="V1067" s="77">
        <v>5</v>
      </c>
      <c r="W1067" s="81" t="s">
        <v>1871</v>
      </c>
      <c r="X1067" s="80" t="str">
        <f>HYPERLINK("https://inovies.com")</f>
        <v>https://inovies.com</v>
      </c>
      <c r="Y1067" s="77" t="s">
        <v>1982</v>
      </c>
      <c r="Z1067" s="77"/>
      <c r="AA1067" s="77" t="s">
        <v>2517</v>
      </c>
      <c r="AB1067" s="77" t="s">
        <v>2696</v>
      </c>
      <c r="AC1067" s="81" t="s">
        <v>2707</v>
      </c>
      <c r="AD1067" s="77" t="s">
        <v>2752</v>
      </c>
      <c r="AE1067" s="80" t="str">
        <f>HYPERLINK("https://twitter.com/inovies/status/1732823163434614886")</f>
        <v>https://twitter.com/inovies/status/1732823163434614886</v>
      </c>
      <c r="AF1067" s="79">
        <v>45267.75244212963</v>
      </c>
      <c r="AG1067" s="85">
        <v>45267</v>
      </c>
      <c r="AH1067" s="81" t="s">
        <v>3639</v>
      </c>
      <c r="AI1067" s="77" t="b">
        <v>0</v>
      </c>
      <c r="AJ1067" s="77"/>
      <c r="AK1067" s="77"/>
      <c r="AL1067" s="77"/>
      <c r="AM1067" s="77"/>
      <c r="AN1067" s="77"/>
      <c r="AO1067" s="77"/>
      <c r="AP1067" s="77"/>
      <c r="AQ1067" s="77" t="s">
        <v>4331</v>
      </c>
      <c r="AR1067" s="77"/>
      <c r="AS1067" s="77"/>
      <c r="AT1067" s="77"/>
      <c r="AU1067" s="77"/>
      <c r="AV1067" s="80" t="str">
        <f>HYPERLINK("https://pbs.twimg.com/media/GAw5efJWkAAfS-_.jpg")</f>
        <v>https://pbs.twimg.com/media/GAw5efJWkAAfS-_.jpg</v>
      </c>
      <c r="AW1067" s="81" t="s">
        <v>5411</v>
      </c>
      <c r="AX1067" s="81" t="s">
        <v>5411</v>
      </c>
      <c r="AY1067" s="77"/>
      <c r="AZ1067" s="81" t="s">
        <v>5773</v>
      </c>
      <c r="BA1067" s="81" t="s">
        <v>5773</v>
      </c>
      <c r="BB1067" s="81" t="s">
        <v>5773</v>
      </c>
      <c r="BC1067" s="81" t="s">
        <v>5411</v>
      </c>
      <c r="BD1067" s="77">
        <v>297885438</v>
      </c>
      <c r="BE1067" s="77"/>
      <c r="BF1067" s="77"/>
      <c r="BG1067" s="77"/>
      <c r="BH1067" s="77"/>
      <c r="BI1067" s="77"/>
    </row>
    <row r="1068" spans="1:61" ht="15">
      <c r="A1068" s="62" t="s">
        <v>299</v>
      </c>
      <c r="B1068" s="62" t="s">
        <v>299</v>
      </c>
      <c r="C1068" s="63"/>
      <c r="D1068" s="64"/>
      <c r="E1068" s="65"/>
      <c r="F1068" s="66"/>
      <c r="G1068" s="63"/>
      <c r="H1068" s="67"/>
      <c r="I1068" s="68"/>
      <c r="J1068" s="68"/>
      <c r="K1068" s="32" t="s">
        <v>65</v>
      </c>
      <c r="L1068" s="75">
        <v>1068</v>
      </c>
      <c r="M1068" s="75"/>
      <c r="N1068" s="70"/>
      <c r="O1068" s="77" t="s">
        <v>179</v>
      </c>
      <c r="P1068" s="79">
        <v>45267.751921296294</v>
      </c>
      <c r="Q1068" s="77" t="s">
        <v>1450</v>
      </c>
      <c r="R1068" s="77">
        <v>0</v>
      </c>
      <c r="S1068" s="77">
        <v>0</v>
      </c>
      <c r="T1068" s="77">
        <v>0</v>
      </c>
      <c r="U1068" s="77">
        <v>0</v>
      </c>
      <c r="V1068" s="77">
        <v>5</v>
      </c>
      <c r="W1068" s="81" t="s">
        <v>1871</v>
      </c>
      <c r="X1068" s="80" t="str">
        <f>HYPERLINK("https://inovies.com")</f>
        <v>https://inovies.com</v>
      </c>
      <c r="Y1068" s="77" t="s">
        <v>1982</v>
      </c>
      <c r="Z1068" s="77"/>
      <c r="AA1068" s="77" t="s">
        <v>2518</v>
      </c>
      <c r="AB1068" s="77" t="s">
        <v>2696</v>
      </c>
      <c r="AC1068" s="81" t="s">
        <v>2707</v>
      </c>
      <c r="AD1068" s="77" t="s">
        <v>2752</v>
      </c>
      <c r="AE1068" s="80" t="str">
        <f>HYPERLINK("https://twitter.com/inovies/status/1732822974275752345")</f>
        <v>https://twitter.com/inovies/status/1732822974275752345</v>
      </c>
      <c r="AF1068" s="79">
        <v>45267.751921296294</v>
      </c>
      <c r="AG1068" s="85">
        <v>45267</v>
      </c>
      <c r="AH1068" s="81" t="s">
        <v>3640</v>
      </c>
      <c r="AI1068" s="77" t="b">
        <v>0</v>
      </c>
      <c r="AJ1068" s="77"/>
      <c r="AK1068" s="77"/>
      <c r="AL1068" s="77"/>
      <c r="AM1068" s="77"/>
      <c r="AN1068" s="77"/>
      <c r="AO1068" s="77"/>
      <c r="AP1068" s="77"/>
      <c r="AQ1068" s="77" t="s">
        <v>4332</v>
      </c>
      <c r="AR1068" s="77"/>
      <c r="AS1068" s="77"/>
      <c r="AT1068" s="77"/>
      <c r="AU1068" s="77"/>
      <c r="AV1068" s="80" t="str">
        <f>HYPERLINK("https://pbs.twimg.com/media/GAw5TfSW8AEqwMN.jpg")</f>
        <v>https://pbs.twimg.com/media/GAw5TfSW8AEqwMN.jpg</v>
      </c>
      <c r="AW1068" s="81" t="s">
        <v>5412</v>
      </c>
      <c r="AX1068" s="81" t="s">
        <v>5412</v>
      </c>
      <c r="AY1068" s="77"/>
      <c r="AZ1068" s="81" t="s">
        <v>5773</v>
      </c>
      <c r="BA1068" s="81" t="s">
        <v>5773</v>
      </c>
      <c r="BB1068" s="81" t="s">
        <v>5773</v>
      </c>
      <c r="BC1068" s="81" t="s">
        <v>5412</v>
      </c>
      <c r="BD1068" s="77">
        <v>297885438</v>
      </c>
      <c r="BE1068" s="77"/>
      <c r="BF1068" s="77"/>
      <c r="BG1068" s="77"/>
      <c r="BH1068" s="77"/>
      <c r="BI1068" s="77"/>
    </row>
    <row r="1069" spans="1:61" ht="15">
      <c r="A1069" s="62" t="s">
        <v>299</v>
      </c>
      <c r="B1069" s="62" t="s">
        <v>299</v>
      </c>
      <c r="C1069" s="63"/>
      <c r="D1069" s="64"/>
      <c r="E1069" s="65"/>
      <c r="F1069" s="66"/>
      <c r="G1069" s="63"/>
      <c r="H1069" s="67"/>
      <c r="I1069" s="68"/>
      <c r="J1069" s="68"/>
      <c r="K1069" s="32" t="s">
        <v>65</v>
      </c>
      <c r="L1069" s="75">
        <v>1069</v>
      </c>
      <c r="M1069" s="75"/>
      <c r="N1069" s="70"/>
      <c r="O1069" s="77" t="s">
        <v>179</v>
      </c>
      <c r="P1069" s="79">
        <v>45267.75140046296</v>
      </c>
      <c r="Q1069" s="77" t="s">
        <v>1451</v>
      </c>
      <c r="R1069" s="77">
        <v>0</v>
      </c>
      <c r="S1069" s="77">
        <v>0</v>
      </c>
      <c r="T1069" s="77">
        <v>0</v>
      </c>
      <c r="U1069" s="77">
        <v>0</v>
      </c>
      <c r="V1069" s="77">
        <v>6</v>
      </c>
      <c r="W1069" s="81" t="s">
        <v>1871</v>
      </c>
      <c r="X1069" s="80" t="str">
        <f>HYPERLINK("https://inovies.com")</f>
        <v>https://inovies.com</v>
      </c>
      <c r="Y1069" s="77" t="s">
        <v>1982</v>
      </c>
      <c r="Z1069" s="77"/>
      <c r="AA1069" s="77" t="s">
        <v>2519</v>
      </c>
      <c r="AB1069" s="77" t="s">
        <v>2696</v>
      </c>
      <c r="AC1069" s="81" t="s">
        <v>2707</v>
      </c>
      <c r="AD1069" s="77" t="s">
        <v>2752</v>
      </c>
      <c r="AE1069" s="80" t="str">
        <f>HYPERLINK("https://twitter.com/inovies/status/1732822789034316122")</f>
        <v>https://twitter.com/inovies/status/1732822789034316122</v>
      </c>
      <c r="AF1069" s="79">
        <v>45267.75140046296</v>
      </c>
      <c r="AG1069" s="85">
        <v>45267</v>
      </c>
      <c r="AH1069" s="81" t="s">
        <v>3418</v>
      </c>
      <c r="AI1069" s="77" t="b">
        <v>0</v>
      </c>
      <c r="AJ1069" s="77"/>
      <c r="AK1069" s="77"/>
      <c r="AL1069" s="77"/>
      <c r="AM1069" s="77"/>
      <c r="AN1069" s="77"/>
      <c r="AO1069" s="77"/>
      <c r="AP1069" s="77"/>
      <c r="AQ1069" s="77" t="s">
        <v>4333</v>
      </c>
      <c r="AR1069" s="77"/>
      <c r="AS1069" s="77"/>
      <c r="AT1069" s="77"/>
      <c r="AU1069" s="77"/>
      <c r="AV1069" s="80" t="str">
        <f>HYPERLINK("https://pbs.twimg.com/media/GAw5IkLWwAApiIv.jpg")</f>
        <v>https://pbs.twimg.com/media/GAw5IkLWwAApiIv.jpg</v>
      </c>
      <c r="AW1069" s="81" t="s">
        <v>5413</v>
      </c>
      <c r="AX1069" s="81" t="s">
        <v>5413</v>
      </c>
      <c r="AY1069" s="77"/>
      <c r="AZ1069" s="81" t="s">
        <v>5773</v>
      </c>
      <c r="BA1069" s="81" t="s">
        <v>5773</v>
      </c>
      <c r="BB1069" s="81" t="s">
        <v>5773</v>
      </c>
      <c r="BC1069" s="81" t="s">
        <v>5413</v>
      </c>
      <c r="BD1069" s="77">
        <v>297885438</v>
      </c>
      <c r="BE1069" s="77"/>
      <c r="BF1069" s="77"/>
      <c r="BG1069" s="77"/>
      <c r="BH1069" s="77"/>
      <c r="BI1069" s="77"/>
    </row>
    <row r="1070" spans="1:61" ht="15">
      <c r="A1070" s="62" t="s">
        <v>299</v>
      </c>
      <c r="B1070" s="62" t="s">
        <v>299</v>
      </c>
      <c r="C1070" s="63"/>
      <c r="D1070" s="64"/>
      <c r="E1070" s="65"/>
      <c r="F1070" s="66"/>
      <c r="G1070" s="63"/>
      <c r="H1070" s="67"/>
      <c r="I1070" s="68"/>
      <c r="J1070" s="68"/>
      <c r="K1070" s="32" t="s">
        <v>65</v>
      </c>
      <c r="L1070" s="75">
        <v>1070</v>
      </c>
      <c r="M1070" s="75"/>
      <c r="N1070" s="70"/>
      <c r="O1070" s="77" t="s">
        <v>179</v>
      </c>
      <c r="P1070" s="79">
        <v>45267.750914351855</v>
      </c>
      <c r="Q1070" s="77" t="s">
        <v>1452</v>
      </c>
      <c r="R1070" s="77">
        <v>0</v>
      </c>
      <c r="S1070" s="77">
        <v>0</v>
      </c>
      <c r="T1070" s="77">
        <v>0</v>
      </c>
      <c r="U1070" s="77">
        <v>0</v>
      </c>
      <c r="V1070" s="77">
        <v>6</v>
      </c>
      <c r="W1070" s="81" t="s">
        <v>1871</v>
      </c>
      <c r="X1070" s="80" t="str">
        <f>HYPERLINK("https://inovies.com")</f>
        <v>https://inovies.com</v>
      </c>
      <c r="Y1070" s="77" t="s">
        <v>1982</v>
      </c>
      <c r="Z1070" s="77"/>
      <c r="AA1070" s="77" t="s">
        <v>2520</v>
      </c>
      <c r="AB1070" s="77" t="s">
        <v>2696</v>
      </c>
      <c r="AC1070" s="81" t="s">
        <v>2707</v>
      </c>
      <c r="AD1070" s="77" t="s">
        <v>2752</v>
      </c>
      <c r="AE1070" s="80" t="str">
        <f>HYPERLINK("https://twitter.com/inovies/status/1732822613368467894")</f>
        <v>https://twitter.com/inovies/status/1732822613368467894</v>
      </c>
      <c r="AF1070" s="79">
        <v>45267.750914351855</v>
      </c>
      <c r="AG1070" s="85">
        <v>45267</v>
      </c>
      <c r="AH1070" s="81" t="s">
        <v>3641</v>
      </c>
      <c r="AI1070" s="77" t="b">
        <v>0</v>
      </c>
      <c r="AJ1070" s="77"/>
      <c r="AK1070" s="77"/>
      <c r="AL1070" s="77"/>
      <c r="AM1070" s="77"/>
      <c r="AN1070" s="77"/>
      <c r="AO1070" s="77"/>
      <c r="AP1070" s="77"/>
      <c r="AQ1070" s="77" t="s">
        <v>4334</v>
      </c>
      <c r="AR1070" s="77"/>
      <c r="AS1070" s="77"/>
      <c r="AT1070" s="77"/>
      <c r="AU1070" s="77"/>
      <c r="AV1070" s="80" t="str">
        <f>HYPERLINK("https://pbs.twimg.com/media/GAw4-b7XYAAgP5J.jpg")</f>
        <v>https://pbs.twimg.com/media/GAw4-b7XYAAgP5J.jpg</v>
      </c>
      <c r="AW1070" s="81" t="s">
        <v>5414</v>
      </c>
      <c r="AX1070" s="81" t="s">
        <v>5414</v>
      </c>
      <c r="AY1070" s="77"/>
      <c r="AZ1070" s="81" t="s">
        <v>5773</v>
      </c>
      <c r="BA1070" s="81" t="s">
        <v>5773</v>
      </c>
      <c r="BB1070" s="81" t="s">
        <v>5773</v>
      </c>
      <c r="BC1070" s="81" t="s">
        <v>5414</v>
      </c>
      <c r="BD1070" s="77">
        <v>297885438</v>
      </c>
      <c r="BE1070" s="77"/>
      <c r="BF1070" s="77"/>
      <c r="BG1070" s="77"/>
      <c r="BH1070" s="77"/>
      <c r="BI1070" s="77"/>
    </row>
    <row r="1071" spans="1:61" ht="15">
      <c r="A1071" s="62" t="s">
        <v>299</v>
      </c>
      <c r="B1071" s="62" t="s">
        <v>299</v>
      </c>
      <c r="C1071" s="63"/>
      <c r="D1071" s="64"/>
      <c r="E1071" s="65"/>
      <c r="F1071" s="66"/>
      <c r="G1071" s="63"/>
      <c r="H1071" s="67"/>
      <c r="I1071" s="68"/>
      <c r="J1071" s="68"/>
      <c r="K1071" s="32" t="s">
        <v>65</v>
      </c>
      <c r="L1071" s="75">
        <v>1071</v>
      </c>
      <c r="M1071" s="75"/>
      <c r="N1071" s="70"/>
      <c r="O1071" s="77" t="s">
        <v>179</v>
      </c>
      <c r="P1071" s="79">
        <v>45267.74984953704</v>
      </c>
      <c r="Q1071" s="77" t="s">
        <v>1453</v>
      </c>
      <c r="R1071" s="77">
        <v>0</v>
      </c>
      <c r="S1071" s="77">
        <v>0</v>
      </c>
      <c r="T1071" s="77">
        <v>0</v>
      </c>
      <c r="U1071" s="77">
        <v>0</v>
      </c>
      <c r="V1071" s="77">
        <v>6</v>
      </c>
      <c r="W1071" s="81" t="s">
        <v>1871</v>
      </c>
      <c r="X1071" s="80" t="str">
        <f>HYPERLINK("https://inovies.com")</f>
        <v>https://inovies.com</v>
      </c>
      <c r="Y1071" s="77" t="s">
        <v>1982</v>
      </c>
      <c r="Z1071" s="77"/>
      <c r="AA1071" s="77" t="s">
        <v>2521</v>
      </c>
      <c r="AB1071" s="77" t="s">
        <v>2696</v>
      </c>
      <c r="AC1071" s="81" t="s">
        <v>2707</v>
      </c>
      <c r="AD1071" s="77" t="s">
        <v>2752</v>
      </c>
      <c r="AE1071" s="80" t="str">
        <f>HYPERLINK("https://twitter.com/inovies/status/1732822226158637072")</f>
        <v>https://twitter.com/inovies/status/1732822226158637072</v>
      </c>
      <c r="AF1071" s="79">
        <v>45267.74984953704</v>
      </c>
      <c r="AG1071" s="85">
        <v>45267</v>
      </c>
      <c r="AH1071" s="81" t="s">
        <v>3642</v>
      </c>
      <c r="AI1071" s="77" t="b">
        <v>0</v>
      </c>
      <c r="AJ1071" s="77"/>
      <c r="AK1071" s="77"/>
      <c r="AL1071" s="77"/>
      <c r="AM1071" s="77"/>
      <c r="AN1071" s="77"/>
      <c r="AO1071" s="77"/>
      <c r="AP1071" s="77"/>
      <c r="AQ1071" s="77" t="s">
        <v>4335</v>
      </c>
      <c r="AR1071" s="77"/>
      <c r="AS1071" s="77"/>
      <c r="AT1071" s="77"/>
      <c r="AU1071" s="77"/>
      <c r="AV1071" s="80" t="str">
        <f>HYPERLINK("https://pbs.twimg.com/media/GAw4nwUXoAAmQ5L.jpg")</f>
        <v>https://pbs.twimg.com/media/GAw4nwUXoAAmQ5L.jpg</v>
      </c>
      <c r="AW1071" s="81" t="s">
        <v>5415</v>
      </c>
      <c r="AX1071" s="81" t="s">
        <v>5415</v>
      </c>
      <c r="AY1071" s="77"/>
      <c r="AZ1071" s="81" t="s">
        <v>5773</v>
      </c>
      <c r="BA1071" s="81" t="s">
        <v>5773</v>
      </c>
      <c r="BB1071" s="81" t="s">
        <v>5773</v>
      </c>
      <c r="BC1071" s="81" t="s">
        <v>5415</v>
      </c>
      <c r="BD1071" s="77">
        <v>297885438</v>
      </c>
      <c r="BE1071" s="77"/>
      <c r="BF1071" s="77"/>
      <c r="BG1071" s="77"/>
      <c r="BH1071" s="77"/>
      <c r="BI1071" s="77"/>
    </row>
    <row r="1072" spans="1:61" ht="15">
      <c r="A1072" s="62" t="s">
        <v>299</v>
      </c>
      <c r="B1072" s="62" t="s">
        <v>299</v>
      </c>
      <c r="C1072" s="63"/>
      <c r="D1072" s="64"/>
      <c r="E1072" s="65"/>
      <c r="F1072" s="66"/>
      <c r="G1072" s="63"/>
      <c r="H1072" s="67"/>
      <c r="I1072" s="68"/>
      <c r="J1072" s="68"/>
      <c r="K1072" s="32" t="s">
        <v>65</v>
      </c>
      <c r="L1072" s="75">
        <v>1072</v>
      </c>
      <c r="M1072" s="75"/>
      <c r="N1072" s="70"/>
      <c r="O1072" s="77" t="s">
        <v>179</v>
      </c>
      <c r="P1072" s="79">
        <v>45267.749444444446</v>
      </c>
      <c r="Q1072" s="77" t="s">
        <v>1454</v>
      </c>
      <c r="R1072" s="77">
        <v>0</v>
      </c>
      <c r="S1072" s="77">
        <v>0</v>
      </c>
      <c r="T1072" s="77">
        <v>0</v>
      </c>
      <c r="U1072" s="77">
        <v>0</v>
      </c>
      <c r="V1072" s="77">
        <v>7</v>
      </c>
      <c r="W1072" s="81" t="s">
        <v>1871</v>
      </c>
      <c r="X1072" s="80" t="str">
        <f>HYPERLINK("https://inovies.com")</f>
        <v>https://inovies.com</v>
      </c>
      <c r="Y1072" s="77" t="s">
        <v>1982</v>
      </c>
      <c r="Z1072" s="77"/>
      <c r="AA1072" s="77" t="s">
        <v>2522</v>
      </c>
      <c r="AB1072" s="77" t="s">
        <v>2696</v>
      </c>
      <c r="AC1072" s="81" t="s">
        <v>2707</v>
      </c>
      <c r="AD1072" s="77" t="s">
        <v>2752</v>
      </c>
      <c r="AE1072" s="80" t="str">
        <f>HYPERLINK("https://twitter.com/inovies/status/1732822078695354692")</f>
        <v>https://twitter.com/inovies/status/1732822078695354692</v>
      </c>
      <c r="AF1072" s="79">
        <v>45267.749444444446</v>
      </c>
      <c r="AG1072" s="85">
        <v>45267</v>
      </c>
      <c r="AH1072" s="81" t="s">
        <v>3643</v>
      </c>
      <c r="AI1072" s="77" t="b">
        <v>0</v>
      </c>
      <c r="AJ1072" s="77"/>
      <c r="AK1072" s="77"/>
      <c r="AL1072" s="77"/>
      <c r="AM1072" s="77"/>
      <c r="AN1072" s="77"/>
      <c r="AO1072" s="77"/>
      <c r="AP1072" s="77"/>
      <c r="AQ1072" s="77" t="s">
        <v>4336</v>
      </c>
      <c r="AR1072" s="77"/>
      <c r="AS1072" s="77"/>
      <c r="AT1072" s="77"/>
      <c r="AU1072" s="77"/>
      <c r="AV1072" s="80" t="str">
        <f>HYPERLINK("https://pbs.twimg.com/media/GAw4fQYWQAArTIb.jpg")</f>
        <v>https://pbs.twimg.com/media/GAw4fQYWQAArTIb.jpg</v>
      </c>
      <c r="AW1072" s="81" t="s">
        <v>5416</v>
      </c>
      <c r="AX1072" s="81" t="s">
        <v>5416</v>
      </c>
      <c r="AY1072" s="77"/>
      <c r="AZ1072" s="81" t="s">
        <v>5773</v>
      </c>
      <c r="BA1072" s="81" t="s">
        <v>5773</v>
      </c>
      <c r="BB1072" s="81" t="s">
        <v>5773</v>
      </c>
      <c r="BC1072" s="81" t="s">
        <v>5416</v>
      </c>
      <c r="BD1072" s="77">
        <v>297885438</v>
      </c>
      <c r="BE1072" s="77"/>
      <c r="BF1072" s="77"/>
      <c r="BG1072" s="77"/>
      <c r="BH1072" s="77"/>
      <c r="BI1072" s="77"/>
    </row>
    <row r="1073" spans="1:61" ht="15">
      <c r="A1073" s="62" t="s">
        <v>299</v>
      </c>
      <c r="B1073" s="62" t="s">
        <v>299</v>
      </c>
      <c r="C1073" s="63"/>
      <c r="D1073" s="64"/>
      <c r="E1073" s="65"/>
      <c r="F1073" s="66"/>
      <c r="G1073" s="63"/>
      <c r="H1073" s="67"/>
      <c r="I1073" s="68"/>
      <c r="J1073" s="68"/>
      <c r="K1073" s="32" t="s">
        <v>65</v>
      </c>
      <c r="L1073" s="75">
        <v>1073</v>
      </c>
      <c r="M1073" s="75"/>
      <c r="N1073" s="70"/>
      <c r="O1073" s="77" t="s">
        <v>179</v>
      </c>
      <c r="P1073" s="79">
        <v>45265.596875</v>
      </c>
      <c r="Q1073" s="77" t="s">
        <v>1455</v>
      </c>
      <c r="R1073" s="77">
        <v>0</v>
      </c>
      <c r="S1073" s="77">
        <v>0</v>
      </c>
      <c r="T1073" s="77">
        <v>0</v>
      </c>
      <c r="U1073" s="77">
        <v>0</v>
      </c>
      <c r="V1073" s="77">
        <v>13</v>
      </c>
      <c r="W1073" s="81" t="s">
        <v>1920</v>
      </c>
      <c r="X1073" s="80" t="str">
        <f>HYPERLINK("https://g.co/kgs/aPLTGo")</f>
        <v>https://g.co/kgs/aPLTGo</v>
      </c>
      <c r="Y1073" s="77" t="s">
        <v>2051</v>
      </c>
      <c r="Z1073" s="77"/>
      <c r="AA1073" s="77"/>
      <c r="AB1073" s="77"/>
      <c r="AC1073" s="81" t="s">
        <v>2707</v>
      </c>
      <c r="AD1073" s="77" t="s">
        <v>2751</v>
      </c>
      <c r="AE1073" s="80" t="str">
        <f>HYPERLINK("https://twitter.com/inovies/status/1732042011753255261")</f>
        <v>https://twitter.com/inovies/status/1732042011753255261</v>
      </c>
      <c r="AF1073" s="79">
        <v>45265.596875</v>
      </c>
      <c r="AG1073" s="85">
        <v>45265</v>
      </c>
      <c r="AH1073" s="81" t="s">
        <v>3644</v>
      </c>
      <c r="AI1073" s="77" t="b">
        <v>0</v>
      </c>
      <c r="AJ1073" s="77"/>
      <c r="AK1073" s="77"/>
      <c r="AL1073" s="77"/>
      <c r="AM1073" s="77"/>
      <c r="AN1073" s="77"/>
      <c r="AO1073" s="77"/>
      <c r="AP1073" s="77"/>
      <c r="AQ1073" s="77"/>
      <c r="AR1073" s="77"/>
      <c r="AS1073" s="77"/>
      <c r="AT1073" s="77"/>
      <c r="AU1073" s="77"/>
      <c r="AV1073" s="80" t="str">
        <f>HYPERLINK("https://pbs.twimg.com/profile_images/833576943677214720/5ZyUgpEJ_normal.jpg")</f>
        <v>https://pbs.twimg.com/profile_images/833576943677214720/5ZyUgpEJ_normal.jpg</v>
      </c>
      <c r="AW1073" s="81" t="s">
        <v>5417</v>
      </c>
      <c r="AX1073" s="81" t="s">
        <v>5417</v>
      </c>
      <c r="AY1073" s="77"/>
      <c r="AZ1073" s="81" t="s">
        <v>5773</v>
      </c>
      <c r="BA1073" s="81" t="s">
        <v>5773</v>
      </c>
      <c r="BB1073" s="81" t="s">
        <v>5773</v>
      </c>
      <c r="BC1073" s="81" t="s">
        <v>5417</v>
      </c>
      <c r="BD1073" s="77">
        <v>297885438</v>
      </c>
      <c r="BE1073" s="77"/>
      <c r="BF1073" s="77"/>
      <c r="BG1073" s="77"/>
      <c r="BH1073" s="77"/>
      <c r="BI1073" s="77"/>
    </row>
    <row r="1074" spans="1:61" ht="15">
      <c r="A1074" s="62" t="s">
        <v>299</v>
      </c>
      <c r="B1074" s="62" t="s">
        <v>299</v>
      </c>
      <c r="C1074" s="63"/>
      <c r="D1074" s="64"/>
      <c r="E1074" s="65"/>
      <c r="F1074" s="66"/>
      <c r="G1074" s="63"/>
      <c r="H1074" s="67"/>
      <c r="I1074" s="68"/>
      <c r="J1074" s="68"/>
      <c r="K1074" s="32" t="s">
        <v>65</v>
      </c>
      <c r="L1074" s="75">
        <v>1074</v>
      </c>
      <c r="M1074" s="75"/>
      <c r="N1074" s="70"/>
      <c r="O1074" s="77" t="s">
        <v>179</v>
      </c>
      <c r="P1074" s="79">
        <v>45265.59483796296</v>
      </c>
      <c r="Q1074" s="77" t="s">
        <v>1456</v>
      </c>
      <c r="R1074" s="77">
        <v>0</v>
      </c>
      <c r="S1074" s="77">
        <v>0</v>
      </c>
      <c r="T1074" s="77">
        <v>0</v>
      </c>
      <c r="U1074" s="77">
        <v>0</v>
      </c>
      <c r="V1074" s="77">
        <v>8</v>
      </c>
      <c r="W1074" s="81" t="s">
        <v>1921</v>
      </c>
      <c r="X1074" s="80" t="str">
        <f>HYPERLINK("https://g.co/kgs/LuRprf")</f>
        <v>https://g.co/kgs/LuRprf</v>
      </c>
      <c r="Y1074" s="77" t="s">
        <v>2051</v>
      </c>
      <c r="Z1074" s="77"/>
      <c r="AA1074" s="77"/>
      <c r="AB1074" s="77"/>
      <c r="AC1074" s="81" t="s">
        <v>2707</v>
      </c>
      <c r="AD1074" s="77" t="s">
        <v>2751</v>
      </c>
      <c r="AE1074" s="80" t="str">
        <f>HYPERLINK("https://twitter.com/inovies/status/1732041274474250603")</f>
        <v>https://twitter.com/inovies/status/1732041274474250603</v>
      </c>
      <c r="AF1074" s="79">
        <v>45265.59483796296</v>
      </c>
      <c r="AG1074" s="85">
        <v>45265</v>
      </c>
      <c r="AH1074" s="81" t="s">
        <v>3645</v>
      </c>
      <c r="AI1074" s="77" t="b">
        <v>0</v>
      </c>
      <c r="AJ1074" s="77"/>
      <c r="AK1074" s="77"/>
      <c r="AL1074" s="77"/>
      <c r="AM1074" s="77"/>
      <c r="AN1074" s="77"/>
      <c r="AO1074" s="77"/>
      <c r="AP1074" s="77"/>
      <c r="AQ1074" s="77"/>
      <c r="AR1074" s="77"/>
      <c r="AS1074" s="77"/>
      <c r="AT1074" s="77"/>
      <c r="AU1074" s="77"/>
      <c r="AV1074" s="80" t="str">
        <f>HYPERLINK("https://pbs.twimg.com/profile_images/833576943677214720/5ZyUgpEJ_normal.jpg")</f>
        <v>https://pbs.twimg.com/profile_images/833576943677214720/5ZyUgpEJ_normal.jpg</v>
      </c>
      <c r="AW1074" s="81" t="s">
        <v>5418</v>
      </c>
      <c r="AX1074" s="81" t="s">
        <v>5418</v>
      </c>
      <c r="AY1074" s="77"/>
      <c r="AZ1074" s="81" t="s">
        <v>5773</v>
      </c>
      <c r="BA1074" s="81" t="s">
        <v>5773</v>
      </c>
      <c r="BB1074" s="81" t="s">
        <v>5773</v>
      </c>
      <c r="BC1074" s="81" t="s">
        <v>5418</v>
      </c>
      <c r="BD1074" s="77">
        <v>297885438</v>
      </c>
      <c r="BE1074" s="77"/>
      <c r="BF1074" s="77"/>
      <c r="BG1074" s="77"/>
      <c r="BH1074" s="77"/>
      <c r="BI1074" s="77"/>
    </row>
    <row r="1075" spans="1:61" ht="15">
      <c r="A1075" s="62" t="s">
        <v>299</v>
      </c>
      <c r="B1075" s="62" t="s">
        <v>299</v>
      </c>
      <c r="C1075" s="63"/>
      <c r="D1075" s="64"/>
      <c r="E1075" s="65"/>
      <c r="F1075" s="66"/>
      <c r="G1075" s="63"/>
      <c r="H1075" s="67"/>
      <c r="I1075" s="68"/>
      <c r="J1075" s="68"/>
      <c r="K1075" s="32" t="s">
        <v>65</v>
      </c>
      <c r="L1075" s="75">
        <v>1075</v>
      </c>
      <c r="M1075" s="75"/>
      <c r="N1075" s="70"/>
      <c r="O1075" s="77" t="s">
        <v>179</v>
      </c>
      <c r="P1075" s="79">
        <v>42989.230578703704</v>
      </c>
      <c r="Q1075" s="77" t="s">
        <v>1457</v>
      </c>
      <c r="R1075" s="77">
        <v>1</v>
      </c>
      <c r="S1075" s="77">
        <v>1</v>
      </c>
      <c r="T1075" s="77">
        <v>0</v>
      </c>
      <c r="U1075" s="77">
        <v>0</v>
      </c>
      <c r="V1075" s="77"/>
      <c r="W1075" s="81" t="s">
        <v>1922</v>
      </c>
      <c r="X1075" s="77"/>
      <c r="Y1075" s="77"/>
      <c r="Z1075" s="77"/>
      <c r="AA1075" s="77"/>
      <c r="AB1075" s="77"/>
      <c r="AC1075" s="81" t="s">
        <v>2705</v>
      </c>
      <c r="AD1075" s="77" t="s">
        <v>2751</v>
      </c>
      <c r="AE1075" s="80" t="str">
        <f>HYPERLINK("https://twitter.com/inovies/status/907114491489394689")</f>
        <v>https://twitter.com/inovies/status/907114491489394689</v>
      </c>
      <c r="AF1075" s="79">
        <v>42989.230578703704</v>
      </c>
      <c r="AG1075" s="85">
        <v>42989</v>
      </c>
      <c r="AH1075" s="81" t="s">
        <v>3646</v>
      </c>
      <c r="AI1075" s="77"/>
      <c r="AJ1075" s="77" t="s">
        <v>3887</v>
      </c>
      <c r="AK1075" s="77" t="s">
        <v>3889</v>
      </c>
      <c r="AL1075" s="77" t="s">
        <v>3892</v>
      </c>
      <c r="AM1075" s="77" t="s">
        <v>3889</v>
      </c>
      <c r="AN1075" s="77" t="s">
        <v>3908</v>
      </c>
      <c r="AO1075" s="77" t="s">
        <v>3889</v>
      </c>
      <c r="AP1075" s="77" t="s">
        <v>3919</v>
      </c>
      <c r="AQ1075" s="77"/>
      <c r="AR1075" s="77"/>
      <c r="AS1075" s="77"/>
      <c r="AT1075" s="77"/>
      <c r="AU1075" s="77"/>
      <c r="AV1075" s="80" t="str">
        <f>HYPERLINK("https://pbs.twimg.com/profile_images/833576943677214720/5ZyUgpEJ_normal.jpg")</f>
        <v>https://pbs.twimg.com/profile_images/833576943677214720/5ZyUgpEJ_normal.jpg</v>
      </c>
      <c r="AW1075" s="81" t="s">
        <v>5419</v>
      </c>
      <c r="AX1075" s="81" t="s">
        <v>5419</v>
      </c>
      <c r="AY1075" s="77"/>
      <c r="AZ1075" s="81" t="s">
        <v>5773</v>
      </c>
      <c r="BA1075" s="81" t="s">
        <v>5773</v>
      </c>
      <c r="BB1075" s="81" t="s">
        <v>5773</v>
      </c>
      <c r="BC1075" s="81" t="s">
        <v>5419</v>
      </c>
      <c r="BD1075" s="77">
        <v>297885438</v>
      </c>
      <c r="BE1075" s="77"/>
      <c r="BF1075" s="77"/>
      <c r="BG1075" s="77"/>
      <c r="BH1075" s="77"/>
      <c r="BI1075" s="77"/>
    </row>
    <row r="1076" spans="1:61" ht="15">
      <c r="A1076" s="62" t="s">
        <v>299</v>
      </c>
      <c r="B1076" s="62" t="s">
        <v>299</v>
      </c>
      <c r="C1076" s="63"/>
      <c r="D1076" s="64"/>
      <c r="E1076" s="65"/>
      <c r="F1076" s="66"/>
      <c r="G1076" s="63"/>
      <c r="H1076" s="67"/>
      <c r="I1076" s="68"/>
      <c r="J1076" s="68"/>
      <c r="K1076" s="32" t="s">
        <v>65</v>
      </c>
      <c r="L1076" s="75">
        <v>1076</v>
      </c>
      <c r="M1076" s="75"/>
      <c r="N1076" s="70"/>
      <c r="O1076" s="77" t="s">
        <v>179</v>
      </c>
      <c r="P1076" s="79">
        <v>42989.22368055556</v>
      </c>
      <c r="Q1076" s="77" t="s">
        <v>1458</v>
      </c>
      <c r="R1076" s="77">
        <v>0</v>
      </c>
      <c r="S1076" s="77">
        <v>0</v>
      </c>
      <c r="T1076" s="77">
        <v>1</v>
      </c>
      <c r="U1076" s="77">
        <v>0</v>
      </c>
      <c r="V1076" s="77"/>
      <c r="W1076" s="81" t="s">
        <v>1923</v>
      </c>
      <c r="X1076" s="77"/>
      <c r="Y1076" s="77"/>
      <c r="Z1076" s="77"/>
      <c r="AA1076" s="77"/>
      <c r="AB1076" s="77"/>
      <c r="AC1076" s="81" t="s">
        <v>2705</v>
      </c>
      <c r="AD1076" s="77" t="s">
        <v>2751</v>
      </c>
      <c r="AE1076" s="80" t="str">
        <f>HYPERLINK("https://twitter.com/inovies/status/907111990245523456")</f>
        <v>https://twitter.com/inovies/status/907111990245523456</v>
      </c>
      <c r="AF1076" s="79">
        <v>42989.22368055556</v>
      </c>
      <c r="AG1076" s="85">
        <v>42989</v>
      </c>
      <c r="AH1076" s="81" t="s">
        <v>3647</v>
      </c>
      <c r="AI1076" s="77"/>
      <c r="AJ1076" s="77" t="s">
        <v>3887</v>
      </c>
      <c r="AK1076" s="77" t="s">
        <v>3889</v>
      </c>
      <c r="AL1076" s="77" t="s">
        <v>3892</v>
      </c>
      <c r="AM1076" s="77" t="s">
        <v>3889</v>
      </c>
      <c r="AN1076" s="77" t="s">
        <v>3908</v>
      </c>
      <c r="AO1076" s="77" t="s">
        <v>3889</v>
      </c>
      <c r="AP1076" s="77" t="s">
        <v>3919</v>
      </c>
      <c r="AQ1076" s="77"/>
      <c r="AR1076" s="77"/>
      <c r="AS1076" s="77"/>
      <c r="AT1076" s="77"/>
      <c r="AU1076" s="77"/>
      <c r="AV1076" s="80" t="str">
        <f>HYPERLINK("https://pbs.twimg.com/profile_images/833576943677214720/5ZyUgpEJ_normal.jpg")</f>
        <v>https://pbs.twimg.com/profile_images/833576943677214720/5ZyUgpEJ_normal.jpg</v>
      </c>
      <c r="AW1076" s="81" t="s">
        <v>5420</v>
      </c>
      <c r="AX1076" s="81" t="s">
        <v>5420</v>
      </c>
      <c r="AY1076" s="77"/>
      <c r="AZ1076" s="81" t="s">
        <v>5773</v>
      </c>
      <c r="BA1076" s="81" t="s">
        <v>5773</v>
      </c>
      <c r="BB1076" s="81" t="s">
        <v>5773</v>
      </c>
      <c r="BC1076" s="81" t="s">
        <v>5420</v>
      </c>
      <c r="BD1076" s="77">
        <v>297885438</v>
      </c>
      <c r="BE1076" s="77"/>
      <c r="BF1076" s="77"/>
      <c r="BG1076" s="77"/>
      <c r="BH1076" s="77"/>
      <c r="BI1076" s="77"/>
    </row>
    <row r="1077" spans="1:61" ht="15">
      <c r="A1077" s="62" t="s">
        <v>299</v>
      </c>
      <c r="B1077" s="62" t="s">
        <v>299</v>
      </c>
      <c r="C1077" s="63"/>
      <c r="D1077" s="64"/>
      <c r="E1077" s="65"/>
      <c r="F1077" s="66"/>
      <c r="G1077" s="63"/>
      <c r="H1077" s="67"/>
      <c r="I1077" s="68"/>
      <c r="J1077" s="68"/>
      <c r="K1077" s="32" t="s">
        <v>65</v>
      </c>
      <c r="L1077" s="75">
        <v>1077</v>
      </c>
      <c r="M1077" s="75"/>
      <c r="N1077" s="70"/>
      <c r="O1077" s="77" t="s">
        <v>179</v>
      </c>
      <c r="P1077" s="79">
        <v>42986.7084837963</v>
      </c>
      <c r="Q1077" s="77" t="s">
        <v>1459</v>
      </c>
      <c r="R1077" s="77">
        <v>1</v>
      </c>
      <c r="S1077" s="77">
        <v>3</v>
      </c>
      <c r="T1077" s="77">
        <v>0</v>
      </c>
      <c r="U1077" s="77">
        <v>0</v>
      </c>
      <c r="V1077" s="77"/>
      <c r="W1077" s="81" t="s">
        <v>1924</v>
      </c>
      <c r="X1077" s="77"/>
      <c r="Y1077" s="77"/>
      <c r="Z1077" s="77"/>
      <c r="AA1077" s="77" t="s">
        <v>2523</v>
      </c>
      <c r="AB1077" s="77" t="s">
        <v>2696</v>
      </c>
      <c r="AC1077" s="81" t="s">
        <v>2704</v>
      </c>
      <c r="AD1077" s="77" t="s">
        <v>2752</v>
      </c>
      <c r="AE1077" s="80" t="str">
        <f>HYPERLINK("https://twitter.com/inovies/status/906200514408333312")</f>
        <v>https://twitter.com/inovies/status/906200514408333312</v>
      </c>
      <c r="AF1077" s="79">
        <v>42986.7084837963</v>
      </c>
      <c r="AG1077" s="85">
        <v>42986</v>
      </c>
      <c r="AH1077" s="81" t="s">
        <v>3648</v>
      </c>
      <c r="AI1077" s="77" t="b">
        <v>0</v>
      </c>
      <c r="AJ1077" s="77" t="s">
        <v>3882</v>
      </c>
      <c r="AK1077" s="77" t="s">
        <v>3889</v>
      </c>
      <c r="AL1077" s="77" t="s">
        <v>3892</v>
      </c>
      <c r="AM1077" s="77" t="s">
        <v>3896</v>
      </c>
      <c r="AN1077" s="77" t="s">
        <v>3903</v>
      </c>
      <c r="AO1077" s="77" t="s">
        <v>3911</v>
      </c>
      <c r="AP1077" s="77" t="s">
        <v>3917</v>
      </c>
      <c r="AQ1077" s="77" t="s">
        <v>4337</v>
      </c>
      <c r="AR1077" s="77"/>
      <c r="AS1077" s="77"/>
      <c r="AT1077" s="77"/>
      <c r="AU1077" s="77"/>
      <c r="AV1077" s="80" t="str">
        <f>HYPERLINK("https://pbs.twimg.com/media/DJN4jTEVwAEMM0n.jpg")</f>
        <v>https://pbs.twimg.com/media/DJN4jTEVwAEMM0n.jpg</v>
      </c>
      <c r="AW1077" s="81" t="s">
        <v>5421</v>
      </c>
      <c r="AX1077" s="81" t="s">
        <v>5421</v>
      </c>
      <c r="AY1077" s="77"/>
      <c r="AZ1077" s="81" t="s">
        <v>5773</v>
      </c>
      <c r="BA1077" s="81" t="s">
        <v>5773</v>
      </c>
      <c r="BB1077" s="81" t="s">
        <v>5773</v>
      </c>
      <c r="BC1077" s="81" t="s">
        <v>5421</v>
      </c>
      <c r="BD1077" s="77">
        <v>297885438</v>
      </c>
      <c r="BE1077" s="77"/>
      <c r="BF1077" s="77"/>
      <c r="BG1077" s="77"/>
      <c r="BH1077" s="77"/>
      <c r="BI1077" s="77"/>
    </row>
    <row r="1078" spans="1:61" ht="15">
      <c r="A1078" s="62" t="s">
        <v>299</v>
      </c>
      <c r="B1078" s="62" t="s">
        <v>299</v>
      </c>
      <c r="C1078" s="63"/>
      <c r="D1078" s="64"/>
      <c r="E1078" s="65"/>
      <c r="F1078" s="66"/>
      <c r="G1078" s="63"/>
      <c r="H1078" s="67"/>
      <c r="I1078" s="68"/>
      <c r="J1078" s="68"/>
      <c r="K1078" s="32" t="s">
        <v>65</v>
      </c>
      <c r="L1078" s="75">
        <v>1078</v>
      </c>
      <c r="M1078" s="75"/>
      <c r="N1078" s="70"/>
      <c r="O1078" s="77" t="s">
        <v>179</v>
      </c>
      <c r="P1078" s="79">
        <v>42986.707824074074</v>
      </c>
      <c r="Q1078" s="77" t="s">
        <v>1460</v>
      </c>
      <c r="R1078" s="77">
        <v>1</v>
      </c>
      <c r="S1078" s="77">
        <v>1</v>
      </c>
      <c r="T1078" s="77">
        <v>0</v>
      </c>
      <c r="U1078" s="77">
        <v>0</v>
      </c>
      <c r="V1078" s="77"/>
      <c r="W1078" s="81" t="s">
        <v>1925</v>
      </c>
      <c r="X1078" s="77"/>
      <c r="Y1078" s="77"/>
      <c r="Z1078" s="77"/>
      <c r="AA1078" s="77" t="s">
        <v>2524</v>
      </c>
      <c r="AB1078" s="77" t="s">
        <v>2696</v>
      </c>
      <c r="AC1078" s="81" t="s">
        <v>2704</v>
      </c>
      <c r="AD1078" s="77" t="s">
        <v>2752</v>
      </c>
      <c r="AE1078" s="80" t="str">
        <f>HYPERLINK("https://twitter.com/inovies/status/906200273969807360")</f>
        <v>https://twitter.com/inovies/status/906200273969807360</v>
      </c>
      <c r="AF1078" s="79">
        <v>42986.707824074074</v>
      </c>
      <c r="AG1078" s="85">
        <v>42986</v>
      </c>
      <c r="AH1078" s="81" t="s">
        <v>3649</v>
      </c>
      <c r="AI1078" s="77" t="b">
        <v>0</v>
      </c>
      <c r="AJ1078" s="77" t="s">
        <v>3882</v>
      </c>
      <c r="AK1078" s="77" t="s">
        <v>3889</v>
      </c>
      <c r="AL1078" s="77" t="s">
        <v>3892</v>
      </c>
      <c r="AM1078" s="77" t="s">
        <v>3896</v>
      </c>
      <c r="AN1078" s="77" t="s">
        <v>3903</v>
      </c>
      <c r="AO1078" s="77" t="s">
        <v>3911</v>
      </c>
      <c r="AP1078" s="77" t="s">
        <v>3917</v>
      </c>
      <c r="AQ1078" s="77" t="s">
        <v>4338</v>
      </c>
      <c r="AR1078" s="77"/>
      <c r="AS1078" s="77"/>
      <c r="AT1078" s="77"/>
      <c r="AU1078" s="77"/>
      <c r="AV1078" s="80" t="str">
        <f>HYPERLINK("https://pbs.twimg.com/media/DJN4U_fUwAAoAH4.jpg")</f>
        <v>https://pbs.twimg.com/media/DJN4U_fUwAAoAH4.jpg</v>
      </c>
      <c r="AW1078" s="81" t="s">
        <v>5422</v>
      </c>
      <c r="AX1078" s="81" t="s">
        <v>5422</v>
      </c>
      <c r="AY1078" s="77"/>
      <c r="AZ1078" s="81" t="s">
        <v>5773</v>
      </c>
      <c r="BA1078" s="81" t="s">
        <v>5773</v>
      </c>
      <c r="BB1078" s="81" t="s">
        <v>5773</v>
      </c>
      <c r="BC1078" s="81" t="s">
        <v>5422</v>
      </c>
      <c r="BD1078" s="77">
        <v>297885438</v>
      </c>
      <c r="BE1078" s="77"/>
      <c r="BF1078" s="77"/>
      <c r="BG1078" s="77"/>
      <c r="BH1078" s="77"/>
      <c r="BI1078" s="77"/>
    </row>
    <row r="1079" spans="1:61" ht="15">
      <c r="A1079" s="62" t="s">
        <v>299</v>
      </c>
      <c r="B1079" s="62" t="s">
        <v>299</v>
      </c>
      <c r="C1079" s="63"/>
      <c r="D1079" s="64"/>
      <c r="E1079" s="65"/>
      <c r="F1079" s="66"/>
      <c r="G1079" s="63"/>
      <c r="H1079" s="67"/>
      <c r="I1079" s="68"/>
      <c r="J1079" s="68"/>
      <c r="K1079" s="32" t="s">
        <v>65</v>
      </c>
      <c r="L1079" s="75">
        <v>1079</v>
      </c>
      <c r="M1079" s="75"/>
      <c r="N1079" s="70"/>
      <c r="O1079" s="77" t="s">
        <v>179</v>
      </c>
      <c r="P1079" s="79">
        <v>42986.70721064815</v>
      </c>
      <c r="Q1079" s="77" t="s">
        <v>1461</v>
      </c>
      <c r="R1079" s="77">
        <v>1</v>
      </c>
      <c r="S1079" s="77">
        <v>2</v>
      </c>
      <c r="T1079" s="77">
        <v>0</v>
      </c>
      <c r="U1079" s="77">
        <v>0</v>
      </c>
      <c r="V1079" s="77"/>
      <c r="W1079" s="81" t="s">
        <v>1926</v>
      </c>
      <c r="X1079" s="77"/>
      <c r="Y1079" s="77"/>
      <c r="Z1079" s="77"/>
      <c r="AA1079" s="77" t="s">
        <v>2525</v>
      </c>
      <c r="AB1079" s="77" t="s">
        <v>2696</v>
      </c>
      <c r="AC1079" s="81" t="s">
        <v>2704</v>
      </c>
      <c r="AD1079" s="77" t="s">
        <v>2752</v>
      </c>
      <c r="AE1079" s="80" t="str">
        <f>HYPERLINK("https://twitter.com/inovies/status/906200051763916801")</f>
        <v>https://twitter.com/inovies/status/906200051763916801</v>
      </c>
      <c r="AF1079" s="79">
        <v>42986.70721064815</v>
      </c>
      <c r="AG1079" s="85">
        <v>42986</v>
      </c>
      <c r="AH1079" s="81" t="s">
        <v>3650</v>
      </c>
      <c r="AI1079" s="77" t="b">
        <v>0</v>
      </c>
      <c r="AJ1079" s="77" t="s">
        <v>3882</v>
      </c>
      <c r="AK1079" s="77" t="s">
        <v>3889</v>
      </c>
      <c r="AL1079" s="77" t="s">
        <v>3892</v>
      </c>
      <c r="AM1079" s="77" t="s">
        <v>3896</v>
      </c>
      <c r="AN1079" s="77" t="s">
        <v>3903</v>
      </c>
      <c r="AO1079" s="77" t="s">
        <v>3911</v>
      </c>
      <c r="AP1079" s="77" t="s">
        <v>3917</v>
      </c>
      <c r="AQ1079" s="77" t="s">
        <v>4339</v>
      </c>
      <c r="AR1079" s="77"/>
      <c r="AS1079" s="77"/>
      <c r="AT1079" s="77"/>
      <c r="AU1079" s="77"/>
      <c r="AV1079" s="80" t="str">
        <f>HYPERLINK("https://pbs.twimg.com/media/DJN4Ip6UwAEv797.jpg")</f>
        <v>https://pbs.twimg.com/media/DJN4Ip6UwAEv797.jpg</v>
      </c>
      <c r="AW1079" s="81" t="s">
        <v>5423</v>
      </c>
      <c r="AX1079" s="81" t="s">
        <v>5423</v>
      </c>
      <c r="AY1079" s="77"/>
      <c r="AZ1079" s="81" t="s">
        <v>5773</v>
      </c>
      <c r="BA1079" s="81" t="s">
        <v>5773</v>
      </c>
      <c r="BB1079" s="81" t="s">
        <v>5773</v>
      </c>
      <c r="BC1079" s="81" t="s">
        <v>5423</v>
      </c>
      <c r="BD1079" s="77">
        <v>297885438</v>
      </c>
      <c r="BE1079" s="77"/>
      <c r="BF1079" s="77"/>
      <c r="BG1079" s="77"/>
      <c r="BH1079" s="77"/>
      <c r="BI1079" s="77"/>
    </row>
    <row r="1080" spans="1:61" ht="15">
      <c r="A1080" s="62" t="s">
        <v>299</v>
      </c>
      <c r="B1080" s="62" t="s">
        <v>299</v>
      </c>
      <c r="C1080" s="63"/>
      <c r="D1080" s="64"/>
      <c r="E1080" s="65"/>
      <c r="F1080" s="66"/>
      <c r="G1080" s="63"/>
      <c r="H1080" s="67"/>
      <c r="I1080" s="68"/>
      <c r="J1080" s="68"/>
      <c r="K1080" s="32" t="s">
        <v>65</v>
      </c>
      <c r="L1080" s="75">
        <v>1080</v>
      </c>
      <c r="M1080" s="75"/>
      <c r="N1080" s="70"/>
      <c r="O1080" s="77" t="s">
        <v>179</v>
      </c>
      <c r="P1080" s="79">
        <v>42986.70663194444</v>
      </c>
      <c r="Q1080" s="77" t="s">
        <v>1462</v>
      </c>
      <c r="R1080" s="77">
        <v>1</v>
      </c>
      <c r="S1080" s="77">
        <v>1</v>
      </c>
      <c r="T1080" s="77">
        <v>0</v>
      </c>
      <c r="U1080" s="77">
        <v>0</v>
      </c>
      <c r="V1080" s="77"/>
      <c r="W1080" s="81" t="s">
        <v>1927</v>
      </c>
      <c r="X1080" s="77"/>
      <c r="Y1080" s="77"/>
      <c r="Z1080" s="77"/>
      <c r="AA1080" s="77" t="s">
        <v>2526</v>
      </c>
      <c r="AB1080" s="77" t="s">
        <v>2696</v>
      </c>
      <c r="AC1080" s="81" t="s">
        <v>2704</v>
      </c>
      <c r="AD1080" s="77" t="s">
        <v>2752</v>
      </c>
      <c r="AE1080" s="80" t="str">
        <f>HYPERLINK("https://twitter.com/inovies/status/906199843114065921")</f>
        <v>https://twitter.com/inovies/status/906199843114065921</v>
      </c>
      <c r="AF1080" s="79">
        <v>42986.70663194444</v>
      </c>
      <c r="AG1080" s="85">
        <v>42986</v>
      </c>
      <c r="AH1080" s="81" t="s">
        <v>3651</v>
      </c>
      <c r="AI1080" s="77" t="b">
        <v>0</v>
      </c>
      <c r="AJ1080" s="77" t="s">
        <v>3882</v>
      </c>
      <c r="AK1080" s="77" t="s">
        <v>3889</v>
      </c>
      <c r="AL1080" s="77" t="s">
        <v>3892</v>
      </c>
      <c r="AM1080" s="77" t="s">
        <v>3896</v>
      </c>
      <c r="AN1080" s="77" t="s">
        <v>3903</v>
      </c>
      <c r="AO1080" s="77" t="s">
        <v>3911</v>
      </c>
      <c r="AP1080" s="77" t="s">
        <v>3917</v>
      </c>
      <c r="AQ1080" s="77" t="s">
        <v>4340</v>
      </c>
      <c r="AR1080" s="77"/>
      <c r="AS1080" s="77"/>
      <c r="AT1080" s="77"/>
      <c r="AU1080" s="77"/>
      <c r="AV1080" s="80" t="str">
        <f>HYPERLINK("https://pbs.twimg.com/media/DJN38hKUQAEEfCi.jpg")</f>
        <v>https://pbs.twimg.com/media/DJN38hKUQAEEfCi.jpg</v>
      </c>
      <c r="AW1080" s="81" t="s">
        <v>5424</v>
      </c>
      <c r="AX1080" s="81" t="s">
        <v>5424</v>
      </c>
      <c r="AY1080" s="77"/>
      <c r="AZ1080" s="81" t="s">
        <v>5773</v>
      </c>
      <c r="BA1080" s="81" t="s">
        <v>5773</v>
      </c>
      <c r="BB1080" s="81" t="s">
        <v>5773</v>
      </c>
      <c r="BC1080" s="81" t="s">
        <v>5424</v>
      </c>
      <c r="BD1080" s="77">
        <v>297885438</v>
      </c>
      <c r="BE1080" s="77"/>
      <c r="BF1080" s="77"/>
      <c r="BG1080" s="77"/>
      <c r="BH1080" s="77"/>
      <c r="BI1080" s="77"/>
    </row>
    <row r="1081" spans="1:61" ht="15">
      <c r="A1081" s="62" t="s">
        <v>299</v>
      </c>
      <c r="B1081" s="62" t="s">
        <v>299</v>
      </c>
      <c r="C1081" s="63"/>
      <c r="D1081" s="64"/>
      <c r="E1081" s="65"/>
      <c r="F1081" s="66"/>
      <c r="G1081" s="63"/>
      <c r="H1081" s="67"/>
      <c r="I1081" s="68"/>
      <c r="J1081" s="68"/>
      <c r="K1081" s="32" t="s">
        <v>65</v>
      </c>
      <c r="L1081" s="75">
        <v>1081</v>
      </c>
      <c r="M1081" s="75"/>
      <c r="N1081" s="70"/>
      <c r="O1081" s="77" t="s">
        <v>179</v>
      </c>
      <c r="P1081" s="79">
        <v>42986.70583333333</v>
      </c>
      <c r="Q1081" s="77" t="s">
        <v>1463</v>
      </c>
      <c r="R1081" s="77">
        <v>1</v>
      </c>
      <c r="S1081" s="77">
        <v>1</v>
      </c>
      <c r="T1081" s="77">
        <v>0</v>
      </c>
      <c r="U1081" s="77">
        <v>0</v>
      </c>
      <c r="V1081" s="77"/>
      <c r="W1081" s="81" t="s">
        <v>1928</v>
      </c>
      <c r="X1081" s="77"/>
      <c r="Y1081" s="77"/>
      <c r="Z1081" s="77"/>
      <c r="AA1081" s="77" t="s">
        <v>2527</v>
      </c>
      <c r="AB1081" s="77" t="s">
        <v>2696</v>
      </c>
      <c r="AC1081" s="81" t="s">
        <v>2704</v>
      </c>
      <c r="AD1081" s="77" t="s">
        <v>2752</v>
      </c>
      <c r="AE1081" s="80" t="str">
        <f>HYPERLINK("https://twitter.com/inovies/status/906199551471521792")</f>
        <v>https://twitter.com/inovies/status/906199551471521792</v>
      </c>
      <c r="AF1081" s="79">
        <v>42986.70583333333</v>
      </c>
      <c r="AG1081" s="85">
        <v>42986</v>
      </c>
      <c r="AH1081" s="81" t="s">
        <v>3652</v>
      </c>
      <c r="AI1081" s="77" t="b">
        <v>0</v>
      </c>
      <c r="AJ1081" s="77" t="s">
        <v>3882</v>
      </c>
      <c r="AK1081" s="77" t="s">
        <v>3889</v>
      </c>
      <c r="AL1081" s="77" t="s">
        <v>3892</v>
      </c>
      <c r="AM1081" s="77" t="s">
        <v>3896</v>
      </c>
      <c r="AN1081" s="77" t="s">
        <v>3903</v>
      </c>
      <c r="AO1081" s="77" t="s">
        <v>3911</v>
      </c>
      <c r="AP1081" s="77" t="s">
        <v>3917</v>
      </c>
      <c r="AQ1081" s="77" t="s">
        <v>4341</v>
      </c>
      <c r="AR1081" s="77"/>
      <c r="AS1081" s="77"/>
      <c r="AT1081" s="77"/>
      <c r="AU1081" s="77"/>
      <c r="AV1081" s="80" t="str">
        <f>HYPERLINK("https://pbs.twimg.com/media/DJN3rfRUwAAxA9T.jpg")</f>
        <v>https://pbs.twimg.com/media/DJN3rfRUwAAxA9T.jpg</v>
      </c>
      <c r="AW1081" s="81" t="s">
        <v>5425</v>
      </c>
      <c r="AX1081" s="81" t="s">
        <v>5425</v>
      </c>
      <c r="AY1081" s="77"/>
      <c r="AZ1081" s="81" t="s">
        <v>5773</v>
      </c>
      <c r="BA1081" s="81" t="s">
        <v>5773</v>
      </c>
      <c r="BB1081" s="81" t="s">
        <v>5773</v>
      </c>
      <c r="BC1081" s="81" t="s">
        <v>5425</v>
      </c>
      <c r="BD1081" s="77">
        <v>297885438</v>
      </c>
      <c r="BE1081" s="77"/>
      <c r="BF1081" s="77"/>
      <c r="BG1081" s="77"/>
      <c r="BH1081" s="77"/>
      <c r="BI1081" s="77"/>
    </row>
    <row r="1082" spans="1:61" ht="15">
      <c r="A1082" s="62" t="s">
        <v>299</v>
      </c>
      <c r="B1082" s="62" t="s">
        <v>299</v>
      </c>
      <c r="C1082" s="63"/>
      <c r="D1082" s="64"/>
      <c r="E1082" s="65"/>
      <c r="F1082" s="66"/>
      <c r="G1082" s="63"/>
      <c r="H1082" s="67"/>
      <c r="I1082" s="68"/>
      <c r="J1082" s="68"/>
      <c r="K1082" s="32" t="s">
        <v>65</v>
      </c>
      <c r="L1082" s="75">
        <v>1082</v>
      </c>
      <c r="M1082" s="75"/>
      <c r="N1082" s="70"/>
      <c r="O1082" s="77" t="s">
        <v>179</v>
      </c>
      <c r="P1082" s="79">
        <v>42986.70311342592</v>
      </c>
      <c r="Q1082" s="77" t="s">
        <v>1464</v>
      </c>
      <c r="R1082" s="77">
        <v>1</v>
      </c>
      <c r="S1082" s="77">
        <v>1</v>
      </c>
      <c r="T1082" s="77">
        <v>0</v>
      </c>
      <c r="U1082" s="77">
        <v>0</v>
      </c>
      <c r="V1082" s="77"/>
      <c r="W1082" s="81" t="s">
        <v>1929</v>
      </c>
      <c r="X1082" s="77"/>
      <c r="Y1082" s="77"/>
      <c r="Z1082" s="77"/>
      <c r="AA1082" s="77" t="s">
        <v>2528</v>
      </c>
      <c r="AB1082" s="77" t="s">
        <v>2696</v>
      </c>
      <c r="AC1082" s="81" t="s">
        <v>2704</v>
      </c>
      <c r="AD1082" s="77" t="s">
        <v>2752</v>
      </c>
      <c r="AE1082" s="80" t="str">
        <f>HYPERLINK("https://twitter.com/inovies/status/906198568783962113")</f>
        <v>https://twitter.com/inovies/status/906198568783962113</v>
      </c>
      <c r="AF1082" s="79">
        <v>42986.70311342592</v>
      </c>
      <c r="AG1082" s="85">
        <v>42986</v>
      </c>
      <c r="AH1082" s="81" t="s">
        <v>3653</v>
      </c>
      <c r="AI1082" s="77" t="b">
        <v>0</v>
      </c>
      <c r="AJ1082" s="77" t="s">
        <v>3882</v>
      </c>
      <c r="AK1082" s="77" t="s">
        <v>3889</v>
      </c>
      <c r="AL1082" s="77" t="s">
        <v>3892</v>
      </c>
      <c r="AM1082" s="77" t="s">
        <v>3896</v>
      </c>
      <c r="AN1082" s="77" t="s">
        <v>3903</v>
      </c>
      <c r="AO1082" s="77" t="s">
        <v>3911</v>
      </c>
      <c r="AP1082" s="77" t="s">
        <v>3917</v>
      </c>
      <c r="AQ1082" s="77" t="s">
        <v>4342</v>
      </c>
      <c r="AR1082" s="77"/>
      <c r="AS1082" s="77"/>
      <c r="AT1082" s="77"/>
      <c r="AU1082" s="77"/>
      <c r="AV1082" s="80" t="str">
        <f>HYPERLINK("https://pbs.twimg.com/media/DJN2yYtUIAAU_KL.jpg")</f>
        <v>https://pbs.twimg.com/media/DJN2yYtUIAAU_KL.jpg</v>
      </c>
      <c r="AW1082" s="81" t="s">
        <v>5426</v>
      </c>
      <c r="AX1082" s="81" t="s">
        <v>5426</v>
      </c>
      <c r="AY1082" s="77"/>
      <c r="AZ1082" s="81" t="s">
        <v>5773</v>
      </c>
      <c r="BA1082" s="81" t="s">
        <v>5773</v>
      </c>
      <c r="BB1082" s="81" t="s">
        <v>5773</v>
      </c>
      <c r="BC1082" s="81" t="s">
        <v>5426</v>
      </c>
      <c r="BD1082" s="77">
        <v>297885438</v>
      </c>
      <c r="BE1082" s="77"/>
      <c r="BF1082" s="77"/>
      <c r="BG1082" s="77"/>
      <c r="BH1082" s="77"/>
      <c r="BI1082" s="77"/>
    </row>
    <row r="1083" spans="1:61" ht="15">
      <c r="A1083" s="62" t="s">
        <v>299</v>
      </c>
      <c r="B1083" s="62" t="s">
        <v>299</v>
      </c>
      <c r="C1083" s="63"/>
      <c r="D1083" s="64"/>
      <c r="E1083" s="65"/>
      <c r="F1083" s="66"/>
      <c r="G1083" s="63"/>
      <c r="H1083" s="67"/>
      <c r="I1083" s="68"/>
      <c r="J1083" s="68"/>
      <c r="K1083" s="32" t="s">
        <v>65</v>
      </c>
      <c r="L1083" s="75">
        <v>1083</v>
      </c>
      <c r="M1083" s="75"/>
      <c r="N1083" s="70"/>
      <c r="O1083" s="77" t="s">
        <v>179</v>
      </c>
      <c r="P1083" s="79">
        <v>42986.7025</v>
      </c>
      <c r="Q1083" s="77" t="s">
        <v>1465</v>
      </c>
      <c r="R1083" s="77">
        <v>1</v>
      </c>
      <c r="S1083" s="77">
        <v>2</v>
      </c>
      <c r="T1083" s="77">
        <v>0</v>
      </c>
      <c r="U1083" s="77">
        <v>0</v>
      </c>
      <c r="V1083" s="77"/>
      <c r="W1083" s="81" t="s">
        <v>1930</v>
      </c>
      <c r="X1083" s="77"/>
      <c r="Y1083" s="77"/>
      <c r="Z1083" s="77"/>
      <c r="AA1083" s="77" t="s">
        <v>2529</v>
      </c>
      <c r="AB1083" s="77" t="s">
        <v>2696</v>
      </c>
      <c r="AC1083" s="81" t="s">
        <v>2704</v>
      </c>
      <c r="AD1083" s="77" t="s">
        <v>2752</v>
      </c>
      <c r="AE1083" s="80" t="str">
        <f>HYPERLINK("https://twitter.com/inovies/status/906198346779435008")</f>
        <v>https://twitter.com/inovies/status/906198346779435008</v>
      </c>
      <c r="AF1083" s="79">
        <v>42986.7025</v>
      </c>
      <c r="AG1083" s="85">
        <v>42986</v>
      </c>
      <c r="AH1083" s="81" t="s">
        <v>3654</v>
      </c>
      <c r="AI1083" s="77" t="b">
        <v>0</v>
      </c>
      <c r="AJ1083" s="77" t="s">
        <v>3882</v>
      </c>
      <c r="AK1083" s="77" t="s">
        <v>3889</v>
      </c>
      <c r="AL1083" s="77" t="s">
        <v>3892</v>
      </c>
      <c r="AM1083" s="77" t="s">
        <v>3896</v>
      </c>
      <c r="AN1083" s="77" t="s">
        <v>3903</v>
      </c>
      <c r="AO1083" s="77" t="s">
        <v>3911</v>
      </c>
      <c r="AP1083" s="77" t="s">
        <v>3917</v>
      </c>
      <c r="AQ1083" s="77" t="s">
        <v>4343</v>
      </c>
      <c r="AR1083" s="77"/>
      <c r="AS1083" s="77"/>
      <c r="AT1083" s="77"/>
      <c r="AU1083" s="77"/>
      <c r="AV1083" s="80" t="str">
        <f>HYPERLINK("https://pbs.twimg.com/media/DJN2lXCUIAA4Ndc.jpg")</f>
        <v>https://pbs.twimg.com/media/DJN2lXCUIAA4Ndc.jpg</v>
      </c>
      <c r="AW1083" s="81" t="s">
        <v>5427</v>
      </c>
      <c r="AX1083" s="81" t="s">
        <v>5427</v>
      </c>
      <c r="AY1083" s="77"/>
      <c r="AZ1083" s="81" t="s">
        <v>5773</v>
      </c>
      <c r="BA1083" s="81" t="s">
        <v>5773</v>
      </c>
      <c r="BB1083" s="81" t="s">
        <v>5773</v>
      </c>
      <c r="BC1083" s="81" t="s">
        <v>5427</v>
      </c>
      <c r="BD1083" s="77">
        <v>297885438</v>
      </c>
      <c r="BE1083" s="77"/>
      <c r="BF1083" s="77"/>
      <c r="BG1083" s="77"/>
      <c r="BH1083" s="77"/>
      <c r="BI1083" s="77"/>
    </row>
    <row r="1084" spans="1:61" ht="15">
      <c r="A1084" s="62" t="s">
        <v>299</v>
      </c>
      <c r="B1084" s="62" t="s">
        <v>299</v>
      </c>
      <c r="C1084" s="63"/>
      <c r="D1084" s="64"/>
      <c r="E1084" s="65"/>
      <c r="F1084" s="66"/>
      <c r="G1084" s="63"/>
      <c r="H1084" s="67"/>
      <c r="I1084" s="68"/>
      <c r="J1084" s="68"/>
      <c r="K1084" s="32" t="s">
        <v>65</v>
      </c>
      <c r="L1084" s="75">
        <v>1084</v>
      </c>
      <c r="M1084" s="75"/>
      <c r="N1084" s="70"/>
      <c r="O1084" s="77" t="s">
        <v>179</v>
      </c>
      <c r="P1084" s="79">
        <v>42986.70119212963</v>
      </c>
      <c r="Q1084" s="77" t="s">
        <v>1466</v>
      </c>
      <c r="R1084" s="77">
        <v>1</v>
      </c>
      <c r="S1084" s="77">
        <v>1</v>
      </c>
      <c r="T1084" s="77">
        <v>0</v>
      </c>
      <c r="U1084" s="77">
        <v>0</v>
      </c>
      <c r="V1084" s="77"/>
      <c r="W1084" s="81" t="s">
        <v>1931</v>
      </c>
      <c r="X1084" s="77"/>
      <c r="Y1084" s="77"/>
      <c r="Z1084" s="77"/>
      <c r="AA1084" s="77" t="s">
        <v>2530</v>
      </c>
      <c r="AB1084" s="77" t="s">
        <v>2696</v>
      </c>
      <c r="AC1084" s="81" t="s">
        <v>2704</v>
      </c>
      <c r="AD1084" s="77" t="s">
        <v>2752</v>
      </c>
      <c r="AE1084" s="80" t="str">
        <f>HYPERLINK("https://twitter.com/inovies/status/906197870432231424")</f>
        <v>https://twitter.com/inovies/status/906197870432231424</v>
      </c>
      <c r="AF1084" s="79">
        <v>42986.70119212963</v>
      </c>
      <c r="AG1084" s="85">
        <v>42986</v>
      </c>
      <c r="AH1084" s="81" t="s">
        <v>3655</v>
      </c>
      <c r="AI1084" s="77" t="b">
        <v>0</v>
      </c>
      <c r="AJ1084" s="77" t="s">
        <v>3882</v>
      </c>
      <c r="AK1084" s="77" t="s">
        <v>3889</v>
      </c>
      <c r="AL1084" s="77" t="s">
        <v>3892</v>
      </c>
      <c r="AM1084" s="77" t="s">
        <v>3896</v>
      </c>
      <c r="AN1084" s="77" t="s">
        <v>3903</v>
      </c>
      <c r="AO1084" s="77" t="s">
        <v>3911</v>
      </c>
      <c r="AP1084" s="77" t="s">
        <v>3917</v>
      </c>
      <c r="AQ1084" s="77" t="s">
        <v>4344</v>
      </c>
      <c r="AR1084" s="77"/>
      <c r="AS1084" s="77"/>
      <c r="AT1084" s="77"/>
      <c r="AU1084" s="77"/>
      <c r="AV1084" s="80" t="str">
        <f>HYPERLINK("https://pbs.twimg.com/media/DJN2JyrUQAQO5n_.jpg")</f>
        <v>https://pbs.twimg.com/media/DJN2JyrUQAQO5n_.jpg</v>
      </c>
      <c r="AW1084" s="81" t="s">
        <v>5428</v>
      </c>
      <c r="AX1084" s="81" t="s">
        <v>5428</v>
      </c>
      <c r="AY1084" s="77"/>
      <c r="AZ1084" s="81" t="s">
        <v>5773</v>
      </c>
      <c r="BA1084" s="81" t="s">
        <v>5773</v>
      </c>
      <c r="BB1084" s="81" t="s">
        <v>5773</v>
      </c>
      <c r="BC1084" s="81" t="s">
        <v>5428</v>
      </c>
      <c r="BD1084" s="77">
        <v>297885438</v>
      </c>
      <c r="BE1084" s="77"/>
      <c r="BF1084" s="77"/>
      <c r="BG1084" s="77"/>
      <c r="BH1084" s="77"/>
      <c r="BI1084" s="77"/>
    </row>
    <row r="1085" spans="1:61" ht="15">
      <c r="A1085" s="62" t="s">
        <v>299</v>
      </c>
      <c r="B1085" s="62" t="s">
        <v>299</v>
      </c>
      <c r="C1085" s="63"/>
      <c r="D1085" s="64"/>
      <c r="E1085" s="65"/>
      <c r="F1085" s="66"/>
      <c r="G1085" s="63"/>
      <c r="H1085" s="67"/>
      <c r="I1085" s="68"/>
      <c r="J1085" s="68"/>
      <c r="K1085" s="32" t="s">
        <v>65</v>
      </c>
      <c r="L1085" s="75">
        <v>1085</v>
      </c>
      <c r="M1085" s="75"/>
      <c r="N1085" s="70"/>
      <c r="O1085" s="77" t="s">
        <v>179</v>
      </c>
      <c r="P1085" s="79">
        <v>42986.69956018519</v>
      </c>
      <c r="Q1085" s="77" t="s">
        <v>1467</v>
      </c>
      <c r="R1085" s="77">
        <v>1</v>
      </c>
      <c r="S1085" s="77">
        <v>1</v>
      </c>
      <c r="T1085" s="77">
        <v>0</v>
      </c>
      <c r="U1085" s="77">
        <v>0</v>
      </c>
      <c r="V1085" s="77"/>
      <c r="W1085" s="81" t="s">
        <v>1932</v>
      </c>
      <c r="X1085" s="77"/>
      <c r="Y1085" s="77"/>
      <c r="Z1085" s="77"/>
      <c r="AA1085" s="77" t="s">
        <v>2531</v>
      </c>
      <c r="AB1085" s="77" t="s">
        <v>2696</v>
      </c>
      <c r="AC1085" s="81" t="s">
        <v>2704</v>
      </c>
      <c r="AD1085" s="77" t="s">
        <v>2752</v>
      </c>
      <c r="AE1085" s="80" t="str">
        <f>HYPERLINK("https://twitter.com/inovies/status/906197280302043136")</f>
        <v>https://twitter.com/inovies/status/906197280302043136</v>
      </c>
      <c r="AF1085" s="79">
        <v>42986.69956018519</v>
      </c>
      <c r="AG1085" s="85">
        <v>42986</v>
      </c>
      <c r="AH1085" s="81" t="s">
        <v>3656</v>
      </c>
      <c r="AI1085" s="77" t="b">
        <v>0</v>
      </c>
      <c r="AJ1085" s="77" t="s">
        <v>3882</v>
      </c>
      <c r="AK1085" s="77" t="s">
        <v>3889</v>
      </c>
      <c r="AL1085" s="77" t="s">
        <v>3892</v>
      </c>
      <c r="AM1085" s="77" t="s">
        <v>3896</v>
      </c>
      <c r="AN1085" s="77" t="s">
        <v>3903</v>
      </c>
      <c r="AO1085" s="77" t="s">
        <v>3911</v>
      </c>
      <c r="AP1085" s="77" t="s">
        <v>3917</v>
      </c>
      <c r="AQ1085" s="77" t="s">
        <v>4345</v>
      </c>
      <c r="AR1085" s="77"/>
      <c r="AS1085" s="77"/>
      <c r="AT1085" s="77"/>
      <c r="AU1085" s="77"/>
      <c r="AV1085" s="80" t="str">
        <f>HYPERLINK("https://pbs.twimg.com/media/DJN1na7UwAAgIcW.jpg")</f>
        <v>https://pbs.twimg.com/media/DJN1na7UwAAgIcW.jpg</v>
      </c>
      <c r="AW1085" s="81" t="s">
        <v>5429</v>
      </c>
      <c r="AX1085" s="81" t="s">
        <v>5429</v>
      </c>
      <c r="AY1085" s="77"/>
      <c r="AZ1085" s="81" t="s">
        <v>5773</v>
      </c>
      <c r="BA1085" s="81" t="s">
        <v>5773</v>
      </c>
      <c r="BB1085" s="81" t="s">
        <v>5773</v>
      </c>
      <c r="BC1085" s="81" t="s">
        <v>5429</v>
      </c>
      <c r="BD1085" s="77">
        <v>297885438</v>
      </c>
      <c r="BE1085" s="77"/>
      <c r="BF1085" s="77"/>
      <c r="BG1085" s="77"/>
      <c r="BH1085" s="77"/>
      <c r="BI1085" s="77"/>
    </row>
    <row r="1086" spans="1:61" ht="15">
      <c r="A1086" s="62" t="s">
        <v>299</v>
      </c>
      <c r="B1086" s="62" t="s">
        <v>299</v>
      </c>
      <c r="C1086" s="63"/>
      <c r="D1086" s="64"/>
      <c r="E1086" s="65"/>
      <c r="F1086" s="66"/>
      <c r="G1086" s="63"/>
      <c r="H1086" s="67"/>
      <c r="I1086" s="68"/>
      <c r="J1086" s="68"/>
      <c r="K1086" s="32" t="s">
        <v>65</v>
      </c>
      <c r="L1086" s="75">
        <v>1086</v>
      </c>
      <c r="M1086" s="75"/>
      <c r="N1086" s="70"/>
      <c r="O1086" s="77" t="s">
        <v>179</v>
      </c>
      <c r="P1086" s="79">
        <v>42986.29172453703</v>
      </c>
      <c r="Q1086" s="77" t="s">
        <v>1468</v>
      </c>
      <c r="R1086" s="77">
        <v>0</v>
      </c>
      <c r="S1086" s="77">
        <v>0</v>
      </c>
      <c r="T1086" s="77">
        <v>0</v>
      </c>
      <c r="U1086" s="77">
        <v>0</v>
      </c>
      <c r="V1086" s="77"/>
      <c r="W1086" s="81" t="s">
        <v>1894</v>
      </c>
      <c r="X1086" s="77"/>
      <c r="Y1086" s="77"/>
      <c r="Z1086" s="77"/>
      <c r="AA1086" s="77"/>
      <c r="AB1086" s="77"/>
      <c r="AC1086" s="81" t="s">
        <v>2705</v>
      </c>
      <c r="AD1086" s="77" t="s">
        <v>2751</v>
      </c>
      <c r="AE1086" s="80" t="str">
        <f>HYPERLINK("https://twitter.com/inovies/status/906049483422654465")</f>
        <v>https://twitter.com/inovies/status/906049483422654465</v>
      </c>
      <c r="AF1086" s="79">
        <v>42986.29172453703</v>
      </c>
      <c r="AG1086" s="85">
        <v>42986</v>
      </c>
      <c r="AH1086" s="81" t="s">
        <v>3657</v>
      </c>
      <c r="AI1086" s="77"/>
      <c r="AJ1086" s="77" t="s">
        <v>3887</v>
      </c>
      <c r="AK1086" s="77" t="s">
        <v>3889</v>
      </c>
      <c r="AL1086" s="77" t="s">
        <v>3892</v>
      </c>
      <c r="AM1086" s="77" t="s">
        <v>3889</v>
      </c>
      <c r="AN1086" s="77" t="s">
        <v>3908</v>
      </c>
      <c r="AO1086" s="77" t="s">
        <v>3889</v>
      </c>
      <c r="AP1086" s="77" t="s">
        <v>3919</v>
      </c>
      <c r="AQ1086" s="77"/>
      <c r="AR1086" s="77"/>
      <c r="AS1086" s="77"/>
      <c r="AT1086" s="77"/>
      <c r="AU1086" s="77"/>
      <c r="AV1086" s="80" t="str">
        <f>HYPERLINK("https://pbs.twimg.com/profile_images/833576943677214720/5ZyUgpEJ_normal.jpg")</f>
        <v>https://pbs.twimg.com/profile_images/833576943677214720/5ZyUgpEJ_normal.jpg</v>
      </c>
      <c r="AW1086" s="81" t="s">
        <v>5430</v>
      </c>
      <c r="AX1086" s="81" t="s">
        <v>5430</v>
      </c>
      <c r="AY1086" s="77"/>
      <c r="AZ1086" s="81" t="s">
        <v>5773</v>
      </c>
      <c r="BA1086" s="81" t="s">
        <v>5773</v>
      </c>
      <c r="BB1086" s="81" t="s">
        <v>5773</v>
      </c>
      <c r="BC1086" s="81" t="s">
        <v>5430</v>
      </c>
      <c r="BD1086" s="77">
        <v>297885438</v>
      </c>
      <c r="BE1086" s="77"/>
      <c r="BF1086" s="77"/>
      <c r="BG1086" s="77"/>
      <c r="BH1086" s="77"/>
      <c r="BI1086" s="77"/>
    </row>
    <row r="1087" spans="1:61" ht="15">
      <c r="A1087" s="62" t="s">
        <v>299</v>
      </c>
      <c r="B1087" s="62" t="s">
        <v>299</v>
      </c>
      <c r="C1087" s="63"/>
      <c r="D1087" s="64"/>
      <c r="E1087" s="65"/>
      <c r="F1087" s="66"/>
      <c r="G1087" s="63"/>
      <c r="H1087" s="67"/>
      <c r="I1087" s="68"/>
      <c r="J1087" s="68"/>
      <c r="K1087" s="32" t="s">
        <v>65</v>
      </c>
      <c r="L1087" s="75">
        <v>1087</v>
      </c>
      <c r="M1087" s="75"/>
      <c r="N1087" s="70"/>
      <c r="O1087" s="77" t="s">
        <v>571</v>
      </c>
      <c r="P1087" s="79">
        <v>42983.560011574074</v>
      </c>
      <c r="Q1087" s="77" t="s">
        <v>1469</v>
      </c>
      <c r="R1087" s="77">
        <v>0</v>
      </c>
      <c r="S1087" s="77">
        <v>1</v>
      </c>
      <c r="T1087" s="77">
        <v>0</v>
      </c>
      <c r="U1087" s="77">
        <v>0</v>
      </c>
      <c r="V1087" s="77"/>
      <c r="W1087" s="81" t="s">
        <v>1933</v>
      </c>
      <c r="X1087" s="77"/>
      <c r="Y1087" s="77"/>
      <c r="Z1087" s="77" t="s">
        <v>299</v>
      </c>
      <c r="AA1087" s="77"/>
      <c r="AB1087" s="77"/>
      <c r="AC1087" s="81" t="s">
        <v>2704</v>
      </c>
      <c r="AD1087" s="77" t="s">
        <v>2751</v>
      </c>
      <c r="AE1087" s="80" t="str">
        <f>HYPERLINK("https://twitter.com/inovies/status/905059544530788352")</f>
        <v>https://twitter.com/inovies/status/905059544530788352</v>
      </c>
      <c r="AF1087" s="79">
        <v>42983.560011574074</v>
      </c>
      <c r="AG1087" s="85">
        <v>42983</v>
      </c>
      <c r="AH1087" s="81" t="s">
        <v>3658</v>
      </c>
      <c r="AI1087" s="77"/>
      <c r="AJ1087" s="77" t="s">
        <v>3882</v>
      </c>
      <c r="AK1087" s="77" t="s">
        <v>3889</v>
      </c>
      <c r="AL1087" s="77" t="s">
        <v>3892</v>
      </c>
      <c r="AM1087" s="77" t="s">
        <v>3896</v>
      </c>
      <c r="AN1087" s="77" t="s">
        <v>3903</v>
      </c>
      <c r="AO1087" s="77" t="s">
        <v>3911</v>
      </c>
      <c r="AP1087" s="77" t="s">
        <v>3917</v>
      </c>
      <c r="AQ1087" s="77"/>
      <c r="AR1087" s="77"/>
      <c r="AS1087" s="77"/>
      <c r="AT1087" s="77"/>
      <c r="AU1087" s="77"/>
      <c r="AV1087" s="80" t="str">
        <f>HYPERLINK("https://pbs.twimg.com/profile_images/833576943677214720/5ZyUgpEJ_normal.jpg")</f>
        <v>https://pbs.twimg.com/profile_images/833576943677214720/5ZyUgpEJ_normal.jpg</v>
      </c>
      <c r="AW1087" s="81" t="s">
        <v>5431</v>
      </c>
      <c r="AX1087" s="81" t="s">
        <v>5431</v>
      </c>
      <c r="AY1087" s="77"/>
      <c r="AZ1087" s="81" t="s">
        <v>5773</v>
      </c>
      <c r="BA1087" s="81" t="s">
        <v>5773</v>
      </c>
      <c r="BB1087" s="81" t="s">
        <v>5773</v>
      </c>
      <c r="BC1087" s="81" t="s">
        <v>5431</v>
      </c>
      <c r="BD1087" s="77">
        <v>297885438</v>
      </c>
      <c r="BE1087" s="77"/>
      <c r="BF1087" s="77"/>
      <c r="BG1087" s="77"/>
      <c r="BH1087" s="77"/>
      <c r="BI1087" s="77"/>
    </row>
    <row r="1088" spans="1:61" ht="15">
      <c r="A1088" s="62" t="s">
        <v>299</v>
      </c>
      <c r="B1088" s="62" t="s">
        <v>299</v>
      </c>
      <c r="C1088" s="63"/>
      <c r="D1088" s="64"/>
      <c r="E1088" s="65"/>
      <c r="F1088" s="66"/>
      <c r="G1088" s="63"/>
      <c r="H1088" s="67"/>
      <c r="I1088" s="68"/>
      <c r="J1088" s="68"/>
      <c r="K1088" s="32" t="s">
        <v>65</v>
      </c>
      <c r="L1088" s="75">
        <v>1088</v>
      </c>
      <c r="M1088" s="75"/>
      <c r="N1088" s="70"/>
      <c r="O1088" s="77" t="s">
        <v>179</v>
      </c>
      <c r="P1088" s="79">
        <v>42977.315254629626</v>
      </c>
      <c r="Q1088" s="77" t="s">
        <v>1470</v>
      </c>
      <c r="R1088" s="77">
        <v>0</v>
      </c>
      <c r="S1088" s="77">
        <v>2</v>
      </c>
      <c r="T1088" s="77">
        <v>0</v>
      </c>
      <c r="U1088" s="77">
        <v>0</v>
      </c>
      <c r="V1088" s="77"/>
      <c r="W1088" s="77"/>
      <c r="X1088" s="80" t="str">
        <f>HYPERLINK("https://goo.gl/NtkT9h")</f>
        <v>https://goo.gl/NtkT9h</v>
      </c>
      <c r="Y1088" s="77" t="s">
        <v>1975</v>
      </c>
      <c r="Z1088" s="77"/>
      <c r="AA1088" s="77"/>
      <c r="AB1088" s="77"/>
      <c r="AC1088" s="81" t="s">
        <v>2705</v>
      </c>
      <c r="AD1088" s="77" t="s">
        <v>2751</v>
      </c>
      <c r="AE1088" s="80" t="str">
        <f>HYPERLINK("https://twitter.com/inovies/status/902796521585876992")</f>
        <v>https://twitter.com/inovies/status/902796521585876992</v>
      </c>
      <c r="AF1088" s="79">
        <v>42977.315254629626</v>
      </c>
      <c r="AG1088" s="85">
        <v>42977</v>
      </c>
      <c r="AH1088" s="81" t="s">
        <v>3659</v>
      </c>
      <c r="AI1088" s="77" t="b">
        <v>0</v>
      </c>
      <c r="AJ1088" s="77" t="s">
        <v>3887</v>
      </c>
      <c r="AK1088" s="77" t="s">
        <v>3889</v>
      </c>
      <c r="AL1088" s="77" t="s">
        <v>3892</v>
      </c>
      <c r="AM1088" s="77" t="s">
        <v>3889</v>
      </c>
      <c r="AN1088" s="77" t="s">
        <v>3908</v>
      </c>
      <c r="AO1088" s="77" t="s">
        <v>3889</v>
      </c>
      <c r="AP1088" s="77" t="s">
        <v>3919</v>
      </c>
      <c r="AQ1088" s="77"/>
      <c r="AR1088" s="77"/>
      <c r="AS1088" s="77"/>
      <c r="AT1088" s="77"/>
      <c r="AU1088" s="77"/>
      <c r="AV1088" s="80" t="str">
        <f>HYPERLINK("https://pbs.twimg.com/profile_images/833576943677214720/5ZyUgpEJ_normal.jpg")</f>
        <v>https://pbs.twimg.com/profile_images/833576943677214720/5ZyUgpEJ_normal.jpg</v>
      </c>
      <c r="AW1088" s="81" t="s">
        <v>5432</v>
      </c>
      <c r="AX1088" s="81" t="s">
        <v>5432</v>
      </c>
      <c r="AY1088" s="77"/>
      <c r="AZ1088" s="81" t="s">
        <v>5773</v>
      </c>
      <c r="BA1088" s="81" t="s">
        <v>5773</v>
      </c>
      <c r="BB1088" s="81" t="s">
        <v>5773</v>
      </c>
      <c r="BC1088" s="81" t="s">
        <v>5432</v>
      </c>
      <c r="BD1088" s="77">
        <v>297885438</v>
      </c>
      <c r="BE1088" s="77"/>
      <c r="BF1088" s="77"/>
      <c r="BG1088" s="77"/>
      <c r="BH1088" s="77"/>
      <c r="BI1088" s="77"/>
    </row>
    <row r="1089" spans="1:61" ht="15">
      <c r="A1089" s="62" t="s">
        <v>299</v>
      </c>
      <c r="B1089" s="62" t="s">
        <v>299</v>
      </c>
      <c r="C1089" s="63"/>
      <c r="D1089" s="64"/>
      <c r="E1089" s="65"/>
      <c r="F1089" s="66"/>
      <c r="G1089" s="63"/>
      <c r="H1089" s="67"/>
      <c r="I1089" s="68"/>
      <c r="J1089" s="68"/>
      <c r="K1089" s="32" t="s">
        <v>65</v>
      </c>
      <c r="L1089" s="75">
        <v>1089</v>
      </c>
      <c r="M1089" s="75"/>
      <c r="N1089" s="70"/>
      <c r="O1089" s="77" t="s">
        <v>571</v>
      </c>
      <c r="P1089" s="79">
        <v>42977.21188657408</v>
      </c>
      <c r="Q1089" s="77" t="s">
        <v>1471</v>
      </c>
      <c r="R1089" s="77">
        <v>0</v>
      </c>
      <c r="S1089" s="77">
        <v>1</v>
      </c>
      <c r="T1089" s="77">
        <v>0</v>
      </c>
      <c r="U1089" s="77">
        <v>0</v>
      </c>
      <c r="V1089" s="77"/>
      <c r="W1089" s="77"/>
      <c r="X1089" s="77"/>
      <c r="Y1089" s="77"/>
      <c r="Z1089" s="77" t="s">
        <v>299</v>
      </c>
      <c r="AA1089" s="77"/>
      <c r="AB1089" s="77"/>
      <c r="AC1089" s="81" t="s">
        <v>2705</v>
      </c>
      <c r="AD1089" s="77" t="s">
        <v>2751</v>
      </c>
      <c r="AE1089" s="80" t="str">
        <f>HYPERLINK("https://twitter.com/inovies/status/902759064001794048")</f>
        <v>https://twitter.com/inovies/status/902759064001794048</v>
      </c>
      <c r="AF1089" s="79">
        <v>42977.21188657408</v>
      </c>
      <c r="AG1089" s="85">
        <v>42977</v>
      </c>
      <c r="AH1089" s="81" t="s">
        <v>3660</v>
      </c>
      <c r="AI1089" s="77"/>
      <c r="AJ1089" s="77"/>
      <c r="AK1089" s="77"/>
      <c r="AL1089" s="77"/>
      <c r="AM1089" s="77"/>
      <c r="AN1089" s="77"/>
      <c r="AO1089" s="77"/>
      <c r="AP1089" s="77"/>
      <c r="AQ1089" s="77"/>
      <c r="AR1089" s="77"/>
      <c r="AS1089" s="77"/>
      <c r="AT1089" s="77"/>
      <c r="AU1089" s="77"/>
      <c r="AV1089" s="80" t="str">
        <f>HYPERLINK("https://pbs.twimg.com/profile_images/833576943677214720/5ZyUgpEJ_normal.jpg")</f>
        <v>https://pbs.twimg.com/profile_images/833576943677214720/5ZyUgpEJ_normal.jpg</v>
      </c>
      <c r="AW1089" s="81" t="s">
        <v>5433</v>
      </c>
      <c r="AX1089" s="81" t="s">
        <v>5433</v>
      </c>
      <c r="AY1089" s="77"/>
      <c r="AZ1089" s="81" t="s">
        <v>5773</v>
      </c>
      <c r="BA1089" s="81" t="s">
        <v>5773</v>
      </c>
      <c r="BB1089" s="81" t="s">
        <v>5773</v>
      </c>
      <c r="BC1089" s="81" t="s">
        <v>5433</v>
      </c>
      <c r="BD1089" s="77">
        <v>297885438</v>
      </c>
      <c r="BE1089" s="77"/>
      <c r="BF1089" s="77"/>
      <c r="BG1089" s="77"/>
      <c r="BH1089" s="77"/>
      <c r="BI1089" s="77"/>
    </row>
    <row r="1090" spans="1:61" ht="15">
      <c r="A1090" s="62" t="s">
        <v>299</v>
      </c>
      <c r="B1090" s="62" t="s">
        <v>299</v>
      </c>
      <c r="C1090" s="63"/>
      <c r="D1090" s="64"/>
      <c r="E1090" s="65"/>
      <c r="F1090" s="66"/>
      <c r="G1090" s="63"/>
      <c r="H1090" s="67"/>
      <c r="I1090" s="68"/>
      <c r="J1090" s="68"/>
      <c r="K1090" s="32" t="s">
        <v>65</v>
      </c>
      <c r="L1090" s="75">
        <v>1090</v>
      </c>
      <c r="M1090" s="75"/>
      <c r="N1090" s="70"/>
      <c r="O1090" s="77" t="s">
        <v>571</v>
      </c>
      <c r="P1090" s="79">
        <v>42977.2112037037</v>
      </c>
      <c r="Q1090" s="77" t="s">
        <v>1472</v>
      </c>
      <c r="R1090" s="77">
        <v>1</v>
      </c>
      <c r="S1090" s="77">
        <v>2</v>
      </c>
      <c r="T1090" s="77">
        <v>0</v>
      </c>
      <c r="U1090" s="77">
        <v>0</v>
      </c>
      <c r="V1090" s="77"/>
      <c r="W1090" s="81" t="s">
        <v>1933</v>
      </c>
      <c r="X1090" s="77"/>
      <c r="Y1090" s="77"/>
      <c r="Z1090" s="77" t="s">
        <v>299</v>
      </c>
      <c r="AA1090" s="77"/>
      <c r="AB1090" s="77"/>
      <c r="AC1090" s="81" t="s">
        <v>2705</v>
      </c>
      <c r="AD1090" s="77" t="s">
        <v>2751</v>
      </c>
      <c r="AE1090" s="80" t="str">
        <f>HYPERLINK("https://twitter.com/inovies/status/902758815812263936")</f>
        <v>https://twitter.com/inovies/status/902758815812263936</v>
      </c>
      <c r="AF1090" s="79">
        <v>42977.2112037037</v>
      </c>
      <c r="AG1090" s="85">
        <v>42977</v>
      </c>
      <c r="AH1090" s="81" t="s">
        <v>3661</v>
      </c>
      <c r="AI1090" s="77"/>
      <c r="AJ1090" s="77"/>
      <c r="AK1090" s="77"/>
      <c r="AL1090" s="77"/>
      <c r="AM1090" s="77"/>
      <c r="AN1090" s="77"/>
      <c r="AO1090" s="77"/>
      <c r="AP1090" s="77"/>
      <c r="AQ1090" s="77"/>
      <c r="AR1090" s="77"/>
      <c r="AS1090" s="77"/>
      <c r="AT1090" s="77"/>
      <c r="AU1090" s="77"/>
      <c r="AV1090" s="80" t="str">
        <f>HYPERLINK("https://pbs.twimg.com/profile_images/833576943677214720/5ZyUgpEJ_normal.jpg")</f>
        <v>https://pbs.twimg.com/profile_images/833576943677214720/5ZyUgpEJ_normal.jpg</v>
      </c>
      <c r="AW1090" s="81" t="s">
        <v>5434</v>
      </c>
      <c r="AX1090" s="81" t="s">
        <v>5434</v>
      </c>
      <c r="AY1090" s="77"/>
      <c r="AZ1090" s="81" t="s">
        <v>5773</v>
      </c>
      <c r="BA1090" s="81" t="s">
        <v>5773</v>
      </c>
      <c r="BB1090" s="81" t="s">
        <v>5773</v>
      </c>
      <c r="BC1090" s="81" t="s">
        <v>5434</v>
      </c>
      <c r="BD1090" s="77">
        <v>297885438</v>
      </c>
      <c r="BE1090" s="77"/>
      <c r="BF1090" s="77"/>
      <c r="BG1090" s="77"/>
      <c r="BH1090" s="77"/>
      <c r="BI1090" s="77"/>
    </row>
    <row r="1091" spans="1:61" ht="15">
      <c r="A1091" s="62" t="s">
        <v>299</v>
      </c>
      <c r="B1091" s="62" t="s">
        <v>299</v>
      </c>
      <c r="C1091" s="63"/>
      <c r="D1091" s="64"/>
      <c r="E1091" s="65"/>
      <c r="F1091" s="66"/>
      <c r="G1091" s="63"/>
      <c r="H1091" s="67"/>
      <c r="I1091" s="68"/>
      <c r="J1091" s="68"/>
      <c r="K1091" s="32" t="s">
        <v>65</v>
      </c>
      <c r="L1091" s="75">
        <v>1091</v>
      </c>
      <c r="M1091" s="75"/>
      <c r="N1091" s="70"/>
      <c r="O1091" s="77" t="s">
        <v>179</v>
      </c>
      <c r="P1091" s="79">
        <v>42877.28665509259</v>
      </c>
      <c r="Q1091" s="77" t="s">
        <v>1473</v>
      </c>
      <c r="R1091" s="77">
        <v>0</v>
      </c>
      <c r="S1091" s="77">
        <v>2</v>
      </c>
      <c r="T1091" s="77">
        <v>0</v>
      </c>
      <c r="U1091" s="77">
        <v>0</v>
      </c>
      <c r="V1091" s="77"/>
      <c r="W1091" s="77"/>
      <c r="X1091" s="80" t="str">
        <f>HYPERLINK("https://goo.gl/tb18CC")</f>
        <v>https://goo.gl/tb18CC</v>
      </c>
      <c r="Y1091" s="77" t="s">
        <v>1975</v>
      </c>
      <c r="Z1091" s="77"/>
      <c r="AA1091" s="77"/>
      <c r="AB1091" s="77"/>
      <c r="AC1091" s="81" t="s">
        <v>2705</v>
      </c>
      <c r="AD1091" s="77" t="s">
        <v>2751</v>
      </c>
      <c r="AE1091" s="80" t="str">
        <f>HYPERLINK("https://twitter.com/inovies/status/866547371945021441")</f>
        <v>https://twitter.com/inovies/status/866547371945021441</v>
      </c>
      <c r="AF1091" s="79">
        <v>42877.28665509259</v>
      </c>
      <c r="AG1091" s="85">
        <v>42877</v>
      </c>
      <c r="AH1091" s="81" t="s">
        <v>3662</v>
      </c>
      <c r="AI1091" s="77" t="b">
        <v>0</v>
      </c>
      <c r="AJ1091" s="77"/>
      <c r="AK1091" s="77"/>
      <c r="AL1091" s="77"/>
      <c r="AM1091" s="77"/>
      <c r="AN1091" s="77"/>
      <c r="AO1091" s="77"/>
      <c r="AP1091" s="77"/>
      <c r="AQ1091" s="77"/>
      <c r="AR1091" s="77"/>
      <c r="AS1091" s="77"/>
      <c r="AT1091" s="77"/>
      <c r="AU1091" s="77"/>
      <c r="AV1091" s="80" t="str">
        <f>HYPERLINK("https://pbs.twimg.com/profile_images/833576943677214720/5ZyUgpEJ_normal.jpg")</f>
        <v>https://pbs.twimg.com/profile_images/833576943677214720/5ZyUgpEJ_normal.jpg</v>
      </c>
      <c r="AW1091" s="81" t="s">
        <v>5435</v>
      </c>
      <c r="AX1091" s="81" t="s">
        <v>5435</v>
      </c>
      <c r="AY1091" s="77"/>
      <c r="AZ1091" s="81" t="s">
        <v>5773</v>
      </c>
      <c r="BA1091" s="81" t="s">
        <v>5773</v>
      </c>
      <c r="BB1091" s="81" t="s">
        <v>5773</v>
      </c>
      <c r="BC1091" s="81" t="s">
        <v>5435</v>
      </c>
      <c r="BD1091" s="77">
        <v>297885438</v>
      </c>
      <c r="BE1091" s="77"/>
      <c r="BF1091" s="77"/>
      <c r="BG1091" s="77"/>
      <c r="BH1091" s="77"/>
      <c r="BI1091" s="77"/>
    </row>
    <row r="1092" spans="1:61" ht="15">
      <c r="A1092" s="62" t="s">
        <v>299</v>
      </c>
      <c r="B1092" s="62" t="s">
        <v>299</v>
      </c>
      <c r="C1092" s="63"/>
      <c r="D1092" s="64"/>
      <c r="E1092" s="65"/>
      <c r="F1092" s="66"/>
      <c r="G1092" s="63"/>
      <c r="H1092" s="67"/>
      <c r="I1092" s="68"/>
      <c r="J1092" s="68"/>
      <c r="K1092" s="32" t="s">
        <v>65</v>
      </c>
      <c r="L1092" s="75">
        <v>1092</v>
      </c>
      <c r="M1092" s="75"/>
      <c r="N1092" s="70"/>
      <c r="O1092" s="77" t="s">
        <v>179</v>
      </c>
      <c r="P1092" s="79">
        <v>42833.646828703706</v>
      </c>
      <c r="Q1092" s="77" t="s">
        <v>1474</v>
      </c>
      <c r="R1092" s="77">
        <v>0</v>
      </c>
      <c r="S1092" s="77">
        <v>1</v>
      </c>
      <c r="T1092" s="77">
        <v>0</v>
      </c>
      <c r="U1092" s="77">
        <v>0</v>
      </c>
      <c r="V1092" s="77"/>
      <c r="W1092" s="77"/>
      <c r="X1092" s="77"/>
      <c r="Y1092" s="77"/>
      <c r="Z1092" s="77"/>
      <c r="AA1092" s="77" t="s">
        <v>2532</v>
      </c>
      <c r="AB1092" s="77" t="s">
        <v>2696</v>
      </c>
      <c r="AC1092" s="81" t="s">
        <v>2704</v>
      </c>
      <c r="AD1092" s="77" t="s">
        <v>2751</v>
      </c>
      <c r="AE1092" s="80" t="str">
        <f>HYPERLINK("https://twitter.com/inovies/status/850732828845195265")</f>
        <v>https://twitter.com/inovies/status/850732828845195265</v>
      </c>
      <c r="AF1092" s="79">
        <v>42833.646828703706</v>
      </c>
      <c r="AG1092" s="85">
        <v>42833</v>
      </c>
      <c r="AH1092" s="81" t="s">
        <v>3663</v>
      </c>
      <c r="AI1092" s="77" t="b">
        <v>0</v>
      </c>
      <c r="AJ1092" s="77"/>
      <c r="AK1092" s="77"/>
      <c r="AL1092" s="77"/>
      <c r="AM1092" s="77"/>
      <c r="AN1092" s="77"/>
      <c r="AO1092" s="77"/>
      <c r="AP1092" s="77"/>
      <c r="AQ1092" s="77" t="s">
        <v>4346</v>
      </c>
      <c r="AR1092" s="77"/>
      <c r="AS1092" s="77"/>
      <c r="AT1092" s="77"/>
      <c r="AU1092" s="77"/>
      <c r="AV1092" s="80" t="str">
        <f>HYPERLINK("https://pbs.twimg.com/media/C85o_fcUwAAhidy.jpg")</f>
        <v>https://pbs.twimg.com/media/C85o_fcUwAAhidy.jpg</v>
      </c>
      <c r="AW1092" s="81" t="s">
        <v>5436</v>
      </c>
      <c r="AX1092" s="81" t="s">
        <v>5436</v>
      </c>
      <c r="AY1092" s="77"/>
      <c r="AZ1092" s="81" t="s">
        <v>5773</v>
      </c>
      <c r="BA1092" s="81" t="s">
        <v>5773</v>
      </c>
      <c r="BB1092" s="81" t="s">
        <v>5773</v>
      </c>
      <c r="BC1092" s="81" t="s">
        <v>5436</v>
      </c>
      <c r="BD1092" s="77">
        <v>297885438</v>
      </c>
      <c r="BE1092" s="77"/>
      <c r="BF1092" s="77"/>
      <c r="BG1092" s="77"/>
      <c r="BH1092" s="77"/>
      <c r="BI1092" s="77"/>
    </row>
    <row r="1093" spans="1:61" ht="15">
      <c r="A1093" s="62" t="s">
        <v>299</v>
      </c>
      <c r="B1093" s="62" t="s">
        <v>299</v>
      </c>
      <c r="C1093" s="63"/>
      <c r="D1093" s="64"/>
      <c r="E1093" s="65"/>
      <c r="F1093" s="66"/>
      <c r="G1093" s="63"/>
      <c r="H1093" s="67"/>
      <c r="I1093" s="68"/>
      <c r="J1093" s="68"/>
      <c r="K1093" s="32" t="s">
        <v>65</v>
      </c>
      <c r="L1093" s="75">
        <v>1093</v>
      </c>
      <c r="M1093" s="75"/>
      <c r="N1093" s="70"/>
      <c r="O1093" s="77" t="s">
        <v>179</v>
      </c>
      <c r="P1093" s="79">
        <v>42812.23364583333</v>
      </c>
      <c r="Q1093" s="77" t="s">
        <v>1475</v>
      </c>
      <c r="R1093" s="77">
        <v>2</v>
      </c>
      <c r="S1093" s="77">
        <v>2</v>
      </c>
      <c r="T1093" s="77">
        <v>0</v>
      </c>
      <c r="U1093" s="77">
        <v>0</v>
      </c>
      <c r="V1093" s="77"/>
      <c r="W1093" s="77"/>
      <c r="X1093" s="80" t="str">
        <f>HYPERLINK("https://yourstory.com/read/4608127885-a-self-funded-entrepreneur-arrives-at-a-point-which-demands-change-what-s-yours-")</f>
        <v>https://yourstory.com/read/4608127885-a-self-funded-entrepreneur-arrives-at-a-point-which-demands-change-what-s-yours-</v>
      </c>
      <c r="Y1093" s="77" t="s">
        <v>2005</v>
      </c>
      <c r="Z1093" s="77"/>
      <c r="AA1093" s="77"/>
      <c r="AB1093" s="77"/>
      <c r="AC1093" s="81" t="s">
        <v>2705</v>
      </c>
      <c r="AD1093" s="77" t="s">
        <v>2751</v>
      </c>
      <c r="AE1093" s="80" t="str">
        <f>HYPERLINK("https://twitter.com/inovies/status/842972947899924480")</f>
        <v>https://twitter.com/inovies/status/842972947899924480</v>
      </c>
      <c r="AF1093" s="79">
        <v>42812.23364583333</v>
      </c>
      <c r="AG1093" s="85">
        <v>42812</v>
      </c>
      <c r="AH1093" s="81" t="s">
        <v>3664</v>
      </c>
      <c r="AI1093" s="77" t="b">
        <v>0</v>
      </c>
      <c r="AJ1093" s="77"/>
      <c r="AK1093" s="77"/>
      <c r="AL1093" s="77"/>
      <c r="AM1093" s="77"/>
      <c r="AN1093" s="77"/>
      <c r="AO1093" s="77"/>
      <c r="AP1093" s="77"/>
      <c r="AQ1093" s="77"/>
      <c r="AR1093" s="77"/>
      <c r="AS1093" s="77"/>
      <c r="AT1093" s="77"/>
      <c r="AU1093" s="77"/>
      <c r="AV1093" s="80" t="str">
        <f>HYPERLINK("https://pbs.twimg.com/profile_images/833576943677214720/5ZyUgpEJ_normal.jpg")</f>
        <v>https://pbs.twimg.com/profile_images/833576943677214720/5ZyUgpEJ_normal.jpg</v>
      </c>
      <c r="AW1093" s="81" t="s">
        <v>5437</v>
      </c>
      <c r="AX1093" s="81" t="s">
        <v>5437</v>
      </c>
      <c r="AY1093" s="77"/>
      <c r="AZ1093" s="81" t="s">
        <v>5773</v>
      </c>
      <c r="BA1093" s="81" t="s">
        <v>5773</v>
      </c>
      <c r="BB1093" s="81" t="s">
        <v>5773</v>
      </c>
      <c r="BC1093" s="81" t="s">
        <v>5437</v>
      </c>
      <c r="BD1093" s="77">
        <v>297885438</v>
      </c>
      <c r="BE1093" s="77"/>
      <c r="BF1093" s="77"/>
      <c r="BG1093" s="77"/>
      <c r="BH1093" s="77"/>
      <c r="BI1093" s="77"/>
    </row>
    <row r="1094" spans="1:61" ht="15">
      <c r="A1094" s="62" t="s">
        <v>299</v>
      </c>
      <c r="B1094" s="62" t="s">
        <v>299</v>
      </c>
      <c r="C1094" s="63"/>
      <c r="D1094" s="64"/>
      <c r="E1094" s="65"/>
      <c r="F1094" s="66"/>
      <c r="G1094" s="63"/>
      <c r="H1094" s="67"/>
      <c r="I1094" s="68"/>
      <c r="J1094" s="68"/>
      <c r="K1094" s="32" t="s">
        <v>65</v>
      </c>
      <c r="L1094" s="75">
        <v>1094</v>
      </c>
      <c r="M1094" s="75"/>
      <c r="N1094" s="70"/>
      <c r="O1094" s="77" t="s">
        <v>571</v>
      </c>
      <c r="P1094" s="79">
        <v>42806.30128472222</v>
      </c>
      <c r="Q1094" s="77" t="s">
        <v>1476</v>
      </c>
      <c r="R1094" s="77">
        <v>0</v>
      </c>
      <c r="S1094" s="77">
        <v>2</v>
      </c>
      <c r="T1094" s="77">
        <v>0</v>
      </c>
      <c r="U1094" s="77">
        <v>0</v>
      </c>
      <c r="V1094" s="77"/>
      <c r="W1094" s="77"/>
      <c r="X1094" s="77"/>
      <c r="Y1094" s="77"/>
      <c r="Z1094" s="77" t="s">
        <v>299</v>
      </c>
      <c r="AA1094" s="77" t="s">
        <v>2533</v>
      </c>
      <c r="AB1094" s="77" t="s">
        <v>2696</v>
      </c>
      <c r="AC1094" s="81" t="s">
        <v>2704</v>
      </c>
      <c r="AD1094" s="77" t="s">
        <v>2751</v>
      </c>
      <c r="AE1094" s="80" t="str">
        <f>HYPERLINK("https://twitter.com/inovies/status/840823133070340096")</f>
        <v>https://twitter.com/inovies/status/840823133070340096</v>
      </c>
      <c r="AF1094" s="79">
        <v>42806.30128472222</v>
      </c>
      <c r="AG1094" s="85">
        <v>42806</v>
      </c>
      <c r="AH1094" s="81" t="s">
        <v>3665</v>
      </c>
      <c r="AI1094" s="77" t="b">
        <v>0</v>
      </c>
      <c r="AJ1094" s="77"/>
      <c r="AK1094" s="77"/>
      <c r="AL1094" s="77"/>
      <c r="AM1094" s="77"/>
      <c r="AN1094" s="77"/>
      <c r="AO1094" s="77"/>
      <c r="AP1094" s="77"/>
      <c r="AQ1094" s="77" t="s">
        <v>4347</v>
      </c>
      <c r="AR1094" s="77"/>
      <c r="AS1094" s="77"/>
      <c r="AT1094" s="77"/>
      <c r="AU1094" s="77"/>
      <c r="AV1094" s="80" t="str">
        <f>HYPERLINK("https://pbs.twimg.com/media/C6s0LQoXAAEGaXo.jpg")</f>
        <v>https://pbs.twimg.com/media/C6s0LQoXAAEGaXo.jpg</v>
      </c>
      <c r="AW1094" s="81" t="s">
        <v>5438</v>
      </c>
      <c r="AX1094" s="81" t="s">
        <v>5438</v>
      </c>
      <c r="AY1094" s="77"/>
      <c r="AZ1094" s="81" t="s">
        <v>5773</v>
      </c>
      <c r="BA1094" s="81" t="s">
        <v>5773</v>
      </c>
      <c r="BB1094" s="81" t="s">
        <v>5773</v>
      </c>
      <c r="BC1094" s="81" t="s">
        <v>5438</v>
      </c>
      <c r="BD1094" s="77">
        <v>297885438</v>
      </c>
      <c r="BE1094" s="77"/>
      <c r="BF1094" s="77"/>
      <c r="BG1094" s="77"/>
      <c r="BH1094" s="77"/>
      <c r="BI1094" s="77"/>
    </row>
    <row r="1095" spans="1:61" ht="15">
      <c r="A1095" s="62" t="s">
        <v>299</v>
      </c>
      <c r="B1095" s="62" t="s">
        <v>299</v>
      </c>
      <c r="C1095" s="63"/>
      <c r="D1095" s="64"/>
      <c r="E1095" s="65"/>
      <c r="F1095" s="66"/>
      <c r="G1095" s="63"/>
      <c r="H1095" s="67"/>
      <c r="I1095" s="68"/>
      <c r="J1095" s="68"/>
      <c r="K1095" s="32" t="s">
        <v>65</v>
      </c>
      <c r="L1095" s="75">
        <v>1095</v>
      </c>
      <c r="M1095" s="75"/>
      <c r="N1095" s="70"/>
      <c r="O1095" s="77" t="s">
        <v>179</v>
      </c>
      <c r="P1095" s="79">
        <v>42804.226273148146</v>
      </c>
      <c r="Q1095" s="77" t="s">
        <v>1477</v>
      </c>
      <c r="R1095" s="77">
        <v>0</v>
      </c>
      <c r="S1095" s="77">
        <v>0</v>
      </c>
      <c r="T1095" s="77">
        <v>0</v>
      </c>
      <c r="U1095" s="77">
        <v>0</v>
      </c>
      <c r="V1095" s="77"/>
      <c r="W1095" s="77"/>
      <c r="X1095" s="80" t="str">
        <f>HYPERLINK("https://forums.digitalpoint.com/threads/inovies-website-review.2797851/")</f>
        <v>https://forums.digitalpoint.com/threads/inovies-website-review.2797851/</v>
      </c>
      <c r="Y1095" s="77" t="s">
        <v>2052</v>
      </c>
      <c r="Z1095" s="77"/>
      <c r="AA1095" s="77"/>
      <c r="AB1095" s="77"/>
      <c r="AC1095" s="81" t="s">
        <v>2748</v>
      </c>
      <c r="AD1095" s="77" t="s">
        <v>2751</v>
      </c>
      <c r="AE1095" s="80" t="str">
        <f>HYPERLINK("https://twitter.com/inovies/status/840071173333438464")</f>
        <v>https://twitter.com/inovies/status/840071173333438464</v>
      </c>
      <c r="AF1095" s="79">
        <v>42804.226273148146</v>
      </c>
      <c r="AG1095" s="85">
        <v>42804</v>
      </c>
      <c r="AH1095" s="81" t="s">
        <v>3666</v>
      </c>
      <c r="AI1095" s="77" t="b">
        <v>0</v>
      </c>
      <c r="AJ1095" s="77"/>
      <c r="AK1095" s="77"/>
      <c r="AL1095" s="77"/>
      <c r="AM1095" s="77"/>
      <c r="AN1095" s="77"/>
      <c r="AO1095" s="77"/>
      <c r="AP1095" s="77"/>
      <c r="AQ1095" s="77"/>
      <c r="AR1095" s="77"/>
      <c r="AS1095" s="77"/>
      <c r="AT1095" s="77"/>
      <c r="AU1095" s="77"/>
      <c r="AV1095" s="80" t="str">
        <f>HYPERLINK("https://pbs.twimg.com/profile_images/833576943677214720/5ZyUgpEJ_normal.jpg")</f>
        <v>https://pbs.twimg.com/profile_images/833576943677214720/5ZyUgpEJ_normal.jpg</v>
      </c>
      <c r="AW1095" s="81" t="s">
        <v>5439</v>
      </c>
      <c r="AX1095" s="81" t="s">
        <v>5439</v>
      </c>
      <c r="AY1095" s="77"/>
      <c r="AZ1095" s="81" t="s">
        <v>5773</v>
      </c>
      <c r="BA1095" s="81" t="s">
        <v>5773</v>
      </c>
      <c r="BB1095" s="81" t="s">
        <v>5773</v>
      </c>
      <c r="BC1095" s="81" t="s">
        <v>5439</v>
      </c>
      <c r="BD1095" s="77">
        <v>297885438</v>
      </c>
      <c r="BE1095" s="77"/>
      <c r="BF1095" s="77"/>
      <c r="BG1095" s="77"/>
      <c r="BH1095" s="77"/>
      <c r="BI1095" s="77"/>
    </row>
    <row r="1096" spans="1:61" ht="15">
      <c r="A1096" s="62" t="s">
        <v>299</v>
      </c>
      <c r="B1096" s="62" t="s">
        <v>299</v>
      </c>
      <c r="C1096" s="63"/>
      <c r="D1096" s="64"/>
      <c r="E1096" s="65"/>
      <c r="F1096" s="66"/>
      <c r="G1096" s="63"/>
      <c r="H1096" s="67"/>
      <c r="I1096" s="68"/>
      <c r="J1096" s="68"/>
      <c r="K1096" s="32" t="s">
        <v>65</v>
      </c>
      <c r="L1096" s="75">
        <v>1096</v>
      </c>
      <c r="M1096" s="75"/>
      <c r="N1096" s="70"/>
      <c r="O1096" s="77" t="s">
        <v>571</v>
      </c>
      <c r="P1096" s="79">
        <v>42803.36251157407</v>
      </c>
      <c r="Q1096" s="77" t="s">
        <v>825</v>
      </c>
      <c r="R1096" s="77">
        <v>0</v>
      </c>
      <c r="S1096" s="77">
        <v>1</v>
      </c>
      <c r="T1096" s="77">
        <v>0</v>
      </c>
      <c r="U1096" s="77">
        <v>0</v>
      </c>
      <c r="V1096" s="77"/>
      <c r="W1096" s="81" t="s">
        <v>1780</v>
      </c>
      <c r="X1096" s="80" t="str">
        <f>HYPERLINK("https://www.paypal-proserv.com/newmoney/celebrating-entrepreneurs/allprofiles.php?id=865")</f>
        <v>https://www.paypal-proserv.com/newmoney/celebrating-entrepreneurs/allprofiles.php?id=865</v>
      </c>
      <c r="Y1096" s="77" t="s">
        <v>2006</v>
      </c>
      <c r="Z1096" s="77" t="s">
        <v>2076</v>
      </c>
      <c r="AA1096" s="77"/>
      <c r="AB1096" s="77"/>
      <c r="AC1096" s="81" t="s">
        <v>2705</v>
      </c>
      <c r="AD1096" s="77" t="s">
        <v>2751</v>
      </c>
      <c r="AE1096" s="80" t="str">
        <f>HYPERLINK("https://twitter.com/inovies/status/839758157777895424")</f>
        <v>https://twitter.com/inovies/status/839758157777895424</v>
      </c>
      <c r="AF1096" s="79">
        <v>42803.36251157407</v>
      </c>
      <c r="AG1096" s="85">
        <v>42803</v>
      </c>
      <c r="AH1096" s="81" t="s">
        <v>3014</v>
      </c>
      <c r="AI1096" s="77" t="b">
        <v>0</v>
      </c>
      <c r="AJ1096" s="77"/>
      <c r="AK1096" s="77"/>
      <c r="AL1096" s="77"/>
      <c r="AM1096" s="77"/>
      <c r="AN1096" s="77"/>
      <c r="AO1096" s="77"/>
      <c r="AP1096" s="77"/>
      <c r="AQ1096" s="77"/>
      <c r="AR1096" s="77"/>
      <c r="AS1096" s="77"/>
      <c r="AT1096" s="77"/>
      <c r="AU1096" s="77"/>
      <c r="AV1096" s="80" t="str">
        <f>HYPERLINK("https://pbs.twimg.com/profile_images/833576943677214720/5ZyUgpEJ_normal.jpg")</f>
        <v>https://pbs.twimg.com/profile_images/833576943677214720/5ZyUgpEJ_normal.jpg</v>
      </c>
      <c r="AW1096" s="81" t="s">
        <v>4760</v>
      </c>
      <c r="AX1096" s="81" t="s">
        <v>4760</v>
      </c>
      <c r="AY1096" s="77"/>
      <c r="AZ1096" s="81" t="s">
        <v>5773</v>
      </c>
      <c r="BA1096" s="81" t="s">
        <v>5773</v>
      </c>
      <c r="BB1096" s="81" t="s">
        <v>5773</v>
      </c>
      <c r="BC1096" s="81" t="s">
        <v>4760</v>
      </c>
      <c r="BD1096" s="77">
        <v>297885438</v>
      </c>
      <c r="BE1096" s="77"/>
      <c r="BF1096" s="77"/>
      <c r="BG1096" s="77"/>
      <c r="BH1096" s="77"/>
      <c r="BI1096" s="77"/>
    </row>
    <row r="1097" spans="1:61" ht="15">
      <c r="A1097" s="62" t="s">
        <v>299</v>
      </c>
      <c r="B1097" s="62" t="s">
        <v>299</v>
      </c>
      <c r="C1097" s="63"/>
      <c r="D1097" s="64"/>
      <c r="E1097" s="65"/>
      <c r="F1097" s="66"/>
      <c r="G1097" s="63"/>
      <c r="H1097" s="67"/>
      <c r="I1097" s="68"/>
      <c r="J1097" s="68"/>
      <c r="K1097" s="32" t="s">
        <v>65</v>
      </c>
      <c r="L1097" s="75">
        <v>1097</v>
      </c>
      <c r="M1097" s="75"/>
      <c r="N1097" s="70"/>
      <c r="O1097" s="77" t="s">
        <v>571</v>
      </c>
      <c r="P1097" s="79">
        <v>42802.337858796294</v>
      </c>
      <c r="Q1097" s="77" t="s">
        <v>1478</v>
      </c>
      <c r="R1097" s="77">
        <v>0</v>
      </c>
      <c r="S1097" s="77">
        <v>0</v>
      </c>
      <c r="T1097" s="77">
        <v>0</v>
      </c>
      <c r="U1097" s="77">
        <v>0</v>
      </c>
      <c r="V1097" s="77"/>
      <c r="W1097" s="77"/>
      <c r="X1097" s="77"/>
      <c r="Y1097" s="77"/>
      <c r="Z1097" s="77" t="s">
        <v>299</v>
      </c>
      <c r="AA1097" s="77"/>
      <c r="AB1097" s="77"/>
      <c r="AC1097" s="81" t="s">
        <v>2704</v>
      </c>
      <c r="AD1097" s="77" t="s">
        <v>2751</v>
      </c>
      <c r="AE1097" s="80" t="str">
        <f>HYPERLINK("https://twitter.com/inovies/status/839386838389370880")</f>
        <v>https://twitter.com/inovies/status/839386838389370880</v>
      </c>
      <c r="AF1097" s="79">
        <v>42802.337858796294</v>
      </c>
      <c r="AG1097" s="85">
        <v>42802</v>
      </c>
      <c r="AH1097" s="81" t="s">
        <v>3667</v>
      </c>
      <c r="AI1097" s="77"/>
      <c r="AJ1097" s="77"/>
      <c r="AK1097" s="77"/>
      <c r="AL1097" s="77"/>
      <c r="AM1097" s="77"/>
      <c r="AN1097" s="77"/>
      <c r="AO1097" s="77"/>
      <c r="AP1097" s="77"/>
      <c r="AQ1097" s="77"/>
      <c r="AR1097" s="77"/>
      <c r="AS1097" s="77"/>
      <c r="AT1097" s="77"/>
      <c r="AU1097" s="77"/>
      <c r="AV1097" s="80" t="str">
        <f>HYPERLINK("https://pbs.twimg.com/profile_images/833576943677214720/5ZyUgpEJ_normal.jpg")</f>
        <v>https://pbs.twimg.com/profile_images/833576943677214720/5ZyUgpEJ_normal.jpg</v>
      </c>
      <c r="AW1097" s="81" t="s">
        <v>5440</v>
      </c>
      <c r="AX1097" s="81" t="s">
        <v>5440</v>
      </c>
      <c r="AY1097" s="81" t="s">
        <v>5721</v>
      </c>
      <c r="AZ1097" s="81" t="s">
        <v>5773</v>
      </c>
      <c r="BA1097" s="81" t="s">
        <v>5773</v>
      </c>
      <c r="BB1097" s="81" t="s">
        <v>5773</v>
      </c>
      <c r="BC1097" s="81" t="s">
        <v>5440</v>
      </c>
      <c r="BD1097" s="77">
        <v>297885438</v>
      </c>
      <c r="BE1097" s="77"/>
      <c r="BF1097" s="77"/>
      <c r="BG1097" s="77"/>
      <c r="BH1097" s="77"/>
      <c r="BI1097" s="77"/>
    </row>
    <row r="1098" spans="1:61" ht="15">
      <c r="A1098" s="62" t="s">
        <v>299</v>
      </c>
      <c r="B1098" s="62" t="s">
        <v>299</v>
      </c>
      <c r="C1098" s="63"/>
      <c r="D1098" s="64"/>
      <c r="E1098" s="65"/>
      <c r="F1098" s="66"/>
      <c r="G1098" s="63"/>
      <c r="H1098" s="67"/>
      <c r="I1098" s="68"/>
      <c r="J1098" s="68"/>
      <c r="K1098" s="32" t="s">
        <v>65</v>
      </c>
      <c r="L1098" s="75">
        <v>1098</v>
      </c>
      <c r="M1098" s="75"/>
      <c r="N1098" s="70"/>
      <c r="O1098" s="77" t="s">
        <v>179</v>
      </c>
      <c r="P1098" s="79">
        <v>42796.592465277776</v>
      </c>
      <c r="Q1098" s="77" t="s">
        <v>1479</v>
      </c>
      <c r="R1098" s="77">
        <v>1</v>
      </c>
      <c r="S1098" s="77">
        <v>3</v>
      </c>
      <c r="T1098" s="77">
        <v>0</v>
      </c>
      <c r="U1098" s="77">
        <v>1</v>
      </c>
      <c r="V1098" s="77"/>
      <c r="W1098" s="77"/>
      <c r="X1098" s="80" t="str">
        <f>HYPERLINK("https://www.inovies.com/insights/blog/bot-or-not-with-chatbot-long-way-to-go-before-we-hype")</f>
        <v>https://www.inovies.com/insights/blog/bot-or-not-with-chatbot-long-way-to-go-before-we-hype</v>
      </c>
      <c r="Y1098" s="77" t="s">
        <v>1982</v>
      </c>
      <c r="Z1098" s="77"/>
      <c r="AA1098" s="77" t="s">
        <v>2534</v>
      </c>
      <c r="AB1098" s="77" t="s">
        <v>2696</v>
      </c>
      <c r="AC1098" s="81" t="s">
        <v>2705</v>
      </c>
      <c r="AD1098" s="77" t="s">
        <v>2751</v>
      </c>
      <c r="AE1098" s="80" t="str">
        <f>HYPERLINK("https://twitter.com/inovies/status/837304774424997888")</f>
        <v>https://twitter.com/inovies/status/837304774424997888</v>
      </c>
      <c r="AF1098" s="79">
        <v>42796.592465277776</v>
      </c>
      <c r="AG1098" s="85">
        <v>42796</v>
      </c>
      <c r="AH1098" s="81" t="s">
        <v>3668</v>
      </c>
      <c r="AI1098" s="77" t="b">
        <v>0</v>
      </c>
      <c r="AJ1098" s="77"/>
      <c r="AK1098" s="77"/>
      <c r="AL1098" s="77"/>
      <c r="AM1098" s="77"/>
      <c r="AN1098" s="77"/>
      <c r="AO1098" s="77"/>
      <c r="AP1098" s="77"/>
      <c r="AQ1098" s="77" t="s">
        <v>4348</v>
      </c>
      <c r="AR1098" s="77"/>
      <c r="AS1098" s="77"/>
      <c r="AT1098" s="77"/>
      <c r="AU1098" s="77"/>
      <c r="AV1098" s="80" t="str">
        <f>HYPERLINK("https://pbs.twimg.com/media/C560IRYXEAAVMRA.jpg")</f>
        <v>https://pbs.twimg.com/media/C560IRYXEAAVMRA.jpg</v>
      </c>
      <c r="AW1098" s="81" t="s">
        <v>5441</v>
      </c>
      <c r="AX1098" s="81" t="s">
        <v>5441</v>
      </c>
      <c r="AY1098" s="77"/>
      <c r="AZ1098" s="81" t="s">
        <v>5773</v>
      </c>
      <c r="BA1098" s="81" t="s">
        <v>5773</v>
      </c>
      <c r="BB1098" s="81" t="s">
        <v>5773</v>
      </c>
      <c r="BC1098" s="81" t="s">
        <v>5441</v>
      </c>
      <c r="BD1098" s="77">
        <v>297885438</v>
      </c>
      <c r="BE1098" s="77"/>
      <c r="BF1098" s="77"/>
      <c r="BG1098" s="77"/>
      <c r="BH1098" s="77"/>
      <c r="BI1098" s="77"/>
    </row>
    <row r="1099" spans="1:61" ht="15">
      <c r="A1099" s="62" t="s">
        <v>299</v>
      </c>
      <c r="B1099" s="62" t="s">
        <v>299</v>
      </c>
      <c r="C1099" s="63"/>
      <c r="D1099" s="64"/>
      <c r="E1099" s="65"/>
      <c r="F1099" s="66"/>
      <c r="G1099" s="63"/>
      <c r="H1099" s="67"/>
      <c r="I1099" s="68"/>
      <c r="J1099" s="68"/>
      <c r="K1099" s="32" t="s">
        <v>65</v>
      </c>
      <c r="L1099" s="75">
        <v>1099</v>
      </c>
      <c r="M1099" s="75"/>
      <c r="N1099" s="70"/>
      <c r="O1099" s="77" t="s">
        <v>575</v>
      </c>
      <c r="P1099" s="79">
        <v>42797.13494212963</v>
      </c>
      <c r="Q1099" s="77" t="s">
        <v>1480</v>
      </c>
      <c r="R1099" s="77">
        <v>0</v>
      </c>
      <c r="S1099" s="77">
        <v>1</v>
      </c>
      <c r="T1099" s="77">
        <v>0</v>
      </c>
      <c r="U1099" s="77">
        <v>0</v>
      </c>
      <c r="V1099" s="77"/>
      <c r="W1099" s="81" t="s">
        <v>1934</v>
      </c>
      <c r="X1099" s="80" t="str">
        <f>HYPERLINK("https://twitter.com/inovies/status/837304774424997888")</f>
        <v>https://twitter.com/inovies/status/837304774424997888</v>
      </c>
      <c r="Y1099" s="77" t="s">
        <v>2000</v>
      </c>
      <c r="Z1099" s="77"/>
      <c r="AA1099" s="77"/>
      <c r="AB1099" s="77"/>
      <c r="AC1099" s="81" t="s">
        <v>2704</v>
      </c>
      <c r="AD1099" s="77" t="s">
        <v>2752</v>
      </c>
      <c r="AE1099" s="80" t="str">
        <f>HYPERLINK("https://twitter.com/inovies/status/837501360685854720")</f>
        <v>https://twitter.com/inovies/status/837501360685854720</v>
      </c>
      <c r="AF1099" s="79">
        <v>42797.13494212963</v>
      </c>
      <c r="AG1099" s="85">
        <v>42797</v>
      </c>
      <c r="AH1099" s="81" t="s">
        <v>3669</v>
      </c>
      <c r="AI1099" s="77" t="b">
        <v>0</v>
      </c>
      <c r="AJ1099" s="77"/>
      <c r="AK1099" s="77"/>
      <c r="AL1099" s="77"/>
      <c r="AM1099" s="77"/>
      <c r="AN1099" s="77"/>
      <c r="AO1099" s="77"/>
      <c r="AP1099" s="77"/>
      <c r="AQ1099" s="77"/>
      <c r="AR1099" s="77"/>
      <c r="AS1099" s="77"/>
      <c r="AT1099" s="77"/>
      <c r="AU1099" s="77"/>
      <c r="AV1099" s="80" t="str">
        <f>HYPERLINK("https://pbs.twimg.com/profile_images/833576943677214720/5ZyUgpEJ_normal.jpg")</f>
        <v>https://pbs.twimg.com/profile_images/833576943677214720/5ZyUgpEJ_normal.jpg</v>
      </c>
      <c r="AW1099" s="81" t="s">
        <v>5442</v>
      </c>
      <c r="AX1099" s="81" t="s">
        <v>5442</v>
      </c>
      <c r="AY1099" s="77"/>
      <c r="AZ1099" s="81" t="s">
        <v>5773</v>
      </c>
      <c r="BA1099" s="81" t="s">
        <v>5441</v>
      </c>
      <c r="BB1099" s="81" t="s">
        <v>5773</v>
      </c>
      <c r="BC1099" s="81" t="s">
        <v>5441</v>
      </c>
      <c r="BD1099" s="77">
        <v>297885438</v>
      </c>
      <c r="BE1099" s="77"/>
      <c r="BF1099" s="77"/>
      <c r="BG1099" s="77"/>
      <c r="BH1099" s="77"/>
      <c r="BI1099" s="77"/>
    </row>
    <row r="1100" spans="1:61" ht="15">
      <c r="A1100" s="62" t="s">
        <v>299</v>
      </c>
      <c r="B1100" s="62" t="s">
        <v>299</v>
      </c>
      <c r="C1100" s="63"/>
      <c r="D1100" s="64"/>
      <c r="E1100" s="65"/>
      <c r="F1100" s="66"/>
      <c r="G1100" s="63"/>
      <c r="H1100" s="67"/>
      <c r="I1100" s="68"/>
      <c r="J1100" s="68"/>
      <c r="K1100" s="32" t="s">
        <v>65</v>
      </c>
      <c r="L1100" s="75">
        <v>1100</v>
      </c>
      <c r="M1100" s="75"/>
      <c r="N1100" s="70"/>
      <c r="O1100" s="77" t="s">
        <v>179</v>
      </c>
      <c r="P1100" s="79">
        <v>42793.34991898148</v>
      </c>
      <c r="Q1100" s="77" t="s">
        <v>1481</v>
      </c>
      <c r="R1100" s="77">
        <v>0</v>
      </c>
      <c r="S1100" s="77">
        <v>2</v>
      </c>
      <c r="T1100" s="77">
        <v>0</v>
      </c>
      <c r="U1100" s="77">
        <v>0</v>
      </c>
      <c r="V1100" s="77"/>
      <c r="W1100" s="77"/>
      <c r="X1100" s="80" t="str">
        <f>HYPERLINK("https://www.inovies.com/")</f>
        <v>https://www.inovies.com/</v>
      </c>
      <c r="Y1100" s="77" t="s">
        <v>1982</v>
      </c>
      <c r="Z1100" s="77"/>
      <c r="AA1100" s="77"/>
      <c r="AB1100" s="77"/>
      <c r="AC1100" s="81" t="s">
        <v>2705</v>
      </c>
      <c r="AD1100" s="77" t="s">
        <v>2751</v>
      </c>
      <c r="AE1100" s="80" t="str">
        <f>HYPERLINK("https://twitter.com/inovies/status/836129715668779008")</f>
        <v>https://twitter.com/inovies/status/836129715668779008</v>
      </c>
      <c r="AF1100" s="79">
        <v>42793.34991898148</v>
      </c>
      <c r="AG1100" s="85">
        <v>42793</v>
      </c>
      <c r="AH1100" s="81" t="s">
        <v>3670</v>
      </c>
      <c r="AI1100" s="77" t="b">
        <v>0</v>
      </c>
      <c r="AJ1100" s="77"/>
      <c r="AK1100" s="77"/>
      <c r="AL1100" s="77"/>
      <c r="AM1100" s="77"/>
      <c r="AN1100" s="77"/>
      <c r="AO1100" s="77"/>
      <c r="AP1100" s="77"/>
      <c r="AQ1100" s="77"/>
      <c r="AR1100" s="77"/>
      <c r="AS1100" s="77"/>
      <c r="AT1100" s="77"/>
      <c r="AU1100" s="77"/>
      <c r="AV1100" s="80" t="str">
        <f>HYPERLINK("https://pbs.twimg.com/profile_images/833576943677214720/5ZyUgpEJ_normal.jpg")</f>
        <v>https://pbs.twimg.com/profile_images/833576943677214720/5ZyUgpEJ_normal.jpg</v>
      </c>
      <c r="AW1100" s="81" t="s">
        <v>5443</v>
      </c>
      <c r="AX1100" s="81" t="s">
        <v>5443</v>
      </c>
      <c r="AY1100" s="77"/>
      <c r="AZ1100" s="81" t="s">
        <v>5773</v>
      </c>
      <c r="BA1100" s="81" t="s">
        <v>5773</v>
      </c>
      <c r="BB1100" s="81" t="s">
        <v>5773</v>
      </c>
      <c r="BC1100" s="81" t="s">
        <v>5443</v>
      </c>
      <c r="BD1100" s="77">
        <v>297885438</v>
      </c>
      <c r="BE1100" s="77"/>
      <c r="BF1100" s="77"/>
      <c r="BG1100" s="77"/>
      <c r="BH1100" s="77"/>
      <c r="BI1100" s="77"/>
    </row>
    <row r="1101" spans="1:61" ht="15">
      <c r="A1101" s="62" t="s">
        <v>299</v>
      </c>
      <c r="B1101" s="62" t="s">
        <v>299</v>
      </c>
      <c r="C1101" s="63"/>
      <c r="D1101" s="64"/>
      <c r="E1101" s="65"/>
      <c r="F1101" s="66"/>
      <c r="G1101" s="63"/>
      <c r="H1101" s="67"/>
      <c r="I1101" s="68"/>
      <c r="J1101" s="68"/>
      <c r="K1101" s="32" t="s">
        <v>65</v>
      </c>
      <c r="L1101" s="75">
        <v>1101</v>
      </c>
      <c r="M1101" s="75"/>
      <c r="N1101" s="70"/>
      <c r="O1101" s="77" t="s">
        <v>179</v>
      </c>
      <c r="P1101" s="79">
        <v>42793.344722222224</v>
      </c>
      <c r="Q1101" s="77" t="s">
        <v>1482</v>
      </c>
      <c r="R1101" s="77">
        <v>0</v>
      </c>
      <c r="S1101" s="77">
        <v>1</v>
      </c>
      <c r="T1101" s="77">
        <v>0</v>
      </c>
      <c r="U1101" s="77">
        <v>0</v>
      </c>
      <c r="V1101" s="77"/>
      <c r="W1101" s="77"/>
      <c r="X1101" s="80" t="str">
        <f>HYPERLINK("https://www.inovies.com")</f>
        <v>https://www.inovies.com</v>
      </c>
      <c r="Y1101" s="77" t="s">
        <v>1982</v>
      </c>
      <c r="Z1101" s="77"/>
      <c r="AA1101" s="77"/>
      <c r="AB1101" s="77"/>
      <c r="AC1101" s="81" t="s">
        <v>2705</v>
      </c>
      <c r="AD1101" s="77" t="s">
        <v>2751</v>
      </c>
      <c r="AE1101" s="80" t="str">
        <f>HYPERLINK("https://twitter.com/inovies/status/836127832115937280")</f>
        <v>https://twitter.com/inovies/status/836127832115937280</v>
      </c>
      <c r="AF1101" s="79">
        <v>42793.344722222224</v>
      </c>
      <c r="AG1101" s="85">
        <v>42793</v>
      </c>
      <c r="AH1101" s="81" t="s">
        <v>3671</v>
      </c>
      <c r="AI1101" s="77" t="b">
        <v>0</v>
      </c>
      <c r="AJ1101" s="77"/>
      <c r="AK1101" s="77"/>
      <c r="AL1101" s="77"/>
      <c r="AM1101" s="77"/>
      <c r="AN1101" s="77"/>
      <c r="AO1101" s="77"/>
      <c r="AP1101" s="77"/>
      <c r="AQ1101" s="77"/>
      <c r="AR1101" s="77"/>
      <c r="AS1101" s="77"/>
      <c r="AT1101" s="77"/>
      <c r="AU1101" s="77"/>
      <c r="AV1101" s="80" t="str">
        <f>HYPERLINK("https://pbs.twimg.com/profile_images/833576943677214720/5ZyUgpEJ_normal.jpg")</f>
        <v>https://pbs.twimg.com/profile_images/833576943677214720/5ZyUgpEJ_normal.jpg</v>
      </c>
      <c r="AW1101" s="81" t="s">
        <v>5444</v>
      </c>
      <c r="AX1101" s="81" t="s">
        <v>5444</v>
      </c>
      <c r="AY1101" s="77"/>
      <c r="AZ1101" s="81" t="s">
        <v>5773</v>
      </c>
      <c r="BA1101" s="81" t="s">
        <v>5773</v>
      </c>
      <c r="BB1101" s="81" t="s">
        <v>5773</v>
      </c>
      <c r="BC1101" s="81" t="s">
        <v>5444</v>
      </c>
      <c r="BD1101" s="77">
        <v>297885438</v>
      </c>
      <c r="BE1101" s="77"/>
      <c r="BF1101" s="77"/>
      <c r="BG1101" s="77"/>
      <c r="BH1101" s="77"/>
      <c r="BI1101" s="77"/>
    </row>
    <row r="1102" spans="1:61" ht="15">
      <c r="A1102" s="62" t="s">
        <v>299</v>
      </c>
      <c r="B1102" s="62" t="s">
        <v>299</v>
      </c>
      <c r="C1102" s="63"/>
      <c r="D1102" s="64"/>
      <c r="E1102" s="65"/>
      <c r="F1102" s="66"/>
      <c r="G1102" s="63"/>
      <c r="H1102" s="67"/>
      <c r="I1102" s="68"/>
      <c r="J1102" s="68"/>
      <c r="K1102" s="32" t="s">
        <v>65</v>
      </c>
      <c r="L1102" s="75">
        <v>1102</v>
      </c>
      <c r="M1102" s="75"/>
      <c r="N1102" s="70"/>
      <c r="O1102" s="77" t="s">
        <v>179</v>
      </c>
      <c r="P1102" s="79">
        <v>45281.8240625</v>
      </c>
      <c r="Q1102" s="77" t="s">
        <v>1483</v>
      </c>
      <c r="R1102" s="77">
        <v>0</v>
      </c>
      <c r="S1102" s="77">
        <v>1</v>
      </c>
      <c r="T1102" s="77">
        <v>0</v>
      </c>
      <c r="U1102" s="77">
        <v>0</v>
      </c>
      <c r="V1102" s="77">
        <v>8</v>
      </c>
      <c r="W1102" s="81" t="s">
        <v>1895</v>
      </c>
      <c r="X1102" s="80" t="str">
        <f>HYPERLINK("https://inovies.com/digital-marketing/")</f>
        <v>https://inovies.com/digital-marketing/</v>
      </c>
      <c r="Y1102" s="77" t="s">
        <v>1982</v>
      </c>
      <c r="Z1102" s="77"/>
      <c r="AA1102" s="77" t="s">
        <v>2535</v>
      </c>
      <c r="AB1102" s="77" t="s">
        <v>2696</v>
      </c>
      <c r="AC1102" s="81" t="s">
        <v>2707</v>
      </c>
      <c r="AD1102" s="77" t="s">
        <v>2751</v>
      </c>
      <c r="AE1102" s="80" t="str">
        <f>HYPERLINK("https://twitter.com/inovies/status/1737922551169388638")</f>
        <v>https://twitter.com/inovies/status/1737922551169388638</v>
      </c>
      <c r="AF1102" s="79">
        <v>45281.8240625</v>
      </c>
      <c r="AG1102" s="85">
        <v>45281</v>
      </c>
      <c r="AH1102" s="81" t="s">
        <v>3672</v>
      </c>
      <c r="AI1102" s="77" t="b">
        <v>0</v>
      </c>
      <c r="AJ1102" s="77"/>
      <c r="AK1102" s="77"/>
      <c r="AL1102" s="77"/>
      <c r="AM1102" s="77"/>
      <c r="AN1102" s="77"/>
      <c r="AO1102" s="77"/>
      <c r="AP1102" s="77"/>
      <c r="AQ1102" s="77" t="s">
        <v>4349</v>
      </c>
      <c r="AR1102" s="77"/>
      <c r="AS1102" s="77"/>
      <c r="AT1102" s="77"/>
      <c r="AU1102" s="77"/>
      <c r="AV1102" s="80" t="str">
        <f>HYPERLINK("https://pbs.twimg.com/media/GB5XV_nWsAA2SXe.jpg")</f>
        <v>https://pbs.twimg.com/media/GB5XV_nWsAA2SXe.jpg</v>
      </c>
      <c r="AW1102" s="81" t="s">
        <v>5445</v>
      </c>
      <c r="AX1102" s="81" t="s">
        <v>5445</v>
      </c>
      <c r="AY1102" s="77"/>
      <c r="AZ1102" s="81" t="s">
        <v>5773</v>
      </c>
      <c r="BA1102" s="81" t="s">
        <v>5773</v>
      </c>
      <c r="BB1102" s="81" t="s">
        <v>5773</v>
      </c>
      <c r="BC1102" s="81" t="s">
        <v>5445</v>
      </c>
      <c r="BD1102" s="77">
        <v>297885438</v>
      </c>
      <c r="BE1102" s="77"/>
      <c r="BF1102" s="77"/>
      <c r="BG1102" s="77"/>
      <c r="BH1102" s="77"/>
      <c r="BI1102" s="77"/>
    </row>
    <row r="1103" spans="1:61" ht="15">
      <c r="A1103" s="62" t="s">
        <v>299</v>
      </c>
      <c r="B1103" s="62" t="s">
        <v>299</v>
      </c>
      <c r="C1103" s="63"/>
      <c r="D1103" s="64"/>
      <c r="E1103" s="65"/>
      <c r="F1103" s="66"/>
      <c r="G1103" s="63"/>
      <c r="H1103" s="67"/>
      <c r="I1103" s="68"/>
      <c r="J1103" s="68"/>
      <c r="K1103" s="32" t="s">
        <v>65</v>
      </c>
      <c r="L1103" s="75">
        <v>1103</v>
      </c>
      <c r="M1103" s="75"/>
      <c r="N1103" s="70"/>
      <c r="O1103" s="77" t="s">
        <v>179</v>
      </c>
      <c r="P1103" s="79">
        <v>45280.84908564815</v>
      </c>
      <c r="Q1103" s="77" t="s">
        <v>1484</v>
      </c>
      <c r="R1103" s="77">
        <v>0</v>
      </c>
      <c r="S1103" s="77">
        <v>0</v>
      </c>
      <c r="T1103" s="77">
        <v>0</v>
      </c>
      <c r="U1103" s="77">
        <v>0</v>
      </c>
      <c r="V1103" s="77">
        <v>41</v>
      </c>
      <c r="W1103" s="77"/>
      <c r="X1103" s="80" t="str">
        <f>HYPERLINK("https://pin.it/1Y0qjAv")</f>
        <v>https://pin.it/1Y0qjAv</v>
      </c>
      <c r="Y1103" s="77" t="s">
        <v>2053</v>
      </c>
      <c r="Z1103" s="77"/>
      <c r="AA1103" s="77"/>
      <c r="AB1103" s="77"/>
      <c r="AC1103" s="81" t="s">
        <v>2707</v>
      </c>
      <c r="AD1103" s="77" t="s">
        <v>2751</v>
      </c>
      <c r="AE1103" s="80" t="str">
        <f>HYPERLINK("https://twitter.com/inovies/status/1737569231019864510")</f>
        <v>https://twitter.com/inovies/status/1737569231019864510</v>
      </c>
      <c r="AF1103" s="79">
        <v>45280.84908564815</v>
      </c>
      <c r="AG1103" s="85">
        <v>45280</v>
      </c>
      <c r="AH1103" s="81" t="s">
        <v>3673</v>
      </c>
      <c r="AI1103" s="77" t="b">
        <v>0</v>
      </c>
      <c r="AJ1103" s="77"/>
      <c r="AK1103" s="77"/>
      <c r="AL1103" s="77"/>
      <c r="AM1103" s="77"/>
      <c r="AN1103" s="77"/>
      <c r="AO1103" s="77"/>
      <c r="AP1103" s="77"/>
      <c r="AQ1103" s="77"/>
      <c r="AR1103" s="77"/>
      <c r="AS1103" s="77"/>
      <c r="AT1103" s="77"/>
      <c r="AU1103" s="77"/>
      <c r="AV1103" s="80" t="str">
        <f>HYPERLINK("https://pbs.twimg.com/profile_images/833576943677214720/5ZyUgpEJ_normal.jpg")</f>
        <v>https://pbs.twimg.com/profile_images/833576943677214720/5ZyUgpEJ_normal.jpg</v>
      </c>
      <c r="AW1103" s="81" t="s">
        <v>5446</v>
      </c>
      <c r="AX1103" s="81" t="s">
        <v>5446</v>
      </c>
      <c r="AY1103" s="77"/>
      <c r="AZ1103" s="81" t="s">
        <v>5773</v>
      </c>
      <c r="BA1103" s="81" t="s">
        <v>5773</v>
      </c>
      <c r="BB1103" s="81" t="s">
        <v>5773</v>
      </c>
      <c r="BC1103" s="81" t="s">
        <v>5446</v>
      </c>
      <c r="BD1103" s="77">
        <v>297885438</v>
      </c>
      <c r="BE1103" s="77"/>
      <c r="BF1103" s="77"/>
      <c r="BG1103" s="77"/>
      <c r="BH1103" s="77"/>
      <c r="BI1103" s="77"/>
    </row>
    <row r="1104" spans="1:61" ht="15">
      <c r="A1104" s="62" t="s">
        <v>299</v>
      </c>
      <c r="B1104" s="62" t="s">
        <v>299</v>
      </c>
      <c r="C1104" s="63"/>
      <c r="D1104" s="64"/>
      <c r="E1104" s="65"/>
      <c r="F1104" s="66"/>
      <c r="G1104" s="63"/>
      <c r="H1104" s="67"/>
      <c r="I1104" s="68"/>
      <c r="J1104" s="68"/>
      <c r="K1104" s="32" t="s">
        <v>65</v>
      </c>
      <c r="L1104" s="75">
        <v>1104</v>
      </c>
      <c r="M1104" s="75"/>
      <c r="N1104" s="70"/>
      <c r="O1104" s="77" t="s">
        <v>179</v>
      </c>
      <c r="P1104" s="79">
        <v>41908.30872685185</v>
      </c>
      <c r="Q1104" s="77" t="s">
        <v>1485</v>
      </c>
      <c r="R1104" s="77">
        <v>0</v>
      </c>
      <c r="S1104" s="77">
        <v>0</v>
      </c>
      <c r="T1104" s="77">
        <v>0</v>
      </c>
      <c r="U1104" s="77">
        <v>0</v>
      </c>
      <c r="V1104" s="77"/>
      <c r="W1104" s="77"/>
      <c r="X1104" s="80" t="str">
        <f>HYPERLINK("http://klou.tt/9seocbqcf79c")</f>
        <v>http://klou.tt/9seocbqcf79c</v>
      </c>
      <c r="Y1104" s="77" t="s">
        <v>2054</v>
      </c>
      <c r="Z1104" s="77"/>
      <c r="AA1104" s="77"/>
      <c r="AB1104" s="77"/>
      <c r="AC1104" s="81" t="s">
        <v>2749</v>
      </c>
      <c r="AD1104" s="77" t="s">
        <v>2751</v>
      </c>
      <c r="AE1104" s="80" t="str">
        <f>HYPERLINK("https://twitter.com/inovies/status/515401527696297984")</f>
        <v>https://twitter.com/inovies/status/515401527696297984</v>
      </c>
      <c r="AF1104" s="79">
        <v>41908.30872685185</v>
      </c>
      <c r="AG1104" s="85">
        <v>41908</v>
      </c>
      <c r="AH1104" s="81" t="s">
        <v>3674</v>
      </c>
      <c r="AI1104" s="77" t="b">
        <v>0</v>
      </c>
      <c r="AJ1104" s="77"/>
      <c r="AK1104" s="77"/>
      <c r="AL1104" s="77"/>
      <c r="AM1104" s="77"/>
      <c r="AN1104" s="77"/>
      <c r="AO1104" s="77"/>
      <c r="AP1104" s="77"/>
      <c r="AQ1104" s="77"/>
      <c r="AR1104" s="77"/>
      <c r="AS1104" s="77"/>
      <c r="AT1104" s="77"/>
      <c r="AU1104" s="77"/>
      <c r="AV1104" s="80" t="str">
        <f>HYPERLINK("https://pbs.twimg.com/profile_images/833576943677214720/5ZyUgpEJ_normal.jpg")</f>
        <v>https://pbs.twimg.com/profile_images/833576943677214720/5ZyUgpEJ_normal.jpg</v>
      </c>
      <c r="AW1104" s="81" t="s">
        <v>5447</v>
      </c>
      <c r="AX1104" s="81" t="s">
        <v>5447</v>
      </c>
      <c r="AY1104" s="77"/>
      <c r="AZ1104" s="81" t="s">
        <v>5773</v>
      </c>
      <c r="BA1104" s="81" t="s">
        <v>5773</v>
      </c>
      <c r="BB1104" s="81" t="s">
        <v>5773</v>
      </c>
      <c r="BC1104" s="81" t="s">
        <v>5447</v>
      </c>
      <c r="BD1104" s="77">
        <v>297885438</v>
      </c>
      <c r="BE1104" s="77"/>
      <c r="BF1104" s="77"/>
      <c r="BG1104" s="77"/>
      <c r="BH1104" s="77"/>
      <c r="BI1104" s="77"/>
    </row>
    <row r="1105" spans="1:61" ht="15">
      <c r="A1105" s="62" t="s">
        <v>299</v>
      </c>
      <c r="B1105" s="62" t="s">
        <v>299</v>
      </c>
      <c r="C1105" s="63"/>
      <c r="D1105" s="64"/>
      <c r="E1105" s="65"/>
      <c r="F1105" s="66"/>
      <c r="G1105" s="63"/>
      <c r="H1105" s="67"/>
      <c r="I1105" s="68"/>
      <c r="J1105" s="68"/>
      <c r="K1105" s="32" t="s">
        <v>65</v>
      </c>
      <c r="L1105" s="75">
        <v>1105</v>
      </c>
      <c r="M1105" s="75"/>
      <c r="N1105" s="70"/>
      <c r="O1105" s="77" t="s">
        <v>179</v>
      </c>
      <c r="P1105" s="79">
        <v>41908.304085648146</v>
      </c>
      <c r="Q1105" s="77" t="s">
        <v>1486</v>
      </c>
      <c r="R1105" s="77">
        <v>0</v>
      </c>
      <c r="S1105" s="77">
        <v>0</v>
      </c>
      <c r="T1105" s="77">
        <v>0</v>
      </c>
      <c r="U1105" s="77">
        <v>0</v>
      </c>
      <c r="V1105" s="77"/>
      <c r="W1105" s="77"/>
      <c r="X1105" s="80" t="str">
        <f>HYPERLINK("http://klou.tt/1dzn2oj92dsyu")</f>
        <v>http://klou.tt/1dzn2oj92dsyu</v>
      </c>
      <c r="Y1105" s="77" t="s">
        <v>2054</v>
      </c>
      <c r="Z1105" s="77"/>
      <c r="AA1105" s="77"/>
      <c r="AB1105" s="77"/>
      <c r="AC1105" s="81" t="s">
        <v>2749</v>
      </c>
      <c r="AD1105" s="77" t="s">
        <v>2751</v>
      </c>
      <c r="AE1105" s="80" t="str">
        <f>HYPERLINK("https://twitter.com/inovies/status/515399846384369664")</f>
        <v>https://twitter.com/inovies/status/515399846384369664</v>
      </c>
      <c r="AF1105" s="79">
        <v>41908.304085648146</v>
      </c>
      <c r="AG1105" s="85">
        <v>41908</v>
      </c>
      <c r="AH1105" s="81" t="s">
        <v>3675</v>
      </c>
      <c r="AI1105" s="77" t="b">
        <v>0</v>
      </c>
      <c r="AJ1105" s="77"/>
      <c r="AK1105" s="77"/>
      <c r="AL1105" s="77"/>
      <c r="AM1105" s="77"/>
      <c r="AN1105" s="77"/>
      <c r="AO1105" s="77"/>
      <c r="AP1105" s="77"/>
      <c r="AQ1105" s="77"/>
      <c r="AR1105" s="77"/>
      <c r="AS1105" s="77"/>
      <c r="AT1105" s="77"/>
      <c r="AU1105" s="77"/>
      <c r="AV1105" s="80" t="str">
        <f>HYPERLINK("https://pbs.twimg.com/profile_images/833576943677214720/5ZyUgpEJ_normal.jpg")</f>
        <v>https://pbs.twimg.com/profile_images/833576943677214720/5ZyUgpEJ_normal.jpg</v>
      </c>
      <c r="AW1105" s="81" t="s">
        <v>5448</v>
      </c>
      <c r="AX1105" s="81" t="s">
        <v>5448</v>
      </c>
      <c r="AY1105" s="77"/>
      <c r="AZ1105" s="81" t="s">
        <v>5773</v>
      </c>
      <c r="BA1105" s="81" t="s">
        <v>5773</v>
      </c>
      <c r="BB1105" s="81" t="s">
        <v>5773</v>
      </c>
      <c r="BC1105" s="81" t="s">
        <v>5448</v>
      </c>
      <c r="BD1105" s="77">
        <v>297885438</v>
      </c>
      <c r="BE1105" s="77"/>
      <c r="BF1105" s="77"/>
      <c r="BG1105" s="77"/>
      <c r="BH1105" s="77"/>
      <c r="BI1105" s="77"/>
    </row>
    <row r="1106" spans="1:61" ht="15">
      <c r="A1106" s="62" t="s">
        <v>299</v>
      </c>
      <c r="B1106" s="62" t="s">
        <v>299</v>
      </c>
      <c r="C1106" s="63"/>
      <c r="D1106" s="64"/>
      <c r="E1106" s="65"/>
      <c r="F1106" s="66"/>
      <c r="G1106" s="63"/>
      <c r="H1106" s="67"/>
      <c r="I1106" s="68"/>
      <c r="J1106" s="68"/>
      <c r="K1106" s="32" t="s">
        <v>65</v>
      </c>
      <c r="L1106" s="75">
        <v>1106</v>
      </c>
      <c r="M1106" s="75"/>
      <c r="N1106" s="70"/>
      <c r="O1106" s="77" t="s">
        <v>179</v>
      </c>
      <c r="P1106" s="79">
        <v>41739.381747685184</v>
      </c>
      <c r="Q1106" s="77" t="s">
        <v>1487</v>
      </c>
      <c r="R1106" s="77">
        <v>0</v>
      </c>
      <c r="S1106" s="77">
        <v>1</v>
      </c>
      <c r="T1106" s="77">
        <v>0</v>
      </c>
      <c r="U1106" s="77">
        <v>0</v>
      </c>
      <c r="V1106" s="77"/>
      <c r="W1106" s="77"/>
      <c r="X1106" s="77"/>
      <c r="Y1106" s="77"/>
      <c r="Z1106" s="77"/>
      <c r="AA1106" s="77" t="s">
        <v>2536</v>
      </c>
      <c r="AB1106" s="77" t="s">
        <v>2696</v>
      </c>
      <c r="AC1106" s="81" t="s">
        <v>2705</v>
      </c>
      <c r="AD1106" s="77" t="s">
        <v>2751</v>
      </c>
      <c r="AE1106" s="80" t="str">
        <f>HYPERLINK("https://twitter.com/inovies/status/454184441020035072")</f>
        <v>https://twitter.com/inovies/status/454184441020035072</v>
      </c>
      <c r="AF1106" s="79">
        <v>41739.381747685184</v>
      </c>
      <c r="AG1106" s="85">
        <v>41739</v>
      </c>
      <c r="AH1106" s="81" t="s">
        <v>3676</v>
      </c>
      <c r="AI1106" s="77" t="b">
        <v>0</v>
      </c>
      <c r="AJ1106" s="77"/>
      <c r="AK1106" s="77"/>
      <c r="AL1106" s="77"/>
      <c r="AM1106" s="77"/>
      <c r="AN1106" s="77"/>
      <c r="AO1106" s="77"/>
      <c r="AP1106" s="77"/>
      <c r="AQ1106" s="77" t="s">
        <v>4350</v>
      </c>
      <c r="AR1106" s="77"/>
      <c r="AS1106" s="77"/>
      <c r="AT1106" s="77"/>
      <c r="AU1106" s="77"/>
      <c r="AV1106" s="80" t="str">
        <f>HYPERLINK("https://pbs.twimg.com/media/Bk2WV73CMAAcNNP.jpg")</f>
        <v>https://pbs.twimg.com/media/Bk2WV73CMAAcNNP.jpg</v>
      </c>
      <c r="AW1106" s="81" t="s">
        <v>5449</v>
      </c>
      <c r="AX1106" s="81" t="s">
        <v>5449</v>
      </c>
      <c r="AY1106" s="77"/>
      <c r="AZ1106" s="81" t="s">
        <v>5773</v>
      </c>
      <c r="BA1106" s="81" t="s">
        <v>5773</v>
      </c>
      <c r="BB1106" s="81" t="s">
        <v>5773</v>
      </c>
      <c r="BC1106" s="81" t="s">
        <v>5449</v>
      </c>
      <c r="BD1106" s="77">
        <v>297885438</v>
      </c>
      <c r="BE1106" s="77"/>
      <c r="BF1106" s="77"/>
      <c r="BG1106" s="77"/>
      <c r="BH1106" s="77"/>
      <c r="BI1106" s="77"/>
    </row>
    <row r="1107" spans="1:61" ht="15">
      <c r="A1107" s="62" t="s">
        <v>299</v>
      </c>
      <c r="B1107" s="62" t="s">
        <v>299</v>
      </c>
      <c r="C1107" s="63"/>
      <c r="D1107" s="64"/>
      <c r="E1107" s="65"/>
      <c r="F1107" s="66"/>
      <c r="G1107" s="63"/>
      <c r="H1107" s="67"/>
      <c r="I1107" s="68"/>
      <c r="J1107" s="68"/>
      <c r="K1107" s="32" t="s">
        <v>65</v>
      </c>
      <c r="L1107" s="75">
        <v>1107</v>
      </c>
      <c r="M1107" s="75"/>
      <c r="N1107" s="70"/>
      <c r="O1107" s="77" t="s">
        <v>179</v>
      </c>
      <c r="P1107" s="79">
        <v>41739.352997685186</v>
      </c>
      <c r="Q1107" s="77" t="s">
        <v>1488</v>
      </c>
      <c r="R1107" s="77">
        <v>0</v>
      </c>
      <c r="S1107" s="77">
        <v>1</v>
      </c>
      <c r="T1107" s="77">
        <v>0</v>
      </c>
      <c r="U1107" s="77">
        <v>0</v>
      </c>
      <c r="V1107" s="77"/>
      <c r="W1107" s="77"/>
      <c r="X1107" s="80" t="str">
        <f>HYPERLINK("http://ow.ly/2Fx3KN")</f>
        <v>http://ow.ly/2Fx3KN</v>
      </c>
      <c r="Y1107" s="77" t="s">
        <v>2041</v>
      </c>
      <c r="Z1107" s="77"/>
      <c r="AA1107" s="77"/>
      <c r="AB1107" s="77"/>
      <c r="AC1107" s="81" t="s">
        <v>2744</v>
      </c>
      <c r="AD1107" s="77" t="s">
        <v>2751</v>
      </c>
      <c r="AE1107" s="80" t="str">
        <f>HYPERLINK("https://twitter.com/inovies/status/454174022222499840")</f>
        <v>https://twitter.com/inovies/status/454174022222499840</v>
      </c>
      <c r="AF1107" s="79">
        <v>41739.352997685186</v>
      </c>
      <c r="AG1107" s="85">
        <v>41739</v>
      </c>
      <c r="AH1107" s="81" t="s">
        <v>3677</v>
      </c>
      <c r="AI1107" s="77" t="b">
        <v>0</v>
      </c>
      <c r="AJ1107" s="77"/>
      <c r="AK1107" s="77"/>
      <c r="AL1107" s="77"/>
      <c r="AM1107" s="77"/>
      <c r="AN1107" s="77"/>
      <c r="AO1107" s="77"/>
      <c r="AP1107" s="77"/>
      <c r="AQ1107" s="77"/>
      <c r="AR1107" s="77"/>
      <c r="AS1107" s="77"/>
      <c r="AT1107" s="77"/>
      <c r="AU1107" s="77"/>
      <c r="AV1107" s="80" t="str">
        <f>HYPERLINK("https://pbs.twimg.com/profile_images/833576943677214720/5ZyUgpEJ_normal.jpg")</f>
        <v>https://pbs.twimg.com/profile_images/833576943677214720/5ZyUgpEJ_normal.jpg</v>
      </c>
      <c r="AW1107" s="81" t="s">
        <v>5450</v>
      </c>
      <c r="AX1107" s="81" t="s">
        <v>5450</v>
      </c>
      <c r="AY1107" s="77"/>
      <c r="AZ1107" s="81" t="s">
        <v>5773</v>
      </c>
      <c r="BA1107" s="81" t="s">
        <v>5773</v>
      </c>
      <c r="BB1107" s="81" t="s">
        <v>5773</v>
      </c>
      <c r="BC1107" s="81" t="s">
        <v>5450</v>
      </c>
      <c r="BD1107" s="77">
        <v>297885438</v>
      </c>
      <c r="BE1107" s="77"/>
      <c r="BF1107" s="77"/>
      <c r="BG1107" s="77"/>
      <c r="BH1107" s="77"/>
      <c r="BI1107" s="77"/>
    </row>
    <row r="1108" spans="1:61" ht="15">
      <c r="A1108" s="62" t="s">
        <v>299</v>
      </c>
      <c r="B1108" s="62" t="s">
        <v>299</v>
      </c>
      <c r="C1108" s="63"/>
      <c r="D1108" s="64"/>
      <c r="E1108" s="65"/>
      <c r="F1108" s="66"/>
      <c r="G1108" s="63"/>
      <c r="H1108" s="67"/>
      <c r="I1108" s="68"/>
      <c r="J1108" s="68"/>
      <c r="K1108" s="32" t="s">
        <v>65</v>
      </c>
      <c r="L1108" s="75">
        <v>1108</v>
      </c>
      <c r="M1108" s="75"/>
      <c r="N1108" s="70"/>
      <c r="O1108" s="77" t="s">
        <v>179</v>
      </c>
      <c r="P1108" s="79">
        <v>41725.584027777775</v>
      </c>
      <c r="Q1108" s="80" t="str">
        <f>HYPERLINK("http://t.co/3s5wXy542u")</f>
        <v>http://t.co/3s5wXy542u</v>
      </c>
      <c r="R1108" s="77">
        <v>0</v>
      </c>
      <c r="S1108" s="77">
        <v>0</v>
      </c>
      <c r="T1108" s="77">
        <v>0</v>
      </c>
      <c r="U1108" s="77">
        <v>0</v>
      </c>
      <c r="V1108" s="77"/>
      <c r="W1108" s="77"/>
      <c r="X1108" s="80" t="str">
        <f>HYPERLINK("http://www.inovies.com/inovies_news.php?id=15")</f>
        <v>http://www.inovies.com/inovies_news.php?id=15</v>
      </c>
      <c r="Y1108" s="77" t="s">
        <v>1982</v>
      </c>
      <c r="Z1108" s="77"/>
      <c r="AA1108" s="77"/>
      <c r="AB1108" s="77"/>
      <c r="AC1108" s="81" t="s">
        <v>2704</v>
      </c>
      <c r="AD1108" s="77" t="s">
        <v>2756</v>
      </c>
      <c r="AE1108" s="80" t="str">
        <f>HYPERLINK("https://twitter.com/inovies/status/449184313922564096")</f>
        <v>https://twitter.com/inovies/status/449184313922564096</v>
      </c>
      <c r="AF1108" s="79">
        <v>41725.584027777775</v>
      </c>
      <c r="AG1108" s="85">
        <v>41725</v>
      </c>
      <c r="AH1108" s="81" t="s">
        <v>3678</v>
      </c>
      <c r="AI1108" s="77" t="b">
        <v>0</v>
      </c>
      <c r="AJ1108" s="77"/>
      <c r="AK1108" s="77"/>
      <c r="AL1108" s="77"/>
      <c r="AM1108" s="77"/>
      <c r="AN1108" s="77"/>
      <c r="AO1108" s="77"/>
      <c r="AP1108" s="77"/>
      <c r="AQ1108" s="77"/>
      <c r="AR1108" s="77"/>
      <c r="AS1108" s="77"/>
      <c r="AT1108" s="77"/>
      <c r="AU1108" s="77"/>
      <c r="AV1108" s="80" t="str">
        <f>HYPERLINK("https://pbs.twimg.com/profile_images/833576943677214720/5ZyUgpEJ_normal.jpg")</f>
        <v>https://pbs.twimg.com/profile_images/833576943677214720/5ZyUgpEJ_normal.jpg</v>
      </c>
      <c r="AW1108" s="81" t="s">
        <v>5451</v>
      </c>
      <c r="AX1108" s="81" t="s">
        <v>5451</v>
      </c>
      <c r="AY1108" s="77"/>
      <c r="AZ1108" s="81" t="s">
        <v>5773</v>
      </c>
      <c r="BA1108" s="81" t="s">
        <v>5773</v>
      </c>
      <c r="BB1108" s="81" t="s">
        <v>5773</v>
      </c>
      <c r="BC1108" s="81" t="s">
        <v>5451</v>
      </c>
      <c r="BD1108" s="77">
        <v>297885438</v>
      </c>
      <c r="BE1108" s="77"/>
      <c r="BF1108" s="77"/>
      <c r="BG1108" s="77"/>
      <c r="BH1108" s="77"/>
      <c r="BI1108" s="77"/>
    </row>
    <row r="1109" spans="1:61" ht="15">
      <c r="A1109" s="62" t="s">
        <v>299</v>
      </c>
      <c r="B1109" s="62" t="s">
        <v>299</v>
      </c>
      <c r="C1109" s="63"/>
      <c r="D1109" s="64"/>
      <c r="E1109" s="65"/>
      <c r="F1109" s="66"/>
      <c r="G1109" s="63"/>
      <c r="H1109" s="67"/>
      <c r="I1109" s="68"/>
      <c r="J1109" s="68"/>
      <c r="K1109" s="32" t="s">
        <v>65</v>
      </c>
      <c r="L1109" s="75">
        <v>1109</v>
      </c>
      <c r="M1109" s="75"/>
      <c r="N1109" s="70"/>
      <c r="O1109" s="77" t="s">
        <v>571</v>
      </c>
      <c r="P1109" s="79">
        <v>41723.287939814814</v>
      </c>
      <c r="Q1109" s="77" t="s">
        <v>1489</v>
      </c>
      <c r="R1109" s="77">
        <v>0</v>
      </c>
      <c r="S1109" s="77">
        <v>0</v>
      </c>
      <c r="T1109" s="77">
        <v>0</v>
      </c>
      <c r="U1109" s="77">
        <v>0</v>
      </c>
      <c r="V1109" s="77"/>
      <c r="W1109" s="77"/>
      <c r="X1109" s="80" t="str">
        <f>HYPERLINK("http://inovies.com/inovies_news.php?id=14")</f>
        <v>http://inovies.com/inovies_news.php?id=14</v>
      </c>
      <c r="Y1109" s="77" t="s">
        <v>1982</v>
      </c>
      <c r="Z1109" s="77" t="s">
        <v>299</v>
      </c>
      <c r="AA1109" s="77"/>
      <c r="AB1109" s="77"/>
      <c r="AC1109" s="81" t="s">
        <v>2704</v>
      </c>
      <c r="AD1109" s="77" t="s">
        <v>2751</v>
      </c>
      <c r="AE1109" s="80" t="str">
        <f>HYPERLINK("https://twitter.com/inovies/status/448352240516857856")</f>
        <v>https://twitter.com/inovies/status/448352240516857856</v>
      </c>
      <c r="AF1109" s="79">
        <v>41723.287939814814</v>
      </c>
      <c r="AG1109" s="85">
        <v>41723</v>
      </c>
      <c r="AH1109" s="81" t="s">
        <v>3679</v>
      </c>
      <c r="AI1109" s="77" t="b">
        <v>0</v>
      </c>
      <c r="AJ1109" s="77"/>
      <c r="AK1109" s="77"/>
      <c r="AL1109" s="77"/>
      <c r="AM1109" s="77"/>
      <c r="AN1109" s="77"/>
      <c r="AO1109" s="77"/>
      <c r="AP1109" s="77"/>
      <c r="AQ1109" s="77"/>
      <c r="AR1109" s="77"/>
      <c r="AS1109" s="77"/>
      <c r="AT1109" s="77"/>
      <c r="AU1109" s="77"/>
      <c r="AV1109" s="80" t="str">
        <f>HYPERLINK("https://pbs.twimg.com/profile_images/833576943677214720/5ZyUgpEJ_normal.jpg")</f>
        <v>https://pbs.twimg.com/profile_images/833576943677214720/5ZyUgpEJ_normal.jpg</v>
      </c>
      <c r="AW1109" s="81" t="s">
        <v>5452</v>
      </c>
      <c r="AX1109" s="81" t="s">
        <v>5452</v>
      </c>
      <c r="AY1109" s="77"/>
      <c r="AZ1109" s="81" t="s">
        <v>5773</v>
      </c>
      <c r="BA1109" s="81" t="s">
        <v>5773</v>
      </c>
      <c r="BB1109" s="81" t="s">
        <v>5773</v>
      </c>
      <c r="BC1109" s="81" t="s">
        <v>5452</v>
      </c>
      <c r="BD1109" s="77">
        <v>297885438</v>
      </c>
      <c r="BE1109" s="77"/>
      <c r="BF1109" s="77"/>
      <c r="BG1109" s="77"/>
      <c r="BH1109" s="77"/>
      <c r="BI1109" s="77"/>
    </row>
    <row r="1110" spans="1:61" ht="15">
      <c r="A1110" s="62" t="s">
        <v>299</v>
      </c>
      <c r="B1110" s="62" t="s">
        <v>299</v>
      </c>
      <c r="C1110" s="63"/>
      <c r="D1110" s="64"/>
      <c r="E1110" s="65"/>
      <c r="F1110" s="66"/>
      <c r="G1110" s="63"/>
      <c r="H1110" s="67"/>
      <c r="I1110" s="68"/>
      <c r="J1110" s="68"/>
      <c r="K1110" s="32" t="s">
        <v>65</v>
      </c>
      <c r="L1110" s="75">
        <v>1110</v>
      </c>
      <c r="M1110" s="75"/>
      <c r="N1110" s="70"/>
      <c r="O1110" s="77" t="s">
        <v>179</v>
      </c>
      <c r="P1110" s="79">
        <v>41649.506064814814</v>
      </c>
      <c r="Q1110" s="77" t="s">
        <v>1490</v>
      </c>
      <c r="R1110" s="77">
        <v>0</v>
      </c>
      <c r="S1110" s="77">
        <v>1</v>
      </c>
      <c r="T1110" s="77">
        <v>0</v>
      </c>
      <c r="U1110" s="77">
        <v>0</v>
      </c>
      <c r="V1110" s="77"/>
      <c r="W1110" s="77"/>
      <c r="X1110" s="77"/>
      <c r="Y1110" s="77"/>
      <c r="Z1110" s="77"/>
      <c r="AA1110" s="77" t="s">
        <v>2537</v>
      </c>
      <c r="AB1110" s="77" t="s">
        <v>2696</v>
      </c>
      <c r="AC1110" s="81" t="s">
        <v>2704</v>
      </c>
      <c r="AD1110" s="77" t="s">
        <v>2760</v>
      </c>
      <c r="AE1110" s="80" t="str">
        <f>HYPERLINK("https://twitter.com/inovies/status/421614584039219201")</f>
        <v>https://twitter.com/inovies/status/421614584039219201</v>
      </c>
      <c r="AF1110" s="79">
        <v>41649.506064814814</v>
      </c>
      <c r="AG1110" s="85">
        <v>41649</v>
      </c>
      <c r="AH1110" s="81" t="s">
        <v>3680</v>
      </c>
      <c r="AI1110" s="77" t="b">
        <v>0</v>
      </c>
      <c r="AJ1110" s="77"/>
      <c r="AK1110" s="77"/>
      <c r="AL1110" s="77"/>
      <c r="AM1110" s="77"/>
      <c r="AN1110" s="77"/>
      <c r="AO1110" s="77"/>
      <c r="AP1110" s="77"/>
      <c r="AQ1110" s="77" t="s">
        <v>4351</v>
      </c>
      <c r="AR1110" s="77"/>
      <c r="AS1110" s="77"/>
      <c r="AT1110" s="77"/>
      <c r="AU1110" s="77"/>
      <c r="AV1110" s="80" t="str">
        <f>HYPERLINK("https://pbs.twimg.com/media/BdngOvEIMAA6Gtk.jpg")</f>
        <v>https://pbs.twimg.com/media/BdngOvEIMAA6Gtk.jpg</v>
      </c>
      <c r="AW1110" s="81" t="s">
        <v>5453</v>
      </c>
      <c r="AX1110" s="81" t="s">
        <v>5453</v>
      </c>
      <c r="AY1110" s="77"/>
      <c r="AZ1110" s="81" t="s">
        <v>5773</v>
      </c>
      <c r="BA1110" s="81" t="s">
        <v>5773</v>
      </c>
      <c r="BB1110" s="81" t="s">
        <v>5773</v>
      </c>
      <c r="BC1110" s="81" t="s">
        <v>5453</v>
      </c>
      <c r="BD1110" s="77">
        <v>297885438</v>
      </c>
      <c r="BE1110" s="77"/>
      <c r="BF1110" s="77"/>
      <c r="BG1110" s="77"/>
      <c r="BH1110" s="77"/>
      <c r="BI1110" s="77"/>
    </row>
    <row r="1111" spans="1:61" ht="15">
      <c r="A1111" s="62" t="s">
        <v>299</v>
      </c>
      <c r="B1111" s="62" t="s">
        <v>299</v>
      </c>
      <c r="C1111" s="63"/>
      <c r="D1111" s="64"/>
      <c r="E1111" s="65"/>
      <c r="F1111" s="66"/>
      <c r="G1111" s="63"/>
      <c r="H1111" s="67"/>
      <c r="I1111" s="68"/>
      <c r="J1111" s="68"/>
      <c r="K1111" s="32" t="s">
        <v>65</v>
      </c>
      <c r="L1111" s="75">
        <v>1111</v>
      </c>
      <c r="M1111" s="75"/>
      <c r="N1111" s="70"/>
      <c r="O1111" s="77" t="s">
        <v>179</v>
      </c>
      <c r="P1111" s="79">
        <v>41649.505266203705</v>
      </c>
      <c r="Q1111" s="80" t="str">
        <f>HYPERLINK("http://t.co/IzTmmjpEWb")</f>
        <v>http://t.co/IzTmmjpEWb</v>
      </c>
      <c r="R1111" s="77">
        <v>0</v>
      </c>
      <c r="S1111" s="77">
        <v>1</v>
      </c>
      <c r="T1111" s="77">
        <v>0</v>
      </c>
      <c r="U1111" s="77">
        <v>0</v>
      </c>
      <c r="V1111" s="77"/>
      <c r="W1111" s="77"/>
      <c r="X1111" s="77"/>
      <c r="Y1111" s="77"/>
      <c r="Z1111" s="77"/>
      <c r="AA1111" s="77" t="s">
        <v>2538</v>
      </c>
      <c r="AB1111" s="77" t="s">
        <v>2696</v>
      </c>
      <c r="AC1111" s="81" t="s">
        <v>2704</v>
      </c>
      <c r="AD1111" s="77" t="s">
        <v>2756</v>
      </c>
      <c r="AE1111" s="80" t="str">
        <f>HYPERLINK("https://twitter.com/inovies/status/421614295148138496")</f>
        <v>https://twitter.com/inovies/status/421614295148138496</v>
      </c>
      <c r="AF1111" s="79">
        <v>41649.505266203705</v>
      </c>
      <c r="AG1111" s="85">
        <v>41649</v>
      </c>
      <c r="AH1111" s="81" t="s">
        <v>3681</v>
      </c>
      <c r="AI1111" s="77" t="b">
        <v>0</v>
      </c>
      <c r="AJ1111" s="77"/>
      <c r="AK1111" s="77"/>
      <c r="AL1111" s="77"/>
      <c r="AM1111" s="77"/>
      <c r="AN1111" s="77"/>
      <c r="AO1111" s="77"/>
      <c r="AP1111" s="77"/>
      <c r="AQ1111" s="77" t="s">
        <v>4352</v>
      </c>
      <c r="AR1111" s="77"/>
      <c r="AS1111" s="77"/>
      <c r="AT1111" s="77"/>
      <c r="AU1111" s="77"/>
      <c r="AV1111" s="80" t="str">
        <f>HYPERLINK("https://pbs.twimg.com/media/Bdnf966IIAASKWx.jpg")</f>
        <v>https://pbs.twimg.com/media/Bdnf966IIAASKWx.jpg</v>
      </c>
      <c r="AW1111" s="81" t="s">
        <v>5454</v>
      </c>
      <c r="AX1111" s="81" t="s">
        <v>5454</v>
      </c>
      <c r="AY1111" s="77"/>
      <c r="AZ1111" s="81" t="s">
        <v>5773</v>
      </c>
      <c r="BA1111" s="81" t="s">
        <v>5773</v>
      </c>
      <c r="BB1111" s="81" t="s">
        <v>5773</v>
      </c>
      <c r="BC1111" s="81" t="s">
        <v>5454</v>
      </c>
      <c r="BD1111" s="77">
        <v>297885438</v>
      </c>
      <c r="BE1111" s="77"/>
      <c r="BF1111" s="77"/>
      <c r="BG1111" s="77"/>
      <c r="BH1111" s="77"/>
      <c r="BI1111" s="77"/>
    </row>
    <row r="1112" spans="1:61" ht="15">
      <c r="A1112" s="62" t="s">
        <v>299</v>
      </c>
      <c r="B1112" s="62" t="s">
        <v>299</v>
      </c>
      <c r="C1112" s="63"/>
      <c r="D1112" s="64"/>
      <c r="E1112" s="65"/>
      <c r="F1112" s="66"/>
      <c r="G1112" s="63"/>
      <c r="H1112" s="67"/>
      <c r="I1112" s="68"/>
      <c r="J1112" s="68"/>
      <c r="K1112" s="32" t="s">
        <v>65</v>
      </c>
      <c r="L1112" s="75">
        <v>1112</v>
      </c>
      <c r="M1112" s="75"/>
      <c r="N1112" s="70"/>
      <c r="O1112" s="77" t="s">
        <v>179</v>
      </c>
      <c r="P1112" s="79">
        <v>45281.826215277775</v>
      </c>
      <c r="Q1112" s="77" t="s">
        <v>1491</v>
      </c>
      <c r="R1112" s="77">
        <v>0</v>
      </c>
      <c r="S1112" s="77">
        <v>1</v>
      </c>
      <c r="T1112" s="77">
        <v>0</v>
      </c>
      <c r="U1112" s="77">
        <v>0</v>
      </c>
      <c r="V1112" s="77">
        <v>9</v>
      </c>
      <c r="W1112" s="81" t="s">
        <v>1935</v>
      </c>
      <c r="X1112" s="80" t="str">
        <f>HYPERLINK("https://inovies.com/digital-marketing/")</f>
        <v>https://inovies.com/digital-marketing/</v>
      </c>
      <c r="Y1112" s="77" t="s">
        <v>1982</v>
      </c>
      <c r="Z1112" s="77"/>
      <c r="AA1112" s="77" t="s">
        <v>2539</v>
      </c>
      <c r="AB1112" s="77" t="s">
        <v>2696</v>
      </c>
      <c r="AC1112" s="81" t="s">
        <v>2707</v>
      </c>
      <c r="AD1112" s="77" t="s">
        <v>2751</v>
      </c>
      <c r="AE1112" s="80" t="str">
        <f>HYPERLINK("https://twitter.com/inovies/status/1737923329325945055")</f>
        <v>https://twitter.com/inovies/status/1737923329325945055</v>
      </c>
      <c r="AF1112" s="79">
        <v>45281.826215277775</v>
      </c>
      <c r="AG1112" s="85">
        <v>45281</v>
      </c>
      <c r="AH1112" s="81" t="s">
        <v>3682</v>
      </c>
      <c r="AI1112" s="77" t="b">
        <v>0</v>
      </c>
      <c r="AJ1112" s="77"/>
      <c r="AK1112" s="77"/>
      <c r="AL1112" s="77"/>
      <c r="AM1112" s="77"/>
      <c r="AN1112" s="77"/>
      <c r="AO1112" s="77"/>
      <c r="AP1112" s="77"/>
      <c r="AQ1112" s="77" t="s">
        <v>4353</v>
      </c>
      <c r="AR1112" s="77"/>
      <c r="AS1112" s="77"/>
      <c r="AT1112" s="77"/>
      <c r="AU1112" s="77"/>
      <c r="AV1112" s="80" t="str">
        <f>HYPERLINK("https://pbs.twimg.com/media/GB5YDC_XQAEFzgw.jpg")</f>
        <v>https://pbs.twimg.com/media/GB5YDC_XQAEFzgw.jpg</v>
      </c>
      <c r="AW1112" s="81" t="s">
        <v>5455</v>
      </c>
      <c r="AX1112" s="81" t="s">
        <v>5455</v>
      </c>
      <c r="AY1112" s="77"/>
      <c r="AZ1112" s="81" t="s">
        <v>5773</v>
      </c>
      <c r="BA1112" s="81" t="s">
        <v>5773</v>
      </c>
      <c r="BB1112" s="81" t="s">
        <v>5773</v>
      </c>
      <c r="BC1112" s="81" t="s">
        <v>5455</v>
      </c>
      <c r="BD1112" s="77">
        <v>297885438</v>
      </c>
      <c r="BE1112" s="77"/>
      <c r="BF1112" s="77"/>
      <c r="BG1112" s="77"/>
      <c r="BH1112" s="77"/>
      <c r="BI1112" s="77"/>
    </row>
    <row r="1113" spans="1:61" ht="15">
      <c r="A1113" s="62" t="s">
        <v>299</v>
      </c>
      <c r="B1113" s="62" t="s">
        <v>299</v>
      </c>
      <c r="C1113" s="63"/>
      <c r="D1113" s="64"/>
      <c r="E1113" s="65"/>
      <c r="F1113" s="66"/>
      <c r="G1113" s="63"/>
      <c r="H1113" s="67"/>
      <c r="I1113" s="68"/>
      <c r="J1113" s="68"/>
      <c r="K1113" s="32" t="s">
        <v>65</v>
      </c>
      <c r="L1113" s="75">
        <v>1113</v>
      </c>
      <c r="M1113" s="75"/>
      <c r="N1113" s="70"/>
      <c r="O1113" s="77" t="s">
        <v>179</v>
      </c>
      <c r="P1113" s="79">
        <v>45280.81452546296</v>
      </c>
      <c r="Q1113" s="77" t="s">
        <v>1492</v>
      </c>
      <c r="R1113" s="77">
        <v>0</v>
      </c>
      <c r="S1113" s="77">
        <v>0</v>
      </c>
      <c r="T1113" s="77">
        <v>0</v>
      </c>
      <c r="U1113" s="77">
        <v>0</v>
      </c>
      <c r="V1113" s="77">
        <v>36</v>
      </c>
      <c r="W1113" s="81" t="s">
        <v>1936</v>
      </c>
      <c r="X1113" s="77"/>
      <c r="Y1113" s="77"/>
      <c r="Z1113" s="77"/>
      <c r="AA1113" s="77" t="s">
        <v>2540</v>
      </c>
      <c r="AB1113" s="77" t="s">
        <v>2695</v>
      </c>
      <c r="AC1113" s="81" t="s">
        <v>2707</v>
      </c>
      <c r="AD1113" s="77" t="s">
        <v>2751</v>
      </c>
      <c r="AE1113" s="80" t="str">
        <f>HYPERLINK("https://twitter.com/inovies/status/1737556707340165619")</f>
        <v>https://twitter.com/inovies/status/1737556707340165619</v>
      </c>
      <c r="AF1113" s="79">
        <v>45280.81452546296</v>
      </c>
      <c r="AG1113" s="85">
        <v>45280</v>
      </c>
      <c r="AH1113" s="81" t="s">
        <v>3683</v>
      </c>
      <c r="AI1113" s="77" t="b">
        <v>0</v>
      </c>
      <c r="AJ1113" s="77"/>
      <c r="AK1113" s="77"/>
      <c r="AL1113" s="77"/>
      <c r="AM1113" s="77"/>
      <c r="AN1113" s="77"/>
      <c r="AO1113" s="77"/>
      <c r="AP1113" s="77"/>
      <c r="AQ1113" s="77" t="s">
        <v>4354</v>
      </c>
      <c r="AR1113" s="77">
        <v>24400</v>
      </c>
      <c r="AS1113" s="77"/>
      <c r="AT1113" s="77"/>
      <c r="AU1113" s="77"/>
      <c r="AV1113" s="80" t="str">
        <f>HYPERLINK("https://pbs.twimg.com/ext_tw_video_thumb/1737556613408362496/pu/img/9bHsX8_iCDbxJMAv.jpg")</f>
        <v>https://pbs.twimg.com/ext_tw_video_thumb/1737556613408362496/pu/img/9bHsX8_iCDbxJMAv.jpg</v>
      </c>
      <c r="AW1113" s="81" t="s">
        <v>5456</v>
      </c>
      <c r="AX1113" s="81" t="s">
        <v>5456</v>
      </c>
      <c r="AY1113" s="77"/>
      <c r="AZ1113" s="81" t="s">
        <v>5773</v>
      </c>
      <c r="BA1113" s="81" t="s">
        <v>5773</v>
      </c>
      <c r="BB1113" s="81" t="s">
        <v>5773</v>
      </c>
      <c r="BC1113" s="81" t="s">
        <v>5456</v>
      </c>
      <c r="BD1113" s="77">
        <v>297885438</v>
      </c>
      <c r="BE1113" s="77"/>
      <c r="BF1113" s="77"/>
      <c r="BG1113" s="77"/>
      <c r="BH1113" s="77"/>
      <c r="BI1113" s="77"/>
    </row>
    <row r="1114" spans="1:61" ht="15">
      <c r="A1114" s="62" t="s">
        <v>299</v>
      </c>
      <c r="B1114" s="62" t="s">
        <v>299</v>
      </c>
      <c r="C1114" s="63"/>
      <c r="D1114" s="64"/>
      <c r="E1114" s="65"/>
      <c r="F1114" s="66"/>
      <c r="G1114" s="63"/>
      <c r="H1114" s="67"/>
      <c r="I1114" s="68"/>
      <c r="J1114" s="68"/>
      <c r="K1114" s="32" t="s">
        <v>65</v>
      </c>
      <c r="L1114" s="75">
        <v>1114</v>
      </c>
      <c r="M1114" s="75"/>
      <c r="N1114" s="70"/>
      <c r="O1114" s="77" t="s">
        <v>179</v>
      </c>
      <c r="P1114" s="79">
        <v>45279.0334375</v>
      </c>
      <c r="Q1114" s="77" t="s">
        <v>1493</v>
      </c>
      <c r="R1114" s="77">
        <v>0</v>
      </c>
      <c r="S1114" s="77">
        <v>0</v>
      </c>
      <c r="T1114" s="77">
        <v>0</v>
      </c>
      <c r="U1114" s="77">
        <v>0</v>
      </c>
      <c r="V1114" s="77">
        <v>121</v>
      </c>
      <c r="W1114" s="81" t="s">
        <v>1937</v>
      </c>
      <c r="X1114" s="77"/>
      <c r="Y1114" s="77"/>
      <c r="Z1114" s="77"/>
      <c r="AA1114" s="77" t="s">
        <v>2541</v>
      </c>
      <c r="AB1114" s="77" t="s">
        <v>2696</v>
      </c>
      <c r="AC1114" s="81" t="s">
        <v>2707</v>
      </c>
      <c r="AD1114" s="77" t="s">
        <v>2751</v>
      </c>
      <c r="AE1114" s="80" t="str">
        <f>HYPERLINK("https://twitter.com/inovies/status/1736911262431256984")</f>
        <v>https://twitter.com/inovies/status/1736911262431256984</v>
      </c>
      <c r="AF1114" s="79">
        <v>45279.0334375</v>
      </c>
      <c r="AG1114" s="85">
        <v>45279</v>
      </c>
      <c r="AH1114" s="81" t="s">
        <v>3684</v>
      </c>
      <c r="AI1114" s="77" t="b">
        <v>0</v>
      </c>
      <c r="AJ1114" s="77"/>
      <c r="AK1114" s="77"/>
      <c r="AL1114" s="77"/>
      <c r="AM1114" s="77"/>
      <c r="AN1114" s="77"/>
      <c r="AO1114" s="77"/>
      <c r="AP1114" s="77"/>
      <c r="AQ1114" s="77" t="s">
        <v>4355</v>
      </c>
      <c r="AR1114" s="77"/>
      <c r="AS1114" s="77"/>
      <c r="AT1114" s="77"/>
      <c r="AU1114" s="77"/>
      <c r="AV1114" s="80" t="str">
        <f>HYPERLINK("https://pbs.twimg.com/media/GBq_TMfWcAAl7Bb.jpg")</f>
        <v>https://pbs.twimg.com/media/GBq_TMfWcAAl7Bb.jpg</v>
      </c>
      <c r="AW1114" s="81" t="s">
        <v>5457</v>
      </c>
      <c r="AX1114" s="81" t="s">
        <v>5457</v>
      </c>
      <c r="AY1114" s="77"/>
      <c r="AZ1114" s="81" t="s">
        <v>5773</v>
      </c>
      <c r="BA1114" s="81" t="s">
        <v>5773</v>
      </c>
      <c r="BB1114" s="81" t="s">
        <v>5773</v>
      </c>
      <c r="BC1114" s="81" t="s">
        <v>5457</v>
      </c>
      <c r="BD1114" s="77">
        <v>297885438</v>
      </c>
      <c r="BE1114" s="77"/>
      <c r="BF1114" s="77"/>
      <c r="BG1114" s="77"/>
      <c r="BH1114" s="77"/>
      <c r="BI1114" s="77"/>
    </row>
    <row r="1115" spans="1:61" ht="15">
      <c r="A1115" s="62" t="s">
        <v>299</v>
      </c>
      <c r="B1115" s="62" t="s">
        <v>299</v>
      </c>
      <c r="C1115" s="63"/>
      <c r="D1115" s="64"/>
      <c r="E1115" s="65"/>
      <c r="F1115" s="66"/>
      <c r="G1115" s="63"/>
      <c r="H1115" s="67"/>
      <c r="I1115" s="68"/>
      <c r="J1115" s="68"/>
      <c r="K1115" s="32" t="s">
        <v>65</v>
      </c>
      <c r="L1115" s="75">
        <v>1115</v>
      </c>
      <c r="M1115" s="75"/>
      <c r="N1115" s="70"/>
      <c r="O1115" s="77" t="s">
        <v>572</v>
      </c>
      <c r="P1115" s="79">
        <v>45278.10820601852</v>
      </c>
      <c r="Q1115" s="77" t="s">
        <v>1494</v>
      </c>
      <c r="R1115" s="77">
        <v>1</v>
      </c>
      <c r="S1115" s="77">
        <v>1</v>
      </c>
      <c r="T1115" s="77">
        <v>0</v>
      </c>
      <c r="U1115" s="77">
        <v>0</v>
      </c>
      <c r="V1115" s="77">
        <v>688</v>
      </c>
      <c r="W1115" s="81" t="s">
        <v>1726</v>
      </c>
      <c r="X1115" s="80" t="str">
        <f>HYPERLINK("https://www.inovies.com/digital-marketing/")</f>
        <v>https://www.inovies.com/digital-marketing/</v>
      </c>
      <c r="Y1115" s="77" t="s">
        <v>1982</v>
      </c>
      <c r="Z1115" s="77"/>
      <c r="AA1115" s="77" t="s">
        <v>2111</v>
      </c>
      <c r="AB1115" s="77" t="s">
        <v>2696</v>
      </c>
      <c r="AC1115" s="81" t="s">
        <v>2707</v>
      </c>
      <c r="AD1115" s="77" t="s">
        <v>2751</v>
      </c>
      <c r="AE1115" s="80" t="str">
        <f>HYPERLINK("https://twitter.com/inovies/status/1736575969379389870")</f>
        <v>https://twitter.com/inovies/status/1736575969379389870</v>
      </c>
      <c r="AF1115" s="79">
        <v>45278.10820601852</v>
      </c>
      <c r="AG1115" s="85">
        <v>45278</v>
      </c>
      <c r="AH1115" s="81" t="s">
        <v>3685</v>
      </c>
      <c r="AI1115" s="77" t="b">
        <v>0</v>
      </c>
      <c r="AJ1115" s="77"/>
      <c r="AK1115" s="77"/>
      <c r="AL1115" s="77"/>
      <c r="AM1115" s="77"/>
      <c r="AN1115" s="77"/>
      <c r="AO1115" s="77"/>
      <c r="AP1115" s="77"/>
      <c r="AQ1115" s="77" t="s">
        <v>3929</v>
      </c>
      <c r="AR1115" s="77"/>
      <c r="AS1115" s="77"/>
      <c r="AT1115" s="77"/>
      <c r="AU1115" s="77"/>
      <c r="AV1115" s="80" t="str">
        <f>HYPERLINK("https://pbs.twimg.com/media/GBmOQ42XAAEEFLW.jpg")</f>
        <v>https://pbs.twimg.com/media/GBmOQ42XAAEEFLW.jpg</v>
      </c>
      <c r="AW1115" s="81" t="s">
        <v>5458</v>
      </c>
      <c r="AX1115" s="81" t="s">
        <v>5264</v>
      </c>
      <c r="AY1115" s="81" t="s">
        <v>5721</v>
      </c>
      <c r="AZ1115" s="81" t="s">
        <v>5264</v>
      </c>
      <c r="BA1115" s="81" t="s">
        <v>5773</v>
      </c>
      <c r="BB1115" s="81" t="s">
        <v>5773</v>
      </c>
      <c r="BC1115" s="81" t="s">
        <v>5264</v>
      </c>
      <c r="BD1115" s="77">
        <v>297885438</v>
      </c>
      <c r="BE1115" s="77"/>
      <c r="BF1115" s="77"/>
      <c r="BG1115" s="77"/>
      <c r="BH1115" s="77"/>
      <c r="BI1115" s="77"/>
    </row>
    <row r="1116" spans="1:61" ht="15">
      <c r="A1116" s="62" t="s">
        <v>299</v>
      </c>
      <c r="B1116" s="62" t="s">
        <v>299</v>
      </c>
      <c r="C1116" s="63"/>
      <c r="D1116" s="64"/>
      <c r="E1116" s="65"/>
      <c r="F1116" s="66"/>
      <c r="G1116" s="63"/>
      <c r="H1116" s="67"/>
      <c r="I1116" s="68"/>
      <c r="J1116" s="68"/>
      <c r="K1116" s="32" t="s">
        <v>65</v>
      </c>
      <c r="L1116" s="75">
        <v>1116</v>
      </c>
      <c r="M1116" s="75"/>
      <c r="N1116" s="70"/>
      <c r="O1116" s="77" t="s">
        <v>179</v>
      </c>
      <c r="P1116" s="79">
        <v>45277.99037037037</v>
      </c>
      <c r="Q1116" s="77" t="s">
        <v>1495</v>
      </c>
      <c r="R1116" s="77">
        <v>0</v>
      </c>
      <c r="S1116" s="77">
        <v>0</v>
      </c>
      <c r="T1116" s="77">
        <v>0</v>
      </c>
      <c r="U1116" s="77">
        <v>0</v>
      </c>
      <c r="V1116" s="77">
        <v>88</v>
      </c>
      <c r="W1116" s="81" t="s">
        <v>1938</v>
      </c>
      <c r="X1116" s="80" t="str">
        <f>HYPERLINK("https://www.inovies.com/digital-marketing/")</f>
        <v>https://www.inovies.com/digital-marketing/</v>
      </c>
      <c r="Y1116" s="77" t="s">
        <v>1982</v>
      </c>
      <c r="Z1116" s="77"/>
      <c r="AA1116" s="77" t="s">
        <v>2542</v>
      </c>
      <c r="AB1116" s="77" t="s">
        <v>2698</v>
      </c>
      <c r="AC1116" s="81" t="s">
        <v>2707</v>
      </c>
      <c r="AD1116" s="77" t="s">
        <v>2751</v>
      </c>
      <c r="AE1116" s="80" t="str">
        <f>HYPERLINK("https://twitter.com/inovies/status/1736533265396220019")</f>
        <v>https://twitter.com/inovies/status/1736533265396220019</v>
      </c>
      <c r="AF1116" s="79">
        <v>45277.99037037037</v>
      </c>
      <c r="AG1116" s="85">
        <v>45277</v>
      </c>
      <c r="AH1116" s="81" t="s">
        <v>3686</v>
      </c>
      <c r="AI1116" s="77" t="b">
        <v>0</v>
      </c>
      <c r="AJ1116" s="77"/>
      <c r="AK1116" s="77"/>
      <c r="AL1116" s="77"/>
      <c r="AM1116" s="77"/>
      <c r="AN1116" s="77"/>
      <c r="AO1116" s="77"/>
      <c r="AP1116" s="77"/>
      <c r="AQ1116" s="77" t="s">
        <v>4356</v>
      </c>
      <c r="AR1116" s="77"/>
      <c r="AS1116" s="77"/>
      <c r="AT1116" s="77"/>
      <c r="AU1116" s="77"/>
      <c r="AV1116" s="80" t="str">
        <f>HYPERLINK("https://pbs.twimg.com/tweet_video_thumb/GBlny6SW8AApm1_.jpg")</f>
        <v>https://pbs.twimg.com/tweet_video_thumb/GBlny6SW8AApm1_.jpg</v>
      </c>
      <c r="AW1116" s="81" t="s">
        <v>5459</v>
      </c>
      <c r="AX1116" s="81" t="s">
        <v>5459</v>
      </c>
      <c r="AY1116" s="77"/>
      <c r="AZ1116" s="81" t="s">
        <v>5773</v>
      </c>
      <c r="BA1116" s="81" t="s">
        <v>5773</v>
      </c>
      <c r="BB1116" s="81" t="s">
        <v>5773</v>
      </c>
      <c r="BC1116" s="81" t="s">
        <v>5459</v>
      </c>
      <c r="BD1116" s="77">
        <v>297885438</v>
      </c>
      <c r="BE1116" s="77"/>
      <c r="BF1116" s="77"/>
      <c r="BG1116" s="77"/>
      <c r="BH1116" s="77"/>
      <c r="BI1116" s="77"/>
    </row>
    <row r="1117" spans="1:61" ht="15">
      <c r="A1117" s="62" t="s">
        <v>299</v>
      </c>
      <c r="B1117" s="62" t="s">
        <v>299</v>
      </c>
      <c r="C1117" s="63"/>
      <c r="D1117" s="64"/>
      <c r="E1117" s="65"/>
      <c r="F1117" s="66"/>
      <c r="G1117" s="63"/>
      <c r="H1117" s="67"/>
      <c r="I1117" s="68"/>
      <c r="J1117" s="68"/>
      <c r="K1117" s="32" t="s">
        <v>65</v>
      </c>
      <c r="L1117" s="75">
        <v>1117</v>
      </c>
      <c r="M1117" s="75"/>
      <c r="N1117" s="70"/>
      <c r="O1117" s="77" t="s">
        <v>179</v>
      </c>
      <c r="P1117" s="79">
        <v>45272.452372685184</v>
      </c>
      <c r="Q1117" s="77" t="s">
        <v>1496</v>
      </c>
      <c r="R1117" s="77">
        <v>0</v>
      </c>
      <c r="S1117" s="77">
        <v>0</v>
      </c>
      <c r="T1117" s="77">
        <v>0</v>
      </c>
      <c r="U1117" s="77">
        <v>0</v>
      </c>
      <c r="V1117" s="77">
        <v>6</v>
      </c>
      <c r="W1117" s="81" t="s">
        <v>1888</v>
      </c>
      <c r="X1117" s="80" t="str">
        <f>HYPERLINK("https://www.inovies.com/digital-marketing/")</f>
        <v>https://www.inovies.com/digital-marketing/</v>
      </c>
      <c r="Y1117" s="77" t="s">
        <v>1982</v>
      </c>
      <c r="Z1117" s="77"/>
      <c r="AA1117" s="77" t="s">
        <v>2543</v>
      </c>
      <c r="AB1117" s="77" t="s">
        <v>2698</v>
      </c>
      <c r="AC1117" s="81" t="s">
        <v>2707</v>
      </c>
      <c r="AD1117" s="77" t="s">
        <v>2752</v>
      </c>
      <c r="AE1117" s="80" t="str">
        <f>HYPERLINK("https://twitter.com/inovies/status/1734526363615494253")</f>
        <v>https://twitter.com/inovies/status/1734526363615494253</v>
      </c>
      <c r="AF1117" s="79">
        <v>45272.452372685184</v>
      </c>
      <c r="AG1117" s="85">
        <v>45272</v>
      </c>
      <c r="AH1117" s="81" t="s">
        <v>3687</v>
      </c>
      <c r="AI1117" s="77" t="b">
        <v>0</v>
      </c>
      <c r="AJ1117" s="77"/>
      <c r="AK1117" s="77"/>
      <c r="AL1117" s="77"/>
      <c r="AM1117" s="77"/>
      <c r="AN1117" s="77"/>
      <c r="AO1117" s="77"/>
      <c r="AP1117" s="77"/>
      <c r="AQ1117" s="77" t="s">
        <v>4357</v>
      </c>
      <c r="AR1117" s="77"/>
      <c r="AS1117" s="77"/>
      <c r="AT1117" s="77"/>
      <c r="AU1117" s="77"/>
      <c r="AV1117" s="80" t="str">
        <f>HYPERLINK("https://pbs.twimg.com/tweet_video_thumb/GBJGhTebAAACTLL.jpg")</f>
        <v>https://pbs.twimg.com/tweet_video_thumb/GBJGhTebAAACTLL.jpg</v>
      </c>
      <c r="AW1117" s="81" t="s">
        <v>5460</v>
      </c>
      <c r="AX1117" s="81" t="s">
        <v>5460</v>
      </c>
      <c r="AY1117" s="77"/>
      <c r="AZ1117" s="81" t="s">
        <v>5773</v>
      </c>
      <c r="BA1117" s="81" t="s">
        <v>5773</v>
      </c>
      <c r="BB1117" s="81" t="s">
        <v>5773</v>
      </c>
      <c r="BC1117" s="81" t="s">
        <v>5460</v>
      </c>
      <c r="BD1117" s="77">
        <v>297885438</v>
      </c>
      <c r="BE1117" s="77"/>
      <c r="BF1117" s="77"/>
      <c r="BG1117" s="77"/>
      <c r="BH1117" s="77"/>
      <c r="BI1117" s="77"/>
    </row>
    <row r="1118" spans="1:61" ht="15">
      <c r="A1118" s="62" t="s">
        <v>299</v>
      </c>
      <c r="B1118" s="62" t="s">
        <v>299</v>
      </c>
      <c r="C1118" s="63"/>
      <c r="D1118" s="64"/>
      <c r="E1118" s="65"/>
      <c r="F1118" s="66"/>
      <c r="G1118" s="63"/>
      <c r="H1118" s="67"/>
      <c r="I1118" s="68"/>
      <c r="J1118" s="68"/>
      <c r="K1118" s="32" t="s">
        <v>65</v>
      </c>
      <c r="L1118" s="75">
        <v>1118</v>
      </c>
      <c r="M1118" s="75"/>
      <c r="N1118" s="70"/>
      <c r="O1118" s="77" t="s">
        <v>179</v>
      </c>
      <c r="P1118" s="79">
        <v>45272.45214120371</v>
      </c>
      <c r="Q1118" s="77" t="s">
        <v>1497</v>
      </c>
      <c r="R1118" s="77">
        <v>0</v>
      </c>
      <c r="S1118" s="77">
        <v>0</v>
      </c>
      <c r="T1118" s="77">
        <v>0</v>
      </c>
      <c r="U1118" s="77">
        <v>0</v>
      </c>
      <c r="V1118" s="77">
        <v>5</v>
      </c>
      <c r="W1118" s="81" t="s">
        <v>1888</v>
      </c>
      <c r="X1118" s="80" t="str">
        <f>HYPERLINK("https://www.inovies.com/digital-marketing/")</f>
        <v>https://www.inovies.com/digital-marketing/</v>
      </c>
      <c r="Y1118" s="77" t="s">
        <v>1982</v>
      </c>
      <c r="Z1118" s="77"/>
      <c r="AA1118" s="77" t="s">
        <v>2544</v>
      </c>
      <c r="AB1118" s="77" t="s">
        <v>2698</v>
      </c>
      <c r="AC1118" s="81" t="s">
        <v>2707</v>
      </c>
      <c r="AD1118" s="77" t="s">
        <v>2752</v>
      </c>
      <c r="AE1118" s="80" t="str">
        <f>HYPERLINK("https://twitter.com/inovies/status/1734526281050681795")</f>
        <v>https://twitter.com/inovies/status/1734526281050681795</v>
      </c>
      <c r="AF1118" s="79">
        <v>45272.45214120371</v>
      </c>
      <c r="AG1118" s="85">
        <v>45272</v>
      </c>
      <c r="AH1118" s="81" t="s">
        <v>3688</v>
      </c>
      <c r="AI1118" s="77" t="b">
        <v>0</v>
      </c>
      <c r="AJ1118" s="77"/>
      <c r="AK1118" s="77"/>
      <c r="AL1118" s="77"/>
      <c r="AM1118" s="77"/>
      <c r="AN1118" s="77"/>
      <c r="AO1118" s="77"/>
      <c r="AP1118" s="77"/>
      <c r="AQ1118" s="77" t="s">
        <v>4358</v>
      </c>
      <c r="AR1118" s="77"/>
      <c r="AS1118" s="77"/>
      <c r="AT1118" s="77"/>
      <c r="AU1118" s="77"/>
      <c r="AV1118" s="80" t="str">
        <f>HYPERLINK("https://pbs.twimg.com/tweet_video_thumb/GBJGdHQaUAAcuFB.jpg")</f>
        <v>https://pbs.twimg.com/tweet_video_thumb/GBJGdHQaUAAcuFB.jpg</v>
      </c>
      <c r="AW1118" s="81" t="s">
        <v>5461</v>
      </c>
      <c r="AX1118" s="81" t="s">
        <v>5461</v>
      </c>
      <c r="AY1118" s="77"/>
      <c r="AZ1118" s="81" t="s">
        <v>5773</v>
      </c>
      <c r="BA1118" s="81" t="s">
        <v>5773</v>
      </c>
      <c r="BB1118" s="81" t="s">
        <v>5773</v>
      </c>
      <c r="BC1118" s="81" t="s">
        <v>5461</v>
      </c>
      <c r="BD1118" s="77">
        <v>297885438</v>
      </c>
      <c r="BE1118" s="77"/>
      <c r="BF1118" s="77"/>
      <c r="BG1118" s="77"/>
      <c r="BH1118" s="77"/>
      <c r="BI1118" s="77"/>
    </row>
    <row r="1119" spans="1:61" ht="15">
      <c r="A1119" s="62" t="s">
        <v>299</v>
      </c>
      <c r="B1119" s="62" t="s">
        <v>299</v>
      </c>
      <c r="C1119" s="63"/>
      <c r="D1119" s="64"/>
      <c r="E1119" s="65"/>
      <c r="F1119" s="66"/>
      <c r="G1119" s="63"/>
      <c r="H1119" s="67"/>
      <c r="I1119" s="68"/>
      <c r="J1119" s="68"/>
      <c r="K1119" s="32" t="s">
        <v>65</v>
      </c>
      <c r="L1119" s="75">
        <v>1119</v>
      </c>
      <c r="M1119" s="75"/>
      <c r="N1119" s="70"/>
      <c r="O1119" s="77" t="s">
        <v>179</v>
      </c>
      <c r="P1119" s="79">
        <v>45272.44863425926</v>
      </c>
      <c r="Q1119" s="77" t="s">
        <v>1498</v>
      </c>
      <c r="R1119" s="77">
        <v>0</v>
      </c>
      <c r="S1119" s="77">
        <v>0</v>
      </c>
      <c r="T1119" s="77">
        <v>0</v>
      </c>
      <c r="U1119" s="77">
        <v>0</v>
      </c>
      <c r="V1119" s="77">
        <v>6</v>
      </c>
      <c r="W1119" s="81" t="s">
        <v>1888</v>
      </c>
      <c r="X1119" s="80" t="str">
        <f>HYPERLINK("https://www.inovies.com/digital-marketing/")</f>
        <v>https://www.inovies.com/digital-marketing/</v>
      </c>
      <c r="Y1119" s="77" t="s">
        <v>1982</v>
      </c>
      <c r="Z1119" s="77"/>
      <c r="AA1119" s="77" t="s">
        <v>2545</v>
      </c>
      <c r="AB1119" s="77" t="s">
        <v>2698</v>
      </c>
      <c r="AC1119" s="81" t="s">
        <v>2707</v>
      </c>
      <c r="AD1119" s="77" t="s">
        <v>2752</v>
      </c>
      <c r="AE1119" s="80" t="str">
        <f>HYPERLINK("https://twitter.com/inovies/status/1734525009790747016")</f>
        <v>https://twitter.com/inovies/status/1734525009790747016</v>
      </c>
      <c r="AF1119" s="79">
        <v>45272.44863425926</v>
      </c>
      <c r="AG1119" s="85">
        <v>45272</v>
      </c>
      <c r="AH1119" s="81" t="s">
        <v>3689</v>
      </c>
      <c r="AI1119" s="77" t="b">
        <v>0</v>
      </c>
      <c r="AJ1119" s="77"/>
      <c r="AK1119" s="77"/>
      <c r="AL1119" s="77"/>
      <c r="AM1119" s="77"/>
      <c r="AN1119" s="77"/>
      <c r="AO1119" s="77"/>
      <c r="AP1119" s="77"/>
      <c r="AQ1119" s="77" t="s">
        <v>4359</v>
      </c>
      <c r="AR1119" s="77"/>
      <c r="AS1119" s="77"/>
      <c r="AT1119" s="77"/>
      <c r="AU1119" s="77"/>
      <c r="AV1119" s="80" t="str">
        <f>HYPERLINK("https://pbs.twimg.com/tweet_video_thumb/GBJFSfibUAAPrHx.jpg")</f>
        <v>https://pbs.twimg.com/tweet_video_thumb/GBJFSfibUAAPrHx.jpg</v>
      </c>
      <c r="AW1119" s="81" t="s">
        <v>5462</v>
      </c>
      <c r="AX1119" s="81" t="s">
        <v>5462</v>
      </c>
      <c r="AY1119" s="77"/>
      <c r="AZ1119" s="81" t="s">
        <v>5773</v>
      </c>
      <c r="BA1119" s="81" t="s">
        <v>5773</v>
      </c>
      <c r="BB1119" s="81" t="s">
        <v>5773</v>
      </c>
      <c r="BC1119" s="81" t="s">
        <v>5462</v>
      </c>
      <c r="BD1119" s="77">
        <v>297885438</v>
      </c>
      <c r="BE1119" s="77"/>
      <c r="BF1119" s="77"/>
      <c r="BG1119" s="77"/>
      <c r="BH1119" s="77"/>
      <c r="BI1119" s="77"/>
    </row>
    <row r="1120" spans="1:61" ht="15">
      <c r="A1120" s="62" t="s">
        <v>299</v>
      </c>
      <c r="B1120" s="62" t="s">
        <v>299</v>
      </c>
      <c r="C1120" s="63"/>
      <c r="D1120" s="64"/>
      <c r="E1120" s="65"/>
      <c r="F1120" s="66"/>
      <c r="G1120" s="63"/>
      <c r="H1120" s="67"/>
      <c r="I1120" s="68"/>
      <c r="J1120" s="68"/>
      <c r="K1120" s="32" t="s">
        <v>65</v>
      </c>
      <c r="L1120" s="75">
        <v>1120</v>
      </c>
      <c r="M1120" s="75"/>
      <c r="N1120" s="70"/>
      <c r="O1120" s="77" t="s">
        <v>179</v>
      </c>
      <c r="P1120" s="79">
        <v>45272.44834490741</v>
      </c>
      <c r="Q1120" s="77" t="s">
        <v>1499</v>
      </c>
      <c r="R1120" s="77">
        <v>0</v>
      </c>
      <c r="S1120" s="77">
        <v>0</v>
      </c>
      <c r="T1120" s="77">
        <v>0</v>
      </c>
      <c r="U1120" s="77">
        <v>0</v>
      </c>
      <c r="V1120" s="77">
        <v>6</v>
      </c>
      <c r="W1120" s="81" t="s">
        <v>1888</v>
      </c>
      <c r="X1120" s="80" t="str">
        <f>HYPERLINK("https://www.inovies.com/digital-marketing/")</f>
        <v>https://www.inovies.com/digital-marketing/</v>
      </c>
      <c r="Y1120" s="77" t="s">
        <v>1982</v>
      </c>
      <c r="Z1120" s="77"/>
      <c r="AA1120" s="77" t="s">
        <v>2546</v>
      </c>
      <c r="AB1120" s="77" t="s">
        <v>2698</v>
      </c>
      <c r="AC1120" s="81" t="s">
        <v>2707</v>
      </c>
      <c r="AD1120" s="77" t="s">
        <v>2752</v>
      </c>
      <c r="AE1120" s="80" t="str">
        <f>HYPERLINK("https://twitter.com/inovies/status/1734524904006098982")</f>
        <v>https://twitter.com/inovies/status/1734524904006098982</v>
      </c>
      <c r="AF1120" s="79">
        <v>45272.44834490741</v>
      </c>
      <c r="AG1120" s="85">
        <v>45272</v>
      </c>
      <c r="AH1120" s="81" t="s">
        <v>3690</v>
      </c>
      <c r="AI1120" s="77" t="b">
        <v>0</v>
      </c>
      <c r="AJ1120" s="77"/>
      <c r="AK1120" s="77"/>
      <c r="AL1120" s="77"/>
      <c r="AM1120" s="77"/>
      <c r="AN1120" s="77"/>
      <c r="AO1120" s="77"/>
      <c r="AP1120" s="77"/>
      <c r="AQ1120" s="77" t="s">
        <v>4360</v>
      </c>
      <c r="AR1120" s="77"/>
      <c r="AS1120" s="77"/>
      <c r="AT1120" s="77"/>
      <c r="AU1120" s="77"/>
      <c r="AV1120" s="80" t="str">
        <f>HYPERLINK("https://pbs.twimg.com/tweet_video_thumb/GBJFMpHaUAAsQxG.jpg")</f>
        <v>https://pbs.twimg.com/tweet_video_thumb/GBJFMpHaUAAsQxG.jpg</v>
      </c>
      <c r="AW1120" s="81" t="s">
        <v>5463</v>
      </c>
      <c r="AX1120" s="81" t="s">
        <v>5463</v>
      </c>
      <c r="AY1120" s="77"/>
      <c r="AZ1120" s="81" t="s">
        <v>5773</v>
      </c>
      <c r="BA1120" s="81" t="s">
        <v>5773</v>
      </c>
      <c r="BB1120" s="81" t="s">
        <v>5773</v>
      </c>
      <c r="BC1120" s="81" t="s">
        <v>5463</v>
      </c>
      <c r="BD1120" s="77">
        <v>297885438</v>
      </c>
      <c r="BE1120" s="77"/>
      <c r="BF1120" s="77"/>
      <c r="BG1120" s="77"/>
      <c r="BH1120" s="77"/>
      <c r="BI1120" s="77"/>
    </row>
    <row r="1121" spans="1:61" ht="15">
      <c r="A1121" s="62" t="s">
        <v>299</v>
      </c>
      <c r="B1121" s="62" t="s">
        <v>299</v>
      </c>
      <c r="C1121" s="63"/>
      <c r="D1121" s="64"/>
      <c r="E1121" s="65"/>
      <c r="F1121" s="66"/>
      <c r="G1121" s="63"/>
      <c r="H1121" s="67"/>
      <c r="I1121" s="68"/>
      <c r="J1121" s="68"/>
      <c r="K1121" s="32" t="s">
        <v>65</v>
      </c>
      <c r="L1121" s="75">
        <v>1121</v>
      </c>
      <c r="M1121" s="75"/>
      <c r="N1121" s="70"/>
      <c r="O1121" s="77" t="s">
        <v>179</v>
      </c>
      <c r="P1121" s="79">
        <v>45272.448113425926</v>
      </c>
      <c r="Q1121" s="77" t="s">
        <v>1500</v>
      </c>
      <c r="R1121" s="77">
        <v>0</v>
      </c>
      <c r="S1121" s="77">
        <v>0</v>
      </c>
      <c r="T1121" s="77">
        <v>0</v>
      </c>
      <c r="U1121" s="77">
        <v>0</v>
      </c>
      <c r="V1121" s="77">
        <v>6</v>
      </c>
      <c r="W1121" s="81" t="s">
        <v>1888</v>
      </c>
      <c r="X1121" s="80" t="str">
        <f>HYPERLINK("https://www.inovies.com/digital-marketing/")</f>
        <v>https://www.inovies.com/digital-marketing/</v>
      </c>
      <c r="Y1121" s="77" t="s">
        <v>1982</v>
      </c>
      <c r="Z1121" s="77"/>
      <c r="AA1121" s="77" t="s">
        <v>2547</v>
      </c>
      <c r="AB1121" s="77" t="s">
        <v>2698</v>
      </c>
      <c r="AC1121" s="81" t="s">
        <v>2707</v>
      </c>
      <c r="AD1121" s="77" t="s">
        <v>2752</v>
      </c>
      <c r="AE1121" s="80" t="str">
        <f>HYPERLINK("https://twitter.com/inovies/status/1734524820660850802")</f>
        <v>https://twitter.com/inovies/status/1734524820660850802</v>
      </c>
      <c r="AF1121" s="79">
        <v>45272.448113425926</v>
      </c>
      <c r="AG1121" s="85">
        <v>45272</v>
      </c>
      <c r="AH1121" s="81" t="s">
        <v>3691</v>
      </c>
      <c r="AI1121" s="77" t="b">
        <v>0</v>
      </c>
      <c r="AJ1121" s="77"/>
      <c r="AK1121" s="77"/>
      <c r="AL1121" s="77"/>
      <c r="AM1121" s="77"/>
      <c r="AN1121" s="77"/>
      <c r="AO1121" s="77"/>
      <c r="AP1121" s="77"/>
      <c r="AQ1121" s="77" t="s">
        <v>4361</v>
      </c>
      <c r="AR1121" s="77"/>
      <c r="AS1121" s="77"/>
      <c r="AT1121" s="77"/>
      <c r="AU1121" s="77"/>
      <c r="AV1121" s="80" t="str">
        <f>HYPERLINK("https://pbs.twimg.com/tweet_video_thumb/GBJFHebbwAAKAsR.jpg")</f>
        <v>https://pbs.twimg.com/tweet_video_thumb/GBJFHebbwAAKAsR.jpg</v>
      </c>
      <c r="AW1121" s="81" t="s">
        <v>5464</v>
      </c>
      <c r="AX1121" s="81" t="s">
        <v>5464</v>
      </c>
      <c r="AY1121" s="77"/>
      <c r="AZ1121" s="81" t="s">
        <v>5773</v>
      </c>
      <c r="BA1121" s="81" t="s">
        <v>5773</v>
      </c>
      <c r="BB1121" s="81" t="s">
        <v>5773</v>
      </c>
      <c r="BC1121" s="81" t="s">
        <v>5464</v>
      </c>
      <c r="BD1121" s="77">
        <v>297885438</v>
      </c>
      <c r="BE1121" s="77"/>
      <c r="BF1121" s="77"/>
      <c r="BG1121" s="77"/>
      <c r="BH1121" s="77"/>
      <c r="BI1121" s="77"/>
    </row>
    <row r="1122" spans="1:61" ht="15">
      <c r="A1122" s="62" t="s">
        <v>299</v>
      </c>
      <c r="B1122" s="62" t="s">
        <v>299</v>
      </c>
      <c r="C1122" s="63"/>
      <c r="D1122" s="64"/>
      <c r="E1122" s="65"/>
      <c r="F1122" s="66"/>
      <c r="G1122" s="63"/>
      <c r="H1122" s="67"/>
      <c r="I1122" s="68"/>
      <c r="J1122" s="68"/>
      <c r="K1122" s="32" t="s">
        <v>65</v>
      </c>
      <c r="L1122" s="75">
        <v>1122</v>
      </c>
      <c r="M1122" s="75"/>
      <c r="N1122" s="70"/>
      <c r="O1122" s="77" t="s">
        <v>179</v>
      </c>
      <c r="P1122" s="79">
        <v>45272.444398148145</v>
      </c>
      <c r="Q1122" s="77" t="s">
        <v>1501</v>
      </c>
      <c r="R1122" s="77">
        <v>0</v>
      </c>
      <c r="S1122" s="77">
        <v>0</v>
      </c>
      <c r="T1122" s="77">
        <v>0</v>
      </c>
      <c r="U1122" s="77">
        <v>0</v>
      </c>
      <c r="V1122" s="77">
        <v>7</v>
      </c>
      <c r="W1122" s="81" t="s">
        <v>1888</v>
      </c>
      <c r="X1122" s="80" t="str">
        <f>HYPERLINK("https://www.inovies.com/digital-marketing/")</f>
        <v>https://www.inovies.com/digital-marketing/</v>
      </c>
      <c r="Y1122" s="77" t="s">
        <v>1982</v>
      </c>
      <c r="Z1122" s="77"/>
      <c r="AA1122" s="77" t="s">
        <v>2548</v>
      </c>
      <c r="AB1122" s="77" t="s">
        <v>2698</v>
      </c>
      <c r="AC1122" s="81" t="s">
        <v>2707</v>
      </c>
      <c r="AD1122" s="77" t="s">
        <v>2752</v>
      </c>
      <c r="AE1122" s="80" t="str">
        <f>HYPERLINK("https://twitter.com/inovies/status/1734523474214048139")</f>
        <v>https://twitter.com/inovies/status/1734523474214048139</v>
      </c>
      <c r="AF1122" s="79">
        <v>45272.444398148145</v>
      </c>
      <c r="AG1122" s="85">
        <v>45272</v>
      </c>
      <c r="AH1122" s="81" t="s">
        <v>3692</v>
      </c>
      <c r="AI1122" s="77" t="b">
        <v>0</v>
      </c>
      <c r="AJ1122" s="77"/>
      <c r="AK1122" s="77"/>
      <c r="AL1122" s="77"/>
      <c r="AM1122" s="77"/>
      <c r="AN1122" s="77"/>
      <c r="AO1122" s="77"/>
      <c r="AP1122" s="77"/>
      <c r="AQ1122" s="77" t="s">
        <v>4362</v>
      </c>
      <c r="AR1122" s="77"/>
      <c r="AS1122" s="77"/>
      <c r="AT1122" s="77"/>
      <c r="AU1122" s="77"/>
      <c r="AV1122" s="80" t="str">
        <f>HYPERLINK("https://pbs.twimg.com/tweet_video_thumb/GBJD5b5a4AAlNSD.jpg")</f>
        <v>https://pbs.twimg.com/tweet_video_thumb/GBJD5b5a4AAlNSD.jpg</v>
      </c>
      <c r="AW1122" s="81" t="s">
        <v>5465</v>
      </c>
      <c r="AX1122" s="81" t="s">
        <v>5465</v>
      </c>
      <c r="AY1122" s="77"/>
      <c r="AZ1122" s="81" t="s">
        <v>5773</v>
      </c>
      <c r="BA1122" s="81" t="s">
        <v>5773</v>
      </c>
      <c r="BB1122" s="81" t="s">
        <v>5773</v>
      </c>
      <c r="BC1122" s="81" t="s">
        <v>5465</v>
      </c>
      <c r="BD1122" s="77">
        <v>297885438</v>
      </c>
      <c r="BE1122" s="77"/>
      <c r="BF1122" s="77"/>
      <c r="BG1122" s="77"/>
      <c r="BH1122" s="77"/>
      <c r="BI1122" s="77"/>
    </row>
    <row r="1123" spans="1:61" ht="15">
      <c r="A1123" s="62" t="s">
        <v>299</v>
      </c>
      <c r="B1123" s="62" t="s">
        <v>299</v>
      </c>
      <c r="C1123" s="63"/>
      <c r="D1123" s="64"/>
      <c r="E1123" s="65"/>
      <c r="F1123" s="66"/>
      <c r="G1123" s="63"/>
      <c r="H1123" s="67"/>
      <c r="I1123" s="68"/>
      <c r="J1123" s="68"/>
      <c r="K1123" s="32" t="s">
        <v>65</v>
      </c>
      <c r="L1123" s="75">
        <v>1123</v>
      </c>
      <c r="M1123" s="75"/>
      <c r="N1123" s="70"/>
      <c r="O1123" s="77" t="s">
        <v>179</v>
      </c>
      <c r="P1123" s="79">
        <v>45272.441087962965</v>
      </c>
      <c r="Q1123" s="77" t="s">
        <v>1502</v>
      </c>
      <c r="R1123" s="77">
        <v>0</v>
      </c>
      <c r="S1123" s="77">
        <v>0</v>
      </c>
      <c r="T1123" s="77">
        <v>0</v>
      </c>
      <c r="U1123" s="77">
        <v>0</v>
      </c>
      <c r="V1123" s="77">
        <v>7</v>
      </c>
      <c r="W1123" s="81" t="s">
        <v>1888</v>
      </c>
      <c r="X1123" s="80" t="str">
        <f>HYPERLINK("https://www.inovies.com/digital-marketing/")</f>
        <v>https://www.inovies.com/digital-marketing/</v>
      </c>
      <c r="Y1123" s="77" t="s">
        <v>1982</v>
      </c>
      <c r="Z1123" s="77"/>
      <c r="AA1123" s="77" t="s">
        <v>2549</v>
      </c>
      <c r="AB1123" s="77" t="s">
        <v>2698</v>
      </c>
      <c r="AC1123" s="81" t="s">
        <v>2707</v>
      </c>
      <c r="AD1123" s="77" t="s">
        <v>2752</v>
      </c>
      <c r="AE1123" s="80" t="str">
        <f>HYPERLINK("https://twitter.com/inovies/status/1734522272411472345")</f>
        <v>https://twitter.com/inovies/status/1734522272411472345</v>
      </c>
      <c r="AF1123" s="79">
        <v>45272.441087962965</v>
      </c>
      <c r="AG1123" s="85">
        <v>45272</v>
      </c>
      <c r="AH1123" s="81" t="s">
        <v>3693</v>
      </c>
      <c r="AI1123" s="77" t="b">
        <v>0</v>
      </c>
      <c r="AJ1123" s="77"/>
      <c r="AK1123" s="77"/>
      <c r="AL1123" s="77"/>
      <c r="AM1123" s="77"/>
      <c r="AN1123" s="77"/>
      <c r="AO1123" s="77"/>
      <c r="AP1123" s="77"/>
      <c r="AQ1123" s="77" t="s">
        <v>4363</v>
      </c>
      <c r="AR1123" s="77"/>
      <c r="AS1123" s="77"/>
      <c r="AT1123" s="77"/>
      <c r="AU1123" s="77"/>
      <c r="AV1123" s="80" t="str">
        <f>HYPERLINK("https://pbs.twimg.com/tweet_video_thumb/GBJCztRakAA9l24.jpg")</f>
        <v>https://pbs.twimg.com/tweet_video_thumb/GBJCztRakAA9l24.jpg</v>
      </c>
      <c r="AW1123" s="81" t="s">
        <v>5466</v>
      </c>
      <c r="AX1123" s="81" t="s">
        <v>5466</v>
      </c>
      <c r="AY1123" s="77"/>
      <c r="AZ1123" s="81" t="s">
        <v>5773</v>
      </c>
      <c r="BA1123" s="81" t="s">
        <v>5773</v>
      </c>
      <c r="BB1123" s="81" t="s">
        <v>5773</v>
      </c>
      <c r="BC1123" s="81" t="s">
        <v>5466</v>
      </c>
      <c r="BD1123" s="77">
        <v>297885438</v>
      </c>
      <c r="BE1123" s="77"/>
      <c r="BF1123" s="77"/>
      <c r="BG1123" s="77"/>
      <c r="BH1123" s="77"/>
      <c r="BI1123" s="77"/>
    </row>
    <row r="1124" spans="1:61" ht="15">
      <c r="A1124" s="62" t="s">
        <v>299</v>
      </c>
      <c r="B1124" s="62" t="s">
        <v>299</v>
      </c>
      <c r="C1124" s="63"/>
      <c r="D1124" s="64"/>
      <c r="E1124" s="65"/>
      <c r="F1124" s="66"/>
      <c r="G1124" s="63"/>
      <c r="H1124" s="67"/>
      <c r="I1124" s="68"/>
      <c r="J1124" s="68"/>
      <c r="K1124" s="32" t="s">
        <v>65</v>
      </c>
      <c r="L1124" s="75">
        <v>1124</v>
      </c>
      <c r="M1124" s="75"/>
      <c r="N1124" s="70"/>
      <c r="O1124" s="77" t="s">
        <v>179</v>
      </c>
      <c r="P1124" s="79">
        <v>45272.44081018519</v>
      </c>
      <c r="Q1124" s="77" t="s">
        <v>1503</v>
      </c>
      <c r="R1124" s="77">
        <v>0</v>
      </c>
      <c r="S1124" s="77">
        <v>0</v>
      </c>
      <c r="T1124" s="77">
        <v>0</v>
      </c>
      <c r="U1124" s="77">
        <v>0</v>
      </c>
      <c r="V1124" s="77">
        <v>8</v>
      </c>
      <c r="W1124" s="81" t="s">
        <v>1888</v>
      </c>
      <c r="X1124" s="80" t="str">
        <f>HYPERLINK("https://www.inovies.com/digital-marketing/")</f>
        <v>https://www.inovies.com/digital-marketing/</v>
      </c>
      <c r="Y1124" s="77" t="s">
        <v>1982</v>
      </c>
      <c r="Z1124" s="77"/>
      <c r="AA1124" s="77" t="s">
        <v>2550</v>
      </c>
      <c r="AB1124" s="77" t="s">
        <v>2698</v>
      </c>
      <c r="AC1124" s="81" t="s">
        <v>2707</v>
      </c>
      <c r="AD1124" s="77" t="s">
        <v>2752</v>
      </c>
      <c r="AE1124" s="80" t="str">
        <f>HYPERLINK("https://twitter.com/inovies/status/1734522174780666195")</f>
        <v>https://twitter.com/inovies/status/1734522174780666195</v>
      </c>
      <c r="AF1124" s="79">
        <v>45272.44081018519</v>
      </c>
      <c r="AG1124" s="85">
        <v>45272</v>
      </c>
      <c r="AH1124" s="81" t="s">
        <v>3694</v>
      </c>
      <c r="AI1124" s="77" t="b">
        <v>0</v>
      </c>
      <c r="AJ1124" s="77"/>
      <c r="AK1124" s="77"/>
      <c r="AL1124" s="77"/>
      <c r="AM1124" s="77"/>
      <c r="AN1124" s="77"/>
      <c r="AO1124" s="77"/>
      <c r="AP1124" s="77"/>
      <c r="AQ1124" s="77" t="s">
        <v>4364</v>
      </c>
      <c r="AR1124" s="77"/>
      <c r="AS1124" s="77"/>
      <c r="AT1124" s="77"/>
      <c r="AU1124" s="77"/>
      <c r="AV1124" s="80" t="str">
        <f>HYPERLINK("https://pbs.twimg.com/tweet_video_thumb/GBJCtunaoAAB3uO.jpg")</f>
        <v>https://pbs.twimg.com/tweet_video_thumb/GBJCtunaoAAB3uO.jpg</v>
      </c>
      <c r="AW1124" s="81" t="s">
        <v>5467</v>
      </c>
      <c r="AX1124" s="81" t="s">
        <v>5467</v>
      </c>
      <c r="AY1124" s="77"/>
      <c r="AZ1124" s="81" t="s">
        <v>5773</v>
      </c>
      <c r="BA1124" s="81" t="s">
        <v>5773</v>
      </c>
      <c r="BB1124" s="81" t="s">
        <v>5773</v>
      </c>
      <c r="BC1124" s="81" t="s">
        <v>5467</v>
      </c>
      <c r="BD1124" s="77">
        <v>297885438</v>
      </c>
      <c r="BE1124" s="77"/>
      <c r="BF1124" s="77"/>
      <c r="BG1124" s="77"/>
      <c r="BH1124" s="77"/>
      <c r="BI1124" s="77"/>
    </row>
    <row r="1125" spans="1:61" ht="15">
      <c r="A1125" s="62" t="s">
        <v>299</v>
      </c>
      <c r="B1125" s="62" t="s">
        <v>299</v>
      </c>
      <c r="C1125" s="63"/>
      <c r="D1125" s="64"/>
      <c r="E1125" s="65"/>
      <c r="F1125" s="66"/>
      <c r="G1125" s="63"/>
      <c r="H1125" s="67"/>
      <c r="I1125" s="68"/>
      <c r="J1125" s="68"/>
      <c r="K1125" s="32" t="s">
        <v>65</v>
      </c>
      <c r="L1125" s="75">
        <v>1125</v>
      </c>
      <c r="M1125" s="75"/>
      <c r="N1125" s="70"/>
      <c r="O1125" s="77" t="s">
        <v>179</v>
      </c>
      <c r="P1125" s="79">
        <v>45272.4402662037</v>
      </c>
      <c r="Q1125" s="77" t="s">
        <v>1504</v>
      </c>
      <c r="R1125" s="77">
        <v>0</v>
      </c>
      <c r="S1125" s="77">
        <v>0</v>
      </c>
      <c r="T1125" s="77">
        <v>0</v>
      </c>
      <c r="U1125" s="77">
        <v>0</v>
      </c>
      <c r="V1125" s="77">
        <v>7</v>
      </c>
      <c r="W1125" s="81" t="s">
        <v>1888</v>
      </c>
      <c r="X1125" s="80" t="str">
        <f>HYPERLINK("https://www.inovies.com/digital-marketing/")</f>
        <v>https://www.inovies.com/digital-marketing/</v>
      </c>
      <c r="Y1125" s="77" t="s">
        <v>1982</v>
      </c>
      <c r="Z1125" s="77"/>
      <c r="AA1125" s="77" t="s">
        <v>2551</v>
      </c>
      <c r="AB1125" s="77" t="s">
        <v>2698</v>
      </c>
      <c r="AC1125" s="81" t="s">
        <v>2707</v>
      </c>
      <c r="AD1125" s="77" t="s">
        <v>2752</v>
      </c>
      <c r="AE1125" s="80" t="str">
        <f>HYPERLINK("https://twitter.com/inovies/status/1734521976813916277")</f>
        <v>https://twitter.com/inovies/status/1734521976813916277</v>
      </c>
      <c r="AF1125" s="79">
        <v>45272.4402662037</v>
      </c>
      <c r="AG1125" s="85">
        <v>45272</v>
      </c>
      <c r="AH1125" s="81" t="s">
        <v>3695</v>
      </c>
      <c r="AI1125" s="77" t="b">
        <v>0</v>
      </c>
      <c r="AJ1125" s="77"/>
      <c r="AK1125" s="77"/>
      <c r="AL1125" s="77"/>
      <c r="AM1125" s="77"/>
      <c r="AN1125" s="77"/>
      <c r="AO1125" s="77"/>
      <c r="AP1125" s="77"/>
      <c r="AQ1125" s="77" t="s">
        <v>4365</v>
      </c>
      <c r="AR1125" s="77"/>
      <c r="AS1125" s="77"/>
      <c r="AT1125" s="77"/>
      <c r="AU1125" s="77"/>
      <c r="AV1125" s="80" t="str">
        <f>HYPERLINK("https://pbs.twimg.com/tweet_video_thumb/GBJCiPCbEAArgQF.jpg")</f>
        <v>https://pbs.twimg.com/tweet_video_thumb/GBJCiPCbEAArgQF.jpg</v>
      </c>
      <c r="AW1125" s="81" t="s">
        <v>5468</v>
      </c>
      <c r="AX1125" s="81" t="s">
        <v>5468</v>
      </c>
      <c r="AY1125" s="77"/>
      <c r="AZ1125" s="81" t="s">
        <v>5773</v>
      </c>
      <c r="BA1125" s="81" t="s">
        <v>5773</v>
      </c>
      <c r="BB1125" s="81" t="s">
        <v>5773</v>
      </c>
      <c r="BC1125" s="81" t="s">
        <v>5468</v>
      </c>
      <c r="BD1125" s="77">
        <v>297885438</v>
      </c>
      <c r="BE1125" s="77"/>
      <c r="BF1125" s="77"/>
      <c r="BG1125" s="77"/>
      <c r="BH1125" s="77"/>
      <c r="BI1125" s="77"/>
    </row>
    <row r="1126" spans="1:61" ht="15">
      <c r="A1126" s="62" t="s">
        <v>299</v>
      </c>
      <c r="B1126" s="62" t="s">
        <v>299</v>
      </c>
      <c r="C1126" s="63"/>
      <c r="D1126" s="64"/>
      <c r="E1126" s="65"/>
      <c r="F1126" s="66"/>
      <c r="G1126" s="63"/>
      <c r="H1126" s="67"/>
      <c r="I1126" s="68"/>
      <c r="J1126" s="68"/>
      <c r="K1126" s="32" t="s">
        <v>65</v>
      </c>
      <c r="L1126" s="75">
        <v>1126</v>
      </c>
      <c r="M1126" s="75"/>
      <c r="N1126" s="70"/>
      <c r="O1126" s="77" t="s">
        <v>179</v>
      </c>
      <c r="P1126" s="79">
        <v>45272.43997685185</v>
      </c>
      <c r="Q1126" s="77" t="s">
        <v>1505</v>
      </c>
      <c r="R1126" s="77">
        <v>0</v>
      </c>
      <c r="S1126" s="77">
        <v>0</v>
      </c>
      <c r="T1126" s="77">
        <v>0</v>
      </c>
      <c r="U1126" s="77">
        <v>0</v>
      </c>
      <c r="V1126" s="77">
        <v>7</v>
      </c>
      <c r="W1126" s="81" t="s">
        <v>1888</v>
      </c>
      <c r="X1126" s="80" t="str">
        <f>HYPERLINK("https://www.inovies.com/digital-marketing/")</f>
        <v>https://www.inovies.com/digital-marketing/</v>
      </c>
      <c r="Y1126" s="77" t="s">
        <v>1982</v>
      </c>
      <c r="Z1126" s="77"/>
      <c r="AA1126" s="77" t="s">
        <v>2552</v>
      </c>
      <c r="AB1126" s="77" t="s">
        <v>2698</v>
      </c>
      <c r="AC1126" s="81" t="s">
        <v>2707</v>
      </c>
      <c r="AD1126" s="77" t="s">
        <v>2752</v>
      </c>
      <c r="AE1126" s="80" t="str">
        <f>HYPERLINK("https://twitter.com/inovies/status/1734521872136675796")</f>
        <v>https://twitter.com/inovies/status/1734521872136675796</v>
      </c>
      <c r="AF1126" s="79">
        <v>45272.43997685185</v>
      </c>
      <c r="AG1126" s="85">
        <v>45272</v>
      </c>
      <c r="AH1126" s="81" t="s">
        <v>3696</v>
      </c>
      <c r="AI1126" s="77" t="b">
        <v>0</v>
      </c>
      <c r="AJ1126" s="77"/>
      <c r="AK1126" s="77"/>
      <c r="AL1126" s="77"/>
      <c r="AM1126" s="77"/>
      <c r="AN1126" s="77"/>
      <c r="AO1126" s="77"/>
      <c r="AP1126" s="77"/>
      <c r="AQ1126" s="77" t="s">
        <v>4366</v>
      </c>
      <c r="AR1126" s="77"/>
      <c r="AS1126" s="77"/>
      <c r="AT1126" s="77"/>
      <c r="AU1126" s="77"/>
      <c r="AV1126" s="80" t="str">
        <f>HYPERLINK("https://pbs.twimg.com/tweet_video_thumb/GBJCce9bcAAEDoh.jpg")</f>
        <v>https://pbs.twimg.com/tweet_video_thumb/GBJCce9bcAAEDoh.jpg</v>
      </c>
      <c r="AW1126" s="81" t="s">
        <v>5469</v>
      </c>
      <c r="AX1126" s="81" t="s">
        <v>5469</v>
      </c>
      <c r="AY1126" s="77"/>
      <c r="AZ1126" s="81" t="s">
        <v>5773</v>
      </c>
      <c r="BA1126" s="81" t="s">
        <v>5773</v>
      </c>
      <c r="BB1126" s="81" t="s">
        <v>5773</v>
      </c>
      <c r="BC1126" s="81" t="s">
        <v>5469</v>
      </c>
      <c r="BD1126" s="77">
        <v>297885438</v>
      </c>
      <c r="BE1126" s="77"/>
      <c r="BF1126" s="77"/>
      <c r="BG1126" s="77"/>
      <c r="BH1126" s="77"/>
      <c r="BI1126" s="77"/>
    </row>
    <row r="1127" spans="1:61" ht="15">
      <c r="A1127" s="62" t="s">
        <v>299</v>
      </c>
      <c r="B1127" s="62" t="s">
        <v>299</v>
      </c>
      <c r="C1127" s="63"/>
      <c r="D1127" s="64"/>
      <c r="E1127" s="65"/>
      <c r="F1127" s="66"/>
      <c r="G1127" s="63"/>
      <c r="H1127" s="67"/>
      <c r="I1127" s="68"/>
      <c r="J1127" s="68"/>
      <c r="K1127" s="32" t="s">
        <v>65</v>
      </c>
      <c r="L1127" s="75">
        <v>1127</v>
      </c>
      <c r="M1127" s="75"/>
      <c r="N1127" s="70"/>
      <c r="O1127" s="77" t="s">
        <v>179</v>
      </c>
      <c r="P1127" s="79">
        <v>45272.439791666664</v>
      </c>
      <c r="Q1127" s="77" t="s">
        <v>1506</v>
      </c>
      <c r="R1127" s="77">
        <v>0</v>
      </c>
      <c r="S1127" s="77">
        <v>0</v>
      </c>
      <c r="T1127" s="77">
        <v>0</v>
      </c>
      <c r="U1127" s="77">
        <v>0</v>
      </c>
      <c r="V1127" s="77">
        <v>7</v>
      </c>
      <c r="W1127" s="81" t="s">
        <v>1888</v>
      </c>
      <c r="X1127" s="80" t="str">
        <f>HYPERLINK("https://www.inovies.com/digital-marketing/")</f>
        <v>https://www.inovies.com/digital-marketing/</v>
      </c>
      <c r="Y1127" s="77" t="s">
        <v>1982</v>
      </c>
      <c r="Z1127" s="77"/>
      <c r="AA1127" s="77" t="s">
        <v>2553</v>
      </c>
      <c r="AB1127" s="77" t="s">
        <v>2698</v>
      </c>
      <c r="AC1127" s="81" t="s">
        <v>2707</v>
      </c>
      <c r="AD1127" s="77" t="s">
        <v>2752</v>
      </c>
      <c r="AE1127" s="80" t="str">
        <f>HYPERLINK("https://twitter.com/inovies/status/1734521805636071733")</f>
        <v>https://twitter.com/inovies/status/1734521805636071733</v>
      </c>
      <c r="AF1127" s="79">
        <v>45272.439791666664</v>
      </c>
      <c r="AG1127" s="85">
        <v>45272</v>
      </c>
      <c r="AH1127" s="81" t="s">
        <v>3697</v>
      </c>
      <c r="AI1127" s="77" t="b">
        <v>0</v>
      </c>
      <c r="AJ1127" s="77"/>
      <c r="AK1127" s="77"/>
      <c r="AL1127" s="77"/>
      <c r="AM1127" s="77"/>
      <c r="AN1127" s="77"/>
      <c r="AO1127" s="77"/>
      <c r="AP1127" s="77"/>
      <c r="AQ1127" s="77" t="s">
        <v>4367</v>
      </c>
      <c r="AR1127" s="77"/>
      <c r="AS1127" s="77"/>
      <c r="AT1127" s="77"/>
      <c r="AU1127" s="77"/>
      <c r="AV1127" s="80" t="str">
        <f>HYPERLINK("https://pbs.twimg.com/tweet_video_thumb/GBJCYlfbAAAw7sI.jpg")</f>
        <v>https://pbs.twimg.com/tweet_video_thumb/GBJCYlfbAAAw7sI.jpg</v>
      </c>
      <c r="AW1127" s="81" t="s">
        <v>5470</v>
      </c>
      <c r="AX1127" s="81" t="s">
        <v>5470</v>
      </c>
      <c r="AY1127" s="77"/>
      <c r="AZ1127" s="81" t="s">
        <v>5773</v>
      </c>
      <c r="BA1127" s="81" t="s">
        <v>5773</v>
      </c>
      <c r="BB1127" s="81" t="s">
        <v>5773</v>
      </c>
      <c r="BC1127" s="81" t="s">
        <v>5470</v>
      </c>
      <c r="BD1127" s="77">
        <v>297885438</v>
      </c>
      <c r="BE1127" s="77"/>
      <c r="BF1127" s="77"/>
      <c r="BG1127" s="77"/>
      <c r="BH1127" s="77"/>
      <c r="BI1127" s="77"/>
    </row>
    <row r="1128" spans="1:61" ht="15">
      <c r="A1128" s="62" t="s">
        <v>299</v>
      </c>
      <c r="B1128" s="62" t="s">
        <v>299</v>
      </c>
      <c r="C1128" s="63"/>
      <c r="D1128" s="64"/>
      <c r="E1128" s="65"/>
      <c r="F1128" s="66"/>
      <c r="G1128" s="63"/>
      <c r="H1128" s="67"/>
      <c r="I1128" s="68"/>
      <c r="J1128" s="68"/>
      <c r="K1128" s="32" t="s">
        <v>65</v>
      </c>
      <c r="L1128" s="75">
        <v>1128</v>
      </c>
      <c r="M1128" s="75"/>
      <c r="N1128" s="70"/>
      <c r="O1128" s="77" t="s">
        <v>179</v>
      </c>
      <c r="P1128" s="79">
        <v>45272.43965277778</v>
      </c>
      <c r="Q1128" s="77" t="s">
        <v>1507</v>
      </c>
      <c r="R1128" s="77">
        <v>0</v>
      </c>
      <c r="S1128" s="77">
        <v>0</v>
      </c>
      <c r="T1128" s="77">
        <v>0</v>
      </c>
      <c r="U1128" s="77">
        <v>0</v>
      </c>
      <c r="V1128" s="77">
        <v>7</v>
      </c>
      <c r="W1128" s="81" t="s">
        <v>1888</v>
      </c>
      <c r="X1128" s="80" t="str">
        <f>HYPERLINK("https://www.inovies.com/digital-marketing/")</f>
        <v>https://www.inovies.com/digital-marketing/</v>
      </c>
      <c r="Y1128" s="77" t="s">
        <v>1982</v>
      </c>
      <c r="Z1128" s="77"/>
      <c r="AA1128" s="77" t="s">
        <v>2554</v>
      </c>
      <c r="AB1128" s="77" t="s">
        <v>2698</v>
      </c>
      <c r="AC1128" s="81" t="s">
        <v>2707</v>
      </c>
      <c r="AD1128" s="77" t="s">
        <v>2752</v>
      </c>
      <c r="AE1128" s="80" t="str">
        <f>HYPERLINK("https://twitter.com/inovies/status/1734521754347831559")</f>
        <v>https://twitter.com/inovies/status/1734521754347831559</v>
      </c>
      <c r="AF1128" s="79">
        <v>45272.43965277778</v>
      </c>
      <c r="AG1128" s="85">
        <v>45272</v>
      </c>
      <c r="AH1128" s="81" t="s">
        <v>3698</v>
      </c>
      <c r="AI1128" s="77" t="b">
        <v>0</v>
      </c>
      <c r="AJ1128" s="77"/>
      <c r="AK1128" s="77"/>
      <c r="AL1128" s="77"/>
      <c r="AM1128" s="77"/>
      <c r="AN1128" s="77"/>
      <c r="AO1128" s="77"/>
      <c r="AP1128" s="77"/>
      <c r="AQ1128" s="77" t="s">
        <v>4368</v>
      </c>
      <c r="AR1128" s="77"/>
      <c r="AS1128" s="77"/>
      <c r="AT1128" s="77"/>
      <c r="AU1128" s="77"/>
      <c r="AV1128" s="80" t="str">
        <f>HYPERLINK("https://pbs.twimg.com/tweet_video_thumb/GBJCVjvbMAAr87z.jpg")</f>
        <v>https://pbs.twimg.com/tweet_video_thumb/GBJCVjvbMAAr87z.jpg</v>
      </c>
      <c r="AW1128" s="81" t="s">
        <v>5471</v>
      </c>
      <c r="AX1128" s="81" t="s">
        <v>5471</v>
      </c>
      <c r="AY1128" s="77"/>
      <c r="AZ1128" s="81" t="s">
        <v>5773</v>
      </c>
      <c r="BA1128" s="81" t="s">
        <v>5773</v>
      </c>
      <c r="BB1128" s="81" t="s">
        <v>5773</v>
      </c>
      <c r="BC1128" s="81" t="s">
        <v>5471</v>
      </c>
      <c r="BD1128" s="77">
        <v>297885438</v>
      </c>
      <c r="BE1128" s="77"/>
      <c r="BF1128" s="77"/>
      <c r="BG1128" s="77"/>
      <c r="BH1128" s="77"/>
      <c r="BI1128" s="77"/>
    </row>
    <row r="1129" spans="1:61" ht="15">
      <c r="A1129" s="62" t="s">
        <v>299</v>
      </c>
      <c r="B1129" s="62" t="s">
        <v>299</v>
      </c>
      <c r="C1129" s="63"/>
      <c r="D1129" s="64"/>
      <c r="E1129" s="65"/>
      <c r="F1129" s="66"/>
      <c r="G1129" s="63"/>
      <c r="H1129" s="67"/>
      <c r="I1129" s="68"/>
      <c r="J1129" s="68"/>
      <c r="K1129" s="32" t="s">
        <v>65</v>
      </c>
      <c r="L1129" s="75">
        <v>1129</v>
      </c>
      <c r="M1129" s="75"/>
      <c r="N1129" s="70"/>
      <c r="O1129" s="77" t="s">
        <v>179</v>
      </c>
      <c r="P1129" s="79">
        <v>45272.43917824074</v>
      </c>
      <c r="Q1129" s="77" t="s">
        <v>1508</v>
      </c>
      <c r="R1129" s="77">
        <v>0</v>
      </c>
      <c r="S1129" s="77">
        <v>0</v>
      </c>
      <c r="T1129" s="77">
        <v>0</v>
      </c>
      <c r="U1129" s="77">
        <v>0</v>
      </c>
      <c r="V1129" s="77">
        <v>7</v>
      </c>
      <c r="W1129" s="81" t="s">
        <v>1888</v>
      </c>
      <c r="X1129" s="80" t="str">
        <f>HYPERLINK("https://www.inovies.com/digital-marketing/")</f>
        <v>https://www.inovies.com/digital-marketing/</v>
      </c>
      <c r="Y1129" s="77" t="s">
        <v>1982</v>
      </c>
      <c r="Z1129" s="77"/>
      <c r="AA1129" s="77" t="s">
        <v>2555</v>
      </c>
      <c r="AB1129" s="77" t="s">
        <v>2698</v>
      </c>
      <c r="AC1129" s="81" t="s">
        <v>2707</v>
      </c>
      <c r="AD1129" s="77" t="s">
        <v>2752</v>
      </c>
      <c r="AE1129" s="80" t="str">
        <f>HYPERLINK("https://twitter.com/inovies/status/1734521582222229700")</f>
        <v>https://twitter.com/inovies/status/1734521582222229700</v>
      </c>
      <c r="AF1129" s="79">
        <v>45272.43917824074</v>
      </c>
      <c r="AG1129" s="85">
        <v>45272</v>
      </c>
      <c r="AH1129" s="81" t="s">
        <v>3699</v>
      </c>
      <c r="AI1129" s="77" t="b">
        <v>0</v>
      </c>
      <c r="AJ1129" s="77"/>
      <c r="AK1129" s="77"/>
      <c r="AL1129" s="77"/>
      <c r="AM1129" s="77"/>
      <c r="AN1129" s="77"/>
      <c r="AO1129" s="77"/>
      <c r="AP1129" s="77"/>
      <c r="AQ1129" s="77" t="s">
        <v>4369</v>
      </c>
      <c r="AR1129" s="77"/>
      <c r="AS1129" s="77"/>
      <c r="AT1129" s="77"/>
      <c r="AU1129" s="77"/>
      <c r="AV1129" s="80" t="str">
        <f>HYPERLINK("https://pbs.twimg.com/tweet_video_thumb/GBJCLmzbcAAk4vf.jpg")</f>
        <v>https://pbs.twimg.com/tweet_video_thumb/GBJCLmzbcAAk4vf.jpg</v>
      </c>
      <c r="AW1129" s="81" t="s">
        <v>5472</v>
      </c>
      <c r="AX1129" s="81" t="s">
        <v>5472</v>
      </c>
      <c r="AY1129" s="77"/>
      <c r="AZ1129" s="81" t="s">
        <v>5773</v>
      </c>
      <c r="BA1129" s="81" t="s">
        <v>5773</v>
      </c>
      <c r="BB1129" s="81" t="s">
        <v>5773</v>
      </c>
      <c r="BC1129" s="81" t="s">
        <v>5472</v>
      </c>
      <c r="BD1129" s="77">
        <v>297885438</v>
      </c>
      <c r="BE1129" s="77"/>
      <c r="BF1129" s="77"/>
      <c r="BG1129" s="77"/>
      <c r="BH1129" s="77"/>
      <c r="BI1129" s="77"/>
    </row>
    <row r="1130" spans="1:61" ht="15">
      <c r="A1130" s="62" t="s">
        <v>299</v>
      </c>
      <c r="B1130" s="62" t="s">
        <v>299</v>
      </c>
      <c r="C1130" s="63"/>
      <c r="D1130" s="64"/>
      <c r="E1130" s="65"/>
      <c r="F1130" s="66"/>
      <c r="G1130" s="63"/>
      <c r="H1130" s="67"/>
      <c r="I1130" s="68"/>
      <c r="J1130" s="68"/>
      <c r="K1130" s="32" t="s">
        <v>65</v>
      </c>
      <c r="L1130" s="75">
        <v>1130</v>
      </c>
      <c r="M1130" s="75"/>
      <c r="N1130" s="70"/>
      <c r="O1130" s="77" t="s">
        <v>179</v>
      </c>
      <c r="P1130" s="79">
        <v>45272.438888888886</v>
      </c>
      <c r="Q1130" s="77" t="s">
        <v>1509</v>
      </c>
      <c r="R1130" s="77">
        <v>0</v>
      </c>
      <c r="S1130" s="77">
        <v>0</v>
      </c>
      <c r="T1130" s="77">
        <v>0</v>
      </c>
      <c r="U1130" s="77">
        <v>0</v>
      </c>
      <c r="V1130" s="77">
        <v>7</v>
      </c>
      <c r="W1130" s="81" t="s">
        <v>1888</v>
      </c>
      <c r="X1130" s="80" t="str">
        <f>HYPERLINK("https://www.inovies.com/digital-marketing/")</f>
        <v>https://www.inovies.com/digital-marketing/</v>
      </c>
      <c r="Y1130" s="77" t="s">
        <v>1982</v>
      </c>
      <c r="Z1130" s="77"/>
      <c r="AA1130" s="77" t="s">
        <v>2556</v>
      </c>
      <c r="AB1130" s="77" t="s">
        <v>2698</v>
      </c>
      <c r="AC1130" s="81" t="s">
        <v>2707</v>
      </c>
      <c r="AD1130" s="77" t="s">
        <v>2752</v>
      </c>
      <c r="AE1130" s="80" t="str">
        <f>HYPERLINK("https://twitter.com/inovies/status/1734521477591101827")</f>
        <v>https://twitter.com/inovies/status/1734521477591101827</v>
      </c>
      <c r="AF1130" s="79">
        <v>45272.438888888886</v>
      </c>
      <c r="AG1130" s="85">
        <v>45272</v>
      </c>
      <c r="AH1130" s="81" t="s">
        <v>3700</v>
      </c>
      <c r="AI1130" s="77" t="b">
        <v>0</v>
      </c>
      <c r="AJ1130" s="77"/>
      <c r="AK1130" s="77"/>
      <c r="AL1130" s="77"/>
      <c r="AM1130" s="77"/>
      <c r="AN1130" s="77"/>
      <c r="AO1130" s="77"/>
      <c r="AP1130" s="77"/>
      <c r="AQ1130" s="77" t="s">
        <v>4370</v>
      </c>
      <c r="AR1130" s="77"/>
      <c r="AS1130" s="77"/>
      <c r="AT1130" s="77"/>
      <c r="AU1130" s="77"/>
      <c r="AV1130" s="80" t="str">
        <f>HYPERLINK("https://pbs.twimg.com/tweet_video_thumb/GBJCFg8bsAAIcPS.jpg")</f>
        <v>https://pbs.twimg.com/tweet_video_thumb/GBJCFg8bsAAIcPS.jpg</v>
      </c>
      <c r="AW1130" s="81" t="s">
        <v>5473</v>
      </c>
      <c r="AX1130" s="81" t="s">
        <v>5473</v>
      </c>
      <c r="AY1130" s="77"/>
      <c r="AZ1130" s="81" t="s">
        <v>5773</v>
      </c>
      <c r="BA1130" s="81" t="s">
        <v>5773</v>
      </c>
      <c r="BB1130" s="81" t="s">
        <v>5773</v>
      </c>
      <c r="BC1130" s="81" t="s">
        <v>5473</v>
      </c>
      <c r="BD1130" s="77">
        <v>297885438</v>
      </c>
      <c r="BE1130" s="77"/>
      <c r="BF1130" s="77"/>
      <c r="BG1130" s="77"/>
      <c r="BH1130" s="77"/>
      <c r="BI1130" s="77"/>
    </row>
    <row r="1131" spans="1:61" ht="15">
      <c r="A1131" s="62" t="s">
        <v>299</v>
      </c>
      <c r="B1131" s="62" t="s">
        <v>299</v>
      </c>
      <c r="C1131" s="63"/>
      <c r="D1131" s="64"/>
      <c r="E1131" s="65"/>
      <c r="F1131" s="66"/>
      <c r="G1131" s="63"/>
      <c r="H1131" s="67"/>
      <c r="I1131" s="68"/>
      <c r="J1131" s="68"/>
      <c r="K1131" s="32" t="s">
        <v>65</v>
      </c>
      <c r="L1131" s="75">
        <v>1131</v>
      </c>
      <c r="M1131" s="75"/>
      <c r="N1131" s="70"/>
      <c r="O1131" s="77" t="s">
        <v>179</v>
      </c>
      <c r="P1131" s="79">
        <v>45272.43649305555</v>
      </c>
      <c r="Q1131" s="77" t="s">
        <v>1510</v>
      </c>
      <c r="R1131" s="77">
        <v>0</v>
      </c>
      <c r="S1131" s="77">
        <v>0</v>
      </c>
      <c r="T1131" s="77">
        <v>0</v>
      </c>
      <c r="U1131" s="77">
        <v>0</v>
      </c>
      <c r="V1131" s="77">
        <v>5</v>
      </c>
      <c r="W1131" s="81" t="s">
        <v>1888</v>
      </c>
      <c r="X1131" s="80" t="str">
        <f>HYPERLINK("https://www.inovies.com/digital-marketing/")</f>
        <v>https://www.inovies.com/digital-marketing/</v>
      </c>
      <c r="Y1131" s="77" t="s">
        <v>1982</v>
      </c>
      <c r="Z1131" s="77"/>
      <c r="AA1131" s="77" t="s">
        <v>2557</v>
      </c>
      <c r="AB1131" s="77" t="s">
        <v>2698</v>
      </c>
      <c r="AC1131" s="81" t="s">
        <v>2707</v>
      </c>
      <c r="AD1131" s="77" t="s">
        <v>2752</v>
      </c>
      <c r="AE1131" s="80" t="str">
        <f>HYPERLINK("https://twitter.com/inovies/status/1734520608472616977")</f>
        <v>https://twitter.com/inovies/status/1734520608472616977</v>
      </c>
      <c r="AF1131" s="79">
        <v>45272.43649305555</v>
      </c>
      <c r="AG1131" s="85">
        <v>45272</v>
      </c>
      <c r="AH1131" s="81" t="s">
        <v>3701</v>
      </c>
      <c r="AI1131" s="77" t="b">
        <v>0</v>
      </c>
      <c r="AJ1131" s="77"/>
      <c r="AK1131" s="77"/>
      <c r="AL1131" s="77"/>
      <c r="AM1131" s="77"/>
      <c r="AN1131" s="77"/>
      <c r="AO1131" s="77"/>
      <c r="AP1131" s="77"/>
      <c r="AQ1131" s="77" t="s">
        <v>4371</v>
      </c>
      <c r="AR1131" s="77"/>
      <c r="AS1131" s="77"/>
      <c r="AT1131" s="77"/>
      <c r="AU1131" s="77"/>
      <c r="AV1131" s="80" t="str">
        <f>HYPERLINK("https://pbs.twimg.com/tweet_video_thumb/GBJBShra8AE0E72.jpg")</f>
        <v>https://pbs.twimg.com/tweet_video_thumb/GBJBShra8AE0E72.jpg</v>
      </c>
      <c r="AW1131" s="81" t="s">
        <v>5474</v>
      </c>
      <c r="AX1131" s="81" t="s">
        <v>5474</v>
      </c>
      <c r="AY1131" s="77"/>
      <c r="AZ1131" s="81" t="s">
        <v>5773</v>
      </c>
      <c r="BA1131" s="81" t="s">
        <v>5773</v>
      </c>
      <c r="BB1131" s="81" t="s">
        <v>5773</v>
      </c>
      <c r="BC1131" s="81" t="s">
        <v>5474</v>
      </c>
      <c r="BD1131" s="77">
        <v>297885438</v>
      </c>
      <c r="BE1131" s="77"/>
      <c r="BF1131" s="77"/>
      <c r="BG1131" s="77"/>
      <c r="BH1131" s="77"/>
      <c r="BI1131" s="77"/>
    </row>
    <row r="1132" spans="1:61" ht="15">
      <c r="A1132" s="62" t="s">
        <v>299</v>
      </c>
      <c r="B1132" s="62" t="s">
        <v>299</v>
      </c>
      <c r="C1132" s="63"/>
      <c r="D1132" s="64"/>
      <c r="E1132" s="65"/>
      <c r="F1132" s="66"/>
      <c r="G1132" s="63"/>
      <c r="H1132" s="67"/>
      <c r="I1132" s="68"/>
      <c r="J1132" s="68"/>
      <c r="K1132" s="32" t="s">
        <v>65</v>
      </c>
      <c r="L1132" s="75">
        <v>1132</v>
      </c>
      <c r="M1132" s="75"/>
      <c r="N1132" s="70"/>
      <c r="O1132" s="77" t="s">
        <v>179</v>
      </c>
      <c r="P1132" s="79">
        <v>45272.436111111114</v>
      </c>
      <c r="Q1132" s="77" t="s">
        <v>1511</v>
      </c>
      <c r="R1132" s="77">
        <v>0</v>
      </c>
      <c r="S1132" s="77">
        <v>0</v>
      </c>
      <c r="T1132" s="77">
        <v>0</v>
      </c>
      <c r="U1132" s="77">
        <v>0</v>
      </c>
      <c r="V1132" s="77">
        <v>5</v>
      </c>
      <c r="W1132" s="81" t="s">
        <v>1888</v>
      </c>
      <c r="X1132" s="80" t="str">
        <f>HYPERLINK("https://www.inovies.com/digital-marketing/")</f>
        <v>https://www.inovies.com/digital-marketing/</v>
      </c>
      <c r="Y1132" s="77" t="s">
        <v>1982</v>
      </c>
      <c r="Z1132" s="77"/>
      <c r="AA1132" s="77" t="s">
        <v>2558</v>
      </c>
      <c r="AB1132" s="77" t="s">
        <v>2698</v>
      </c>
      <c r="AC1132" s="81" t="s">
        <v>2707</v>
      </c>
      <c r="AD1132" s="77" t="s">
        <v>2752</v>
      </c>
      <c r="AE1132" s="80" t="str">
        <f>HYPERLINK("https://twitter.com/inovies/status/1734520471776059566")</f>
        <v>https://twitter.com/inovies/status/1734520471776059566</v>
      </c>
      <c r="AF1132" s="79">
        <v>45272.436111111114</v>
      </c>
      <c r="AG1132" s="85">
        <v>45272</v>
      </c>
      <c r="AH1132" s="81" t="s">
        <v>3702</v>
      </c>
      <c r="AI1132" s="77" t="b">
        <v>0</v>
      </c>
      <c r="AJ1132" s="77"/>
      <c r="AK1132" s="77"/>
      <c r="AL1132" s="77"/>
      <c r="AM1132" s="77"/>
      <c r="AN1132" s="77"/>
      <c r="AO1132" s="77"/>
      <c r="AP1132" s="77"/>
      <c r="AQ1132" s="77" t="s">
        <v>4372</v>
      </c>
      <c r="AR1132" s="77"/>
      <c r="AS1132" s="77"/>
      <c r="AT1132" s="77"/>
      <c r="AU1132" s="77"/>
      <c r="AV1132" s="80" t="str">
        <f>HYPERLINK("https://pbs.twimg.com/tweet_video_thumb/GBJBKpMaQAAtugP.jpg")</f>
        <v>https://pbs.twimg.com/tweet_video_thumb/GBJBKpMaQAAtugP.jpg</v>
      </c>
      <c r="AW1132" s="81" t="s">
        <v>5475</v>
      </c>
      <c r="AX1132" s="81" t="s">
        <v>5475</v>
      </c>
      <c r="AY1132" s="77"/>
      <c r="AZ1132" s="81" t="s">
        <v>5773</v>
      </c>
      <c r="BA1132" s="81" t="s">
        <v>5773</v>
      </c>
      <c r="BB1132" s="81" t="s">
        <v>5773</v>
      </c>
      <c r="BC1132" s="81" t="s">
        <v>5475</v>
      </c>
      <c r="BD1132" s="77">
        <v>297885438</v>
      </c>
      <c r="BE1132" s="77"/>
      <c r="BF1132" s="77"/>
      <c r="BG1132" s="77"/>
      <c r="BH1132" s="77"/>
      <c r="BI1132" s="77"/>
    </row>
    <row r="1133" spans="1:61" ht="15">
      <c r="A1133" s="62" t="s">
        <v>299</v>
      </c>
      <c r="B1133" s="62" t="s">
        <v>299</v>
      </c>
      <c r="C1133" s="63"/>
      <c r="D1133" s="64"/>
      <c r="E1133" s="65"/>
      <c r="F1133" s="66"/>
      <c r="G1133" s="63"/>
      <c r="H1133" s="67"/>
      <c r="I1133" s="68"/>
      <c r="J1133" s="68"/>
      <c r="K1133" s="32" t="s">
        <v>65</v>
      </c>
      <c r="L1133" s="75">
        <v>1133</v>
      </c>
      <c r="M1133" s="75"/>
      <c r="N1133" s="70"/>
      <c r="O1133" s="77" t="s">
        <v>179</v>
      </c>
      <c r="P1133" s="79">
        <v>45272.435844907406</v>
      </c>
      <c r="Q1133" s="77" t="s">
        <v>1512</v>
      </c>
      <c r="R1133" s="77">
        <v>0</v>
      </c>
      <c r="S1133" s="77">
        <v>0</v>
      </c>
      <c r="T1133" s="77">
        <v>0</v>
      </c>
      <c r="U1133" s="77">
        <v>0</v>
      </c>
      <c r="V1133" s="77">
        <v>6</v>
      </c>
      <c r="W1133" s="81" t="s">
        <v>1888</v>
      </c>
      <c r="X1133" s="80" t="str">
        <f>HYPERLINK("https://www.inovies.com/digital-marketing/")</f>
        <v>https://www.inovies.com/digital-marketing/</v>
      </c>
      <c r="Y1133" s="77" t="s">
        <v>1982</v>
      </c>
      <c r="Z1133" s="77"/>
      <c r="AA1133" s="77" t="s">
        <v>2559</v>
      </c>
      <c r="AB1133" s="77" t="s">
        <v>2698</v>
      </c>
      <c r="AC1133" s="81" t="s">
        <v>2707</v>
      </c>
      <c r="AD1133" s="77" t="s">
        <v>2752</v>
      </c>
      <c r="AE1133" s="80" t="str">
        <f>HYPERLINK("https://twitter.com/inovies/status/1734520374812193121")</f>
        <v>https://twitter.com/inovies/status/1734520374812193121</v>
      </c>
      <c r="AF1133" s="79">
        <v>45272.435844907406</v>
      </c>
      <c r="AG1133" s="85">
        <v>45272</v>
      </c>
      <c r="AH1133" s="81" t="s">
        <v>3703</v>
      </c>
      <c r="AI1133" s="77" t="b">
        <v>0</v>
      </c>
      <c r="AJ1133" s="77"/>
      <c r="AK1133" s="77"/>
      <c r="AL1133" s="77"/>
      <c r="AM1133" s="77"/>
      <c r="AN1133" s="77"/>
      <c r="AO1133" s="77"/>
      <c r="AP1133" s="77"/>
      <c r="AQ1133" s="77" t="s">
        <v>4373</v>
      </c>
      <c r="AR1133" s="77"/>
      <c r="AS1133" s="77"/>
      <c r="AT1133" s="77"/>
      <c r="AU1133" s="77"/>
      <c r="AV1133" s="80" t="str">
        <f>HYPERLINK("https://pbs.twimg.com/tweet_video_thumb/GBJBFRNaUAEfFrJ.jpg")</f>
        <v>https://pbs.twimg.com/tweet_video_thumb/GBJBFRNaUAEfFrJ.jpg</v>
      </c>
      <c r="AW1133" s="81" t="s">
        <v>5476</v>
      </c>
      <c r="AX1133" s="81" t="s">
        <v>5476</v>
      </c>
      <c r="AY1133" s="77"/>
      <c r="AZ1133" s="81" t="s">
        <v>5773</v>
      </c>
      <c r="BA1133" s="81" t="s">
        <v>5773</v>
      </c>
      <c r="BB1133" s="81" t="s">
        <v>5773</v>
      </c>
      <c r="BC1133" s="81" t="s">
        <v>5476</v>
      </c>
      <c r="BD1133" s="77">
        <v>297885438</v>
      </c>
      <c r="BE1133" s="77"/>
      <c r="BF1133" s="77"/>
      <c r="BG1133" s="77"/>
      <c r="BH1133" s="77"/>
      <c r="BI1133" s="77"/>
    </row>
    <row r="1134" spans="1:61" ht="15">
      <c r="A1134" s="62" t="s">
        <v>299</v>
      </c>
      <c r="B1134" s="62" t="s">
        <v>299</v>
      </c>
      <c r="C1134" s="63"/>
      <c r="D1134" s="64"/>
      <c r="E1134" s="65"/>
      <c r="F1134" s="66"/>
      <c r="G1134" s="63"/>
      <c r="H1134" s="67"/>
      <c r="I1134" s="68"/>
      <c r="J1134" s="68"/>
      <c r="K1134" s="32" t="s">
        <v>65</v>
      </c>
      <c r="L1134" s="75">
        <v>1134</v>
      </c>
      <c r="M1134" s="75"/>
      <c r="N1134" s="70"/>
      <c r="O1134" s="77" t="s">
        <v>179</v>
      </c>
      <c r="P1134" s="79">
        <v>45272.4353587963</v>
      </c>
      <c r="Q1134" s="77" t="s">
        <v>1513</v>
      </c>
      <c r="R1134" s="77">
        <v>0</v>
      </c>
      <c r="S1134" s="77">
        <v>0</v>
      </c>
      <c r="T1134" s="77">
        <v>0</v>
      </c>
      <c r="U1134" s="77">
        <v>0</v>
      </c>
      <c r="V1134" s="77">
        <v>5</v>
      </c>
      <c r="W1134" s="81" t="s">
        <v>1888</v>
      </c>
      <c r="X1134" s="80" t="str">
        <f>HYPERLINK("https://www.inovies.com/digital-marketing/")</f>
        <v>https://www.inovies.com/digital-marketing/</v>
      </c>
      <c r="Y1134" s="77" t="s">
        <v>1982</v>
      </c>
      <c r="Z1134" s="77"/>
      <c r="AA1134" s="77" t="s">
        <v>2560</v>
      </c>
      <c r="AB1134" s="77" t="s">
        <v>2698</v>
      </c>
      <c r="AC1134" s="81" t="s">
        <v>2707</v>
      </c>
      <c r="AD1134" s="77" t="s">
        <v>2752</v>
      </c>
      <c r="AE1134" s="80" t="str">
        <f>HYPERLINK("https://twitter.com/inovies/status/1734520197904748764")</f>
        <v>https://twitter.com/inovies/status/1734520197904748764</v>
      </c>
      <c r="AF1134" s="79">
        <v>45272.4353587963</v>
      </c>
      <c r="AG1134" s="85">
        <v>45272</v>
      </c>
      <c r="AH1134" s="81" t="s">
        <v>3704</v>
      </c>
      <c r="AI1134" s="77" t="b">
        <v>0</v>
      </c>
      <c r="AJ1134" s="77"/>
      <c r="AK1134" s="77"/>
      <c r="AL1134" s="77"/>
      <c r="AM1134" s="77"/>
      <c r="AN1134" s="77"/>
      <c r="AO1134" s="77"/>
      <c r="AP1134" s="77"/>
      <c r="AQ1134" s="77" t="s">
        <v>4374</v>
      </c>
      <c r="AR1134" s="77"/>
      <c r="AS1134" s="77"/>
      <c r="AT1134" s="77"/>
      <c r="AU1134" s="77"/>
      <c r="AV1134" s="80" t="str">
        <f>HYPERLINK("https://pbs.twimg.com/tweet_video_thumb/GBJA7Bna0AAArUa.jpg")</f>
        <v>https://pbs.twimg.com/tweet_video_thumb/GBJA7Bna0AAArUa.jpg</v>
      </c>
      <c r="AW1134" s="81" t="s">
        <v>5477</v>
      </c>
      <c r="AX1134" s="81" t="s">
        <v>5477</v>
      </c>
      <c r="AY1134" s="77"/>
      <c r="AZ1134" s="81" t="s">
        <v>5773</v>
      </c>
      <c r="BA1134" s="81" t="s">
        <v>5773</v>
      </c>
      <c r="BB1134" s="81" t="s">
        <v>5773</v>
      </c>
      <c r="BC1134" s="81" t="s">
        <v>5477</v>
      </c>
      <c r="BD1134" s="77">
        <v>297885438</v>
      </c>
      <c r="BE1134" s="77"/>
      <c r="BF1134" s="77"/>
      <c r="BG1134" s="77"/>
      <c r="BH1134" s="77"/>
      <c r="BI1134" s="77"/>
    </row>
    <row r="1135" spans="1:61" ht="15">
      <c r="A1135" s="62" t="s">
        <v>299</v>
      </c>
      <c r="B1135" s="62" t="s">
        <v>299</v>
      </c>
      <c r="C1135" s="63"/>
      <c r="D1135" s="64"/>
      <c r="E1135" s="65"/>
      <c r="F1135" s="66"/>
      <c r="G1135" s="63"/>
      <c r="H1135" s="67"/>
      <c r="I1135" s="68"/>
      <c r="J1135" s="68"/>
      <c r="K1135" s="32" t="s">
        <v>65</v>
      </c>
      <c r="L1135" s="75">
        <v>1135</v>
      </c>
      <c r="M1135" s="75"/>
      <c r="N1135" s="70"/>
      <c r="O1135" s="77" t="s">
        <v>179</v>
      </c>
      <c r="P1135" s="79">
        <v>45272.43315972222</v>
      </c>
      <c r="Q1135" s="77" t="s">
        <v>1514</v>
      </c>
      <c r="R1135" s="77">
        <v>0</v>
      </c>
      <c r="S1135" s="77">
        <v>0</v>
      </c>
      <c r="T1135" s="77">
        <v>0</v>
      </c>
      <c r="U1135" s="77">
        <v>0</v>
      </c>
      <c r="V1135" s="77">
        <v>5</v>
      </c>
      <c r="W1135" s="81" t="s">
        <v>1888</v>
      </c>
      <c r="X1135" s="80" t="str">
        <f>HYPERLINK("https://www.inovies.com/digital-marketing/")</f>
        <v>https://www.inovies.com/digital-marketing/</v>
      </c>
      <c r="Y1135" s="77" t="s">
        <v>1982</v>
      </c>
      <c r="Z1135" s="77"/>
      <c r="AA1135" s="77" t="s">
        <v>2561</v>
      </c>
      <c r="AB1135" s="77" t="s">
        <v>2698</v>
      </c>
      <c r="AC1135" s="81" t="s">
        <v>2707</v>
      </c>
      <c r="AD1135" s="77" t="s">
        <v>2752</v>
      </c>
      <c r="AE1135" s="80" t="str">
        <f>HYPERLINK("https://twitter.com/inovies/status/1734519400555061450")</f>
        <v>https://twitter.com/inovies/status/1734519400555061450</v>
      </c>
      <c r="AF1135" s="79">
        <v>45272.43315972222</v>
      </c>
      <c r="AG1135" s="85">
        <v>45272</v>
      </c>
      <c r="AH1135" s="81" t="s">
        <v>3705</v>
      </c>
      <c r="AI1135" s="77" t="b">
        <v>0</v>
      </c>
      <c r="AJ1135" s="77"/>
      <c r="AK1135" s="77"/>
      <c r="AL1135" s="77"/>
      <c r="AM1135" s="77"/>
      <c r="AN1135" s="77"/>
      <c r="AO1135" s="77"/>
      <c r="AP1135" s="77"/>
      <c r="AQ1135" s="77" t="s">
        <v>4375</v>
      </c>
      <c r="AR1135" s="77"/>
      <c r="AS1135" s="77"/>
      <c r="AT1135" s="77"/>
      <c r="AU1135" s="77"/>
      <c r="AV1135" s="80" t="str">
        <f>HYPERLINK("https://pbs.twimg.com/tweet_video_thumb/GBJAMm5aQAA7Hbs.jpg")</f>
        <v>https://pbs.twimg.com/tweet_video_thumb/GBJAMm5aQAA7Hbs.jpg</v>
      </c>
      <c r="AW1135" s="81" t="s">
        <v>5478</v>
      </c>
      <c r="AX1135" s="81" t="s">
        <v>5478</v>
      </c>
      <c r="AY1135" s="77"/>
      <c r="AZ1135" s="81" t="s">
        <v>5773</v>
      </c>
      <c r="BA1135" s="81" t="s">
        <v>5773</v>
      </c>
      <c r="BB1135" s="81" t="s">
        <v>5773</v>
      </c>
      <c r="BC1135" s="81" t="s">
        <v>5478</v>
      </c>
      <c r="BD1135" s="77">
        <v>297885438</v>
      </c>
      <c r="BE1135" s="77"/>
      <c r="BF1135" s="77"/>
      <c r="BG1135" s="77"/>
      <c r="BH1135" s="77"/>
      <c r="BI1135" s="77"/>
    </row>
    <row r="1136" spans="1:61" ht="15">
      <c r="A1136" s="62" t="s">
        <v>299</v>
      </c>
      <c r="B1136" s="62" t="s">
        <v>299</v>
      </c>
      <c r="C1136" s="63"/>
      <c r="D1136" s="64"/>
      <c r="E1136" s="65"/>
      <c r="F1136" s="66"/>
      <c r="G1136" s="63"/>
      <c r="H1136" s="67"/>
      <c r="I1136" s="68"/>
      <c r="J1136" s="68"/>
      <c r="K1136" s="32" t="s">
        <v>65</v>
      </c>
      <c r="L1136" s="75">
        <v>1136</v>
      </c>
      <c r="M1136" s="75"/>
      <c r="N1136" s="70"/>
      <c r="O1136" s="77" t="s">
        <v>179</v>
      </c>
      <c r="P1136" s="79">
        <v>45272.43188657407</v>
      </c>
      <c r="Q1136" s="77" t="s">
        <v>1515</v>
      </c>
      <c r="R1136" s="77">
        <v>0</v>
      </c>
      <c r="S1136" s="77">
        <v>0</v>
      </c>
      <c r="T1136" s="77">
        <v>0</v>
      </c>
      <c r="U1136" s="77">
        <v>0</v>
      </c>
      <c r="V1136" s="77">
        <v>5</v>
      </c>
      <c r="W1136" s="81" t="s">
        <v>1888</v>
      </c>
      <c r="X1136" s="80" t="str">
        <f>HYPERLINK("https://www.inovies.com/digital-marketing/")</f>
        <v>https://www.inovies.com/digital-marketing/</v>
      </c>
      <c r="Y1136" s="77" t="s">
        <v>1982</v>
      </c>
      <c r="Z1136" s="77"/>
      <c r="AA1136" s="77" t="s">
        <v>2562</v>
      </c>
      <c r="AB1136" s="77" t="s">
        <v>2698</v>
      </c>
      <c r="AC1136" s="81" t="s">
        <v>2707</v>
      </c>
      <c r="AD1136" s="77" t="s">
        <v>2752</v>
      </c>
      <c r="AE1136" s="80" t="str">
        <f>HYPERLINK("https://twitter.com/inovies/status/1734518938057535987")</f>
        <v>https://twitter.com/inovies/status/1734518938057535987</v>
      </c>
      <c r="AF1136" s="79">
        <v>45272.43188657407</v>
      </c>
      <c r="AG1136" s="85">
        <v>45272</v>
      </c>
      <c r="AH1136" s="81" t="s">
        <v>3706</v>
      </c>
      <c r="AI1136" s="77" t="b">
        <v>0</v>
      </c>
      <c r="AJ1136" s="77"/>
      <c r="AK1136" s="77"/>
      <c r="AL1136" s="77"/>
      <c r="AM1136" s="77"/>
      <c r="AN1136" s="77"/>
      <c r="AO1136" s="77"/>
      <c r="AP1136" s="77"/>
      <c r="AQ1136" s="77" t="s">
        <v>4376</v>
      </c>
      <c r="AR1136" s="77"/>
      <c r="AS1136" s="77"/>
      <c r="AT1136" s="77"/>
      <c r="AU1136" s="77"/>
      <c r="AV1136" s="80" t="str">
        <f>HYPERLINK("https://pbs.twimg.com/tweet_video_thumb/GBI_xsoasAADCCG.jpg")</f>
        <v>https://pbs.twimg.com/tweet_video_thumb/GBI_xsoasAADCCG.jpg</v>
      </c>
      <c r="AW1136" s="81" t="s">
        <v>5479</v>
      </c>
      <c r="AX1136" s="81" t="s">
        <v>5479</v>
      </c>
      <c r="AY1136" s="77"/>
      <c r="AZ1136" s="81" t="s">
        <v>5773</v>
      </c>
      <c r="BA1136" s="81" t="s">
        <v>5773</v>
      </c>
      <c r="BB1136" s="81" t="s">
        <v>5773</v>
      </c>
      <c r="BC1136" s="81" t="s">
        <v>5479</v>
      </c>
      <c r="BD1136" s="77">
        <v>297885438</v>
      </c>
      <c r="BE1136" s="77"/>
      <c r="BF1136" s="77"/>
      <c r="BG1136" s="77"/>
      <c r="BH1136" s="77"/>
      <c r="BI1136" s="77"/>
    </row>
    <row r="1137" spans="1:61" ht="15">
      <c r="A1137" s="62" t="s">
        <v>299</v>
      </c>
      <c r="B1137" s="62" t="s">
        <v>299</v>
      </c>
      <c r="C1137" s="63"/>
      <c r="D1137" s="64"/>
      <c r="E1137" s="65"/>
      <c r="F1137" s="66"/>
      <c r="G1137" s="63"/>
      <c r="H1137" s="67"/>
      <c r="I1137" s="68"/>
      <c r="J1137" s="68"/>
      <c r="K1137" s="32" t="s">
        <v>65</v>
      </c>
      <c r="L1137" s="75">
        <v>1137</v>
      </c>
      <c r="M1137" s="75"/>
      <c r="N1137" s="70"/>
      <c r="O1137" s="77" t="s">
        <v>179</v>
      </c>
      <c r="P1137" s="79">
        <v>45272.43148148148</v>
      </c>
      <c r="Q1137" s="77" t="s">
        <v>1516</v>
      </c>
      <c r="R1137" s="77">
        <v>0</v>
      </c>
      <c r="S1137" s="77">
        <v>0</v>
      </c>
      <c r="T1137" s="77">
        <v>0</v>
      </c>
      <c r="U1137" s="77">
        <v>0</v>
      </c>
      <c r="V1137" s="77">
        <v>6</v>
      </c>
      <c r="W1137" s="81" t="s">
        <v>1888</v>
      </c>
      <c r="X1137" s="80" t="str">
        <f>HYPERLINK("https://www.inovies.com/digital-marketing/")</f>
        <v>https://www.inovies.com/digital-marketing/</v>
      </c>
      <c r="Y1137" s="77" t="s">
        <v>1982</v>
      </c>
      <c r="Z1137" s="77"/>
      <c r="AA1137" s="77" t="s">
        <v>2563</v>
      </c>
      <c r="AB1137" s="77" t="s">
        <v>2698</v>
      </c>
      <c r="AC1137" s="81" t="s">
        <v>2707</v>
      </c>
      <c r="AD1137" s="77" t="s">
        <v>2752</v>
      </c>
      <c r="AE1137" s="80" t="str">
        <f>HYPERLINK("https://twitter.com/inovies/status/1734518791202328832")</f>
        <v>https://twitter.com/inovies/status/1734518791202328832</v>
      </c>
      <c r="AF1137" s="79">
        <v>45272.43148148148</v>
      </c>
      <c r="AG1137" s="85">
        <v>45272</v>
      </c>
      <c r="AH1137" s="81" t="s">
        <v>3707</v>
      </c>
      <c r="AI1137" s="77" t="b">
        <v>0</v>
      </c>
      <c r="AJ1137" s="77"/>
      <c r="AK1137" s="77"/>
      <c r="AL1137" s="77"/>
      <c r="AM1137" s="77"/>
      <c r="AN1137" s="77"/>
      <c r="AO1137" s="77"/>
      <c r="AP1137" s="77"/>
      <c r="AQ1137" s="77" t="s">
        <v>4377</v>
      </c>
      <c r="AR1137" s="77"/>
      <c r="AS1137" s="77"/>
      <c r="AT1137" s="77"/>
      <c r="AU1137" s="77"/>
      <c r="AV1137" s="80" t="str">
        <f>HYPERLINK("https://pbs.twimg.com/tweet_video_thumb/GBI_pJPaUAIciBF.jpg")</f>
        <v>https://pbs.twimg.com/tweet_video_thumb/GBI_pJPaUAIciBF.jpg</v>
      </c>
      <c r="AW1137" s="81" t="s">
        <v>5480</v>
      </c>
      <c r="AX1137" s="81" t="s">
        <v>5480</v>
      </c>
      <c r="AY1137" s="77"/>
      <c r="AZ1137" s="81" t="s">
        <v>5773</v>
      </c>
      <c r="BA1137" s="81" t="s">
        <v>5773</v>
      </c>
      <c r="BB1137" s="81" t="s">
        <v>5773</v>
      </c>
      <c r="BC1137" s="81" t="s">
        <v>5480</v>
      </c>
      <c r="BD1137" s="77">
        <v>297885438</v>
      </c>
      <c r="BE1137" s="77"/>
      <c r="BF1137" s="77"/>
      <c r="BG1137" s="77"/>
      <c r="BH1137" s="77"/>
      <c r="BI1137" s="77"/>
    </row>
    <row r="1138" spans="1:61" ht="15">
      <c r="A1138" s="62" t="s">
        <v>299</v>
      </c>
      <c r="B1138" s="62" t="s">
        <v>299</v>
      </c>
      <c r="C1138" s="63"/>
      <c r="D1138" s="64"/>
      <c r="E1138" s="65"/>
      <c r="F1138" s="66"/>
      <c r="G1138" s="63"/>
      <c r="H1138" s="67"/>
      <c r="I1138" s="68"/>
      <c r="J1138" s="68"/>
      <c r="K1138" s="32" t="s">
        <v>65</v>
      </c>
      <c r="L1138" s="75">
        <v>1138</v>
      </c>
      <c r="M1138" s="75"/>
      <c r="N1138" s="70"/>
      <c r="O1138" s="77" t="s">
        <v>179</v>
      </c>
      <c r="P1138" s="79">
        <v>45272.43099537037</v>
      </c>
      <c r="Q1138" s="77" t="s">
        <v>1517</v>
      </c>
      <c r="R1138" s="77">
        <v>0</v>
      </c>
      <c r="S1138" s="77">
        <v>0</v>
      </c>
      <c r="T1138" s="77">
        <v>0</v>
      </c>
      <c r="U1138" s="77">
        <v>0</v>
      </c>
      <c r="V1138" s="77">
        <v>4</v>
      </c>
      <c r="W1138" s="81" t="s">
        <v>1888</v>
      </c>
      <c r="X1138" s="80" t="str">
        <f>HYPERLINK("https://www.inovies.com/digital-marketing/")</f>
        <v>https://www.inovies.com/digital-marketing/</v>
      </c>
      <c r="Y1138" s="77" t="s">
        <v>1982</v>
      </c>
      <c r="Z1138" s="77"/>
      <c r="AA1138" s="77" t="s">
        <v>2564</v>
      </c>
      <c r="AB1138" s="77" t="s">
        <v>2698</v>
      </c>
      <c r="AC1138" s="81" t="s">
        <v>2707</v>
      </c>
      <c r="AD1138" s="77" t="s">
        <v>2752</v>
      </c>
      <c r="AE1138" s="80" t="str">
        <f>HYPERLINK("https://twitter.com/inovies/status/1734518615058403348")</f>
        <v>https://twitter.com/inovies/status/1734518615058403348</v>
      </c>
      <c r="AF1138" s="79">
        <v>45272.43099537037</v>
      </c>
      <c r="AG1138" s="85">
        <v>45272</v>
      </c>
      <c r="AH1138" s="81" t="s">
        <v>3708</v>
      </c>
      <c r="AI1138" s="77" t="b">
        <v>0</v>
      </c>
      <c r="AJ1138" s="77"/>
      <c r="AK1138" s="77"/>
      <c r="AL1138" s="77"/>
      <c r="AM1138" s="77"/>
      <c r="AN1138" s="77"/>
      <c r="AO1138" s="77"/>
      <c r="AP1138" s="77"/>
      <c r="AQ1138" s="77" t="s">
        <v>4378</v>
      </c>
      <c r="AR1138" s="77"/>
      <c r="AS1138" s="77"/>
      <c r="AT1138" s="77"/>
      <c r="AU1138" s="77"/>
      <c r="AV1138" s="80" t="str">
        <f>HYPERLINK("https://pbs.twimg.com/tweet_video_thumb/GBI_ejobkAAc4bZ.jpg")</f>
        <v>https://pbs.twimg.com/tweet_video_thumb/GBI_ejobkAAc4bZ.jpg</v>
      </c>
      <c r="AW1138" s="81" t="s">
        <v>5481</v>
      </c>
      <c r="AX1138" s="81" t="s">
        <v>5481</v>
      </c>
      <c r="AY1138" s="77"/>
      <c r="AZ1138" s="81" t="s">
        <v>5773</v>
      </c>
      <c r="BA1138" s="81" t="s">
        <v>5773</v>
      </c>
      <c r="BB1138" s="81" t="s">
        <v>5773</v>
      </c>
      <c r="BC1138" s="81" t="s">
        <v>5481</v>
      </c>
      <c r="BD1138" s="77">
        <v>297885438</v>
      </c>
      <c r="BE1138" s="77"/>
      <c r="BF1138" s="77"/>
      <c r="BG1138" s="77"/>
      <c r="BH1138" s="77"/>
      <c r="BI1138" s="77"/>
    </row>
    <row r="1139" spans="1:61" ht="15">
      <c r="A1139" s="62" t="s">
        <v>299</v>
      </c>
      <c r="B1139" s="62" t="s">
        <v>299</v>
      </c>
      <c r="C1139" s="63"/>
      <c r="D1139" s="64"/>
      <c r="E1139" s="65"/>
      <c r="F1139" s="66"/>
      <c r="G1139" s="63"/>
      <c r="H1139" s="67"/>
      <c r="I1139" s="68"/>
      <c r="J1139" s="68"/>
      <c r="K1139" s="32" t="s">
        <v>65</v>
      </c>
      <c r="L1139" s="75">
        <v>1139</v>
      </c>
      <c r="M1139" s="75"/>
      <c r="N1139" s="70"/>
      <c r="O1139" s="77" t="s">
        <v>179</v>
      </c>
      <c r="P1139" s="79">
        <v>45272.377962962964</v>
      </c>
      <c r="Q1139" s="77" t="s">
        <v>1518</v>
      </c>
      <c r="R1139" s="77">
        <v>0</v>
      </c>
      <c r="S1139" s="77">
        <v>0</v>
      </c>
      <c r="T1139" s="77">
        <v>0</v>
      </c>
      <c r="U1139" s="77">
        <v>0</v>
      </c>
      <c r="V1139" s="77">
        <v>5</v>
      </c>
      <c r="W1139" s="81" t="s">
        <v>1888</v>
      </c>
      <c r="X1139" s="80" t="str">
        <f>HYPERLINK("https://www.inovies.com/digital-marketing/")</f>
        <v>https://www.inovies.com/digital-marketing/</v>
      </c>
      <c r="Y1139" s="77" t="s">
        <v>1982</v>
      </c>
      <c r="Z1139" s="77"/>
      <c r="AA1139" s="77" t="s">
        <v>2565</v>
      </c>
      <c r="AB1139" s="77" t="s">
        <v>2698</v>
      </c>
      <c r="AC1139" s="81" t="s">
        <v>2707</v>
      </c>
      <c r="AD1139" s="77" t="s">
        <v>2752</v>
      </c>
      <c r="AE1139" s="80" t="str">
        <f>HYPERLINK("https://twitter.com/inovies/status/1734499397717913734")</f>
        <v>https://twitter.com/inovies/status/1734499397717913734</v>
      </c>
      <c r="AF1139" s="79">
        <v>45272.377962962964</v>
      </c>
      <c r="AG1139" s="85">
        <v>45272</v>
      </c>
      <c r="AH1139" s="81" t="s">
        <v>3709</v>
      </c>
      <c r="AI1139" s="77" t="b">
        <v>0</v>
      </c>
      <c r="AJ1139" s="77"/>
      <c r="AK1139" s="77"/>
      <c r="AL1139" s="77"/>
      <c r="AM1139" s="77"/>
      <c r="AN1139" s="77"/>
      <c r="AO1139" s="77"/>
      <c r="AP1139" s="77"/>
      <c r="AQ1139" s="77" t="s">
        <v>4379</v>
      </c>
      <c r="AR1139" s="77"/>
      <c r="AS1139" s="77"/>
      <c r="AT1139" s="77"/>
      <c r="AU1139" s="77"/>
      <c r="AV1139" s="80" t="str">
        <f>HYPERLINK("https://pbs.twimg.com/tweet_video_thumb/GBIuATgawAAE-IC.jpg")</f>
        <v>https://pbs.twimg.com/tweet_video_thumb/GBIuATgawAAE-IC.jpg</v>
      </c>
      <c r="AW1139" s="81" t="s">
        <v>5482</v>
      </c>
      <c r="AX1139" s="81" t="s">
        <v>5482</v>
      </c>
      <c r="AY1139" s="77"/>
      <c r="AZ1139" s="81" t="s">
        <v>5773</v>
      </c>
      <c r="BA1139" s="81" t="s">
        <v>5773</v>
      </c>
      <c r="BB1139" s="81" t="s">
        <v>5773</v>
      </c>
      <c r="BC1139" s="81" t="s">
        <v>5482</v>
      </c>
      <c r="BD1139" s="77">
        <v>297885438</v>
      </c>
      <c r="BE1139" s="77"/>
      <c r="BF1139" s="77"/>
      <c r="BG1139" s="77"/>
      <c r="BH1139" s="77"/>
      <c r="BI1139" s="77"/>
    </row>
    <row r="1140" spans="1:61" ht="15">
      <c r="A1140" s="62" t="s">
        <v>299</v>
      </c>
      <c r="B1140" s="62" t="s">
        <v>299</v>
      </c>
      <c r="C1140" s="63"/>
      <c r="D1140" s="64"/>
      <c r="E1140" s="65"/>
      <c r="F1140" s="66"/>
      <c r="G1140" s="63"/>
      <c r="H1140" s="67"/>
      <c r="I1140" s="68"/>
      <c r="J1140" s="68"/>
      <c r="K1140" s="32" t="s">
        <v>65</v>
      </c>
      <c r="L1140" s="75">
        <v>1140</v>
      </c>
      <c r="M1140" s="75"/>
      <c r="N1140" s="70"/>
      <c r="O1140" s="77" t="s">
        <v>179</v>
      </c>
      <c r="P1140" s="79">
        <v>45272.377534722225</v>
      </c>
      <c r="Q1140" s="77" t="s">
        <v>1519</v>
      </c>
      <c r="R1140" s="77">
        <v>0</v>
      </c>
      <c r="S1140" s="77">
        <v>0</v>
      </c>
      <c r="T1140" s="77">
        <v>0</v>
      </c>
      <c r="U1140" s="77">
        <v>0</v>
      </c>
      <c r="V1140" s="77">
        <v>5</v>
      </c>
      <c r="W1140" s="81" t="s">
        <v>1888</v>
      </c>
      <c r="X1140" s="80" t="str">
        <f>HYPERLINK("https://www.inovies.com/digital-marketing/")</f>
        <v>https://www.inovies.com/digital-marketing/</v>
      </c>
      <c r="Y1140" s="77" t="s">
        <v>1982</v>
      </c>
      <c r="Z1140" s="77"/>
      <c r="AA1140" s="77" t="s">
        <v>2566</v>
      </c>
      <c r="AB1140" s="77" t="s">
        <v>2698</v>
      </c>
      <c r="AC1140" s="81" t="s">
        <v>2707</v>
      </c>
      <c r="AD1140" s="77" t="s">
        <v>2752</v>
      </c>
      <c r="AE1140" s="80" t="str">
        <f>HYPERLINK("https://twitter.com/inovies/status/1734499242839040023")</f>
        <v>https://twitter.com/inovies/status/1734499242839040023</v>
      </c>
      <c r="AF1140" s="79">
        <v>45272.377534722225</v>
      </c>
      <c r="AG1140" s="85">
        <v>45272</v>
      </c>
      <c r="AH1140" s="81" t="s">
        <v>3710</v>
      </c>
      <c r="AI1140" s="77" t="b">
        <v>0</v>
      </c>
      <c r="AJ1140" s="77"/>
      <c r="AK1140" s="77"/>
      <c r="AL1140" s="77"/>
      <c r="AM1140" s="77"/>
      <c r="AN1140" s="77"/>
      <c r="AO1140" s="77"/>
      <c r="AP1140" s="77"/>
      <c r="AQ1140" s="77" t="s">
        <v>4380</v>
      </c>
      <c r="AR1140" s="77"/>
      <c r="AS1140" s="77"/>
      <c r="AT1140" s="77"/>
      <c r="AU1140" s="77"/>
      <c r="AV1140" s="80" t="str">
        <f>HYPERLINK("https://pbs.twimg.com/tweet_video_thumb/GBIt3RUakAAEbL5.jpg")</f>
        <v>https://pbs.twimg.com/tweet_video_thumb/GBIt3RUakAAEbL5.jpg</v>
      </c>
      <c r="AW1140" s="81" t="s">
        <v>5483</v>
      </c>
      <c r="AX1140" s="81" t="s">
        <v>5483</v>
      </c>
      <c r="AY1140" s="77"/>
      <c r="AZ1140" s="81" t="s">
        <v>5773</v>
      </c>
      <c r="BA1140" s="81" t="s">
        <v>5773</v>
      </c>
      <c r="BB1140" s="81" t="s">
        <v>5773</v>
      </c>
      <c r="BC1140" s="81" t="s">
        <v>5483</v>
      </c>
      <c r="BD1140" s="77">
        <v>297885438</v>
      </c>
      <c r="BE1140" s="77"/>
      <c r="BF1140" s="77"/>
      <c r="BG1140" s="77"/>
      <c r="BH1140" s="77"/>
      <c r="BI1140" s="77"/>
    </row>
    <row r="1141" spans="1:61" ht="15">
      <c r="A1141" s="62" t="s">
        <v>299</v>
      </c>
      <c r="B1141" s="62" t="s">
        <v>299</v>
      </c>
      <c r="C1141" s="63"/>
      <c r="D1141" s="64"/>
      <c r="E1141" s="65"/>
      <c r="F1141" s="66"/>
      <c r="G1141" s="63"/>
      <c r="H1141" s="67"/>
      <c r="I1141" s="68"/>
      <c r="J1141" s="68"/>
      <c r="K1141" s="32" t="s">
        <v>65</v>
      </c>
      <c r="L1141" s="75">
        <v>1141</v>
      </c>
      <c r="M1141" s="75"/>
      <c r="N1141" s="70"/>
      <c r="O1141" s="77" t="s">
        <v>179</v>
      </c>
      <c r="P1141" s="79">
        <v>45272.37712962963</v>
      </c>
      <c r="Q1141" s="77" t="s">
        <v>1520</v>
      </c>
      <c r="R1141" s="77">
        <v>0</v>
      </c>
      <c r="S1141" s="77">
        <v>0</v>
      </c>
      <c r="T1141" s="77">
        <v>0</v>
      </c>
      <c r="U1141" s="77">
        <v>0</v>
      </c>
      <c r="V1141" s="77">
        <v>5</v>
      </c>
      <c r="W1141" s="81" t="s">
        <v>1888</v>
      </c>
      <c r="X1141" s="80" t="str">
        <f>HYPERLINK("https://www.inovies.com/digital-marketing/")</f>
        <v>https://www.inovies.com/digital-marketing/</v>
      </c>
      <c r="Y1141" s="77" t="s">
        <v>1982</v>
      </c>
      <c r="Z1141" s="77"/>
      <c r="AA1141" s="77" t="s">
        <v>2567</v>
      </c>
      <c r="AB1141" s="77" t="s">
        <v>2698</v>
      </c>
      <c r="AC1141" s="81" t="s">
        <v>2707</v>
      </c>
      <c r="AD1141" s="77" t="s">
        <v>2752</v>
      </c>
      <c r="AE1141" s="80" t="str">
        <f>HYPERLINK("https://twitter.com/inovies/status/1734499096080388402")</f>
        <v>https://twitter.com/inovies/status/1734499096080388402</v>
      </c>
      <c r="AF1141" s="79">
        <v>45272.37712962963</v>
      </c>
      <c r="AG1141" s="85">
        <v>45272</v>
      </c>
      <c r="AH1141" s="81" t="s">
        <v>3711</v>
      </c>
      <c r="AI1141" s="77" t="b">
        <v>0</v>
      </c>
      <c r="AJ1141" s="77"/>
      <c r="AK1141" s="77"/>
      <c r="AL1141" s="77"/>
      <c r="AM1141" s="77"/>
      <c r="AN1141" s="77"/>
      <c r="AO1141" s="77"/>
      <c r="AP1141" s="77"/>
      <c r="AQ1141" s="77" t="s">
        <v>4381</v>
      </c>
      <c r="AR1141" s="77"/>
      <c r="AS1141" s="77"/>
      <c r="AT1141" s="77"/>
      <c r="AU1141" s="77"/>
      <c r="AV1141" s="80" t="str">
        <f>HYPERLINK("https://pbs.twimg.com/tweet_video_thumb/GBItuvYacAAIqzN.jpg")</f>
        <v>https://pbs.twimg.com/tweet_video_thumb/GBItuvYacAAIqzN.jpg</v>
      </c>
      <c r="AW1141" s="81" t="s">
        <v>5484</v>
      </c>
      <c r="AX1141" s="81" t="s">
        <v>5484</v>
      </c>
      <c r="AY1141" s="77"/>
      <c r="AZ1141" s="81" t="s">
        <v>5773</v>
      </c>
      <c r="BA1141" s="81" t="s">
        <v>5773</v>
      </c>
      <c r="BB1141" s="81" t="s">
        <v>5773</v>
      </c>
      <c r="BC1141" s="81" t="s">
        <v>5484</v>
      </c>
      <c r="BD1141" s="77">
        <v>297885438</v>
      </c>
      <c r="BE1141" s="77"/>
      <c r="BF1141" s="77"/>
      <c r="BG1141" s="77"/>
      <c r="BH1141" s="77"/>
      <c r="BI1141" s="77"/>
    </row>
    <row r="1142" spans="1:61" ht="15">
      <c r="A1142" s="62" t="s">
        <v>299</v>
      </c>
      <c r="B1142" s="62" t="s">
        <v>299</v>
      </c>
      <c r="C1142" s="63"/>
      <c r="D1142" s="64"/>
      <c r="E1142" s="65"/>
      <c r="F1142" s="66"/>
      <c r="G1142" s="63"/>
      <c r="H1142" s="67"/>
      <c r="I1142" s="68"/>
      <c r="J1142" s="68"/>
      <c r="K1142" s="32" t="s">
        <v>65</v>
      </c>
      <c r="L1142" s="75">
        <v>1142</v>
      </c>
      <c r="M1142" s="75"/>
      <c r="N1142" s="70"/>
      <c r="O1142" s="77" t="s">
        <v>179</v>
      </c>
      <c r="P1142" s="79">
        <v>45272.37684027778</v>
      </c>
      <c r="Q1142" s="77" t="s">
        <v>1521</v>
      </c>
      <c r="R1142" s="77">
        <v>0</v>
      </c>
      <c r="S1142" s="77">
        <v>0</v>
      </c>
      <c r="T1142" s="77">
        <v>0</v>
      </c>
      <c r="U1142" s="77">
        <v>0</v>
      </c>
      <c r="V1142" s="77">
        <v>5</v>
      </c>
      <c r="W1142" s="81" t="s">
        <v>1888</v>
      </c>
      <c r="X1142" s="80" t="str">
        <f>HYPERLINK("https://www.inovies.com/digital-marketing/")</f>
        <v>https://www.inovies.com/digital-marketing/</v>
      </c>
      <c r="Y1142" s="77" t="s">
        <v>1982</v>
      </c>
      <c r="Z1142" s="77"/>
      <c r="AA1142" s="77" t="s">
        <v>2568</v>
      </c>
      <c r="AB1142" s="77" t="s">
        <v>2698</v>
      </c>
      <c r="AC1142" s="81" t="s">
        <v>2707</v>
      </c>
      <c r="AD1142" s="77" t="s">
        <v>2752</v>
      </c>
      <c r="AE1142" s="80" t="str">
        <f>HYPERLINK("https://twitter.com/inovies/status/1734498989398257772")</f>
        <v>https://twitter.com/inovies/status/1734498989398257772</v>
      </c>
      <c r="AF1142" s="79">
        <v>45272.37684027778</v>
      </c>
      <c r="AG1142" s="85">
        <v>45272</v>
      </c>
      <c r="AH1142" s="81" t="s">
        <v>3712</v>
      </c>
      <c r="AI1142" s="77" t="b">
        <v>0</v>
      </c>
      <c r="AJ1142" s="77"/>
      <c r="AK1142" s="77"/>
      <c r="AL1142" s="77"/>
      <c r="AM1142" s="77"/>
      <c r="AN1142" s="77"/>
      <c r="AO1142" s="77"/>
      <c r="AP1142" s="77"/>
      <c r="AQ1142" s="77" t="s">
        <v>4382</v>
      </c>
      <c r="AR1142" s="77"/>
      <c r="AS1142" s="77"/>
      <c r="AT1142" s="77"/>
      <c r="AU1142" s="77"/>
      <c r="AV1142" s="80" t="str">
        <f>HYPERLINK("https://pbs.twimg.com/tweet_video_thumb/GBItohlaMAAdRni.jpg")</f>
        <v>https://pbs.twimg.com/tweet_video_thumb/GBItohlaMAAdRni.jpg</v>
      </c>
      <c r="AW1142" s="81" t="s">
        <v>5485</v>
      </c>
      <c r="AX1142" s="81" t="s">
        <v>5485</v>
      </c>
      <c r="AY1142" s="77"/>
      <c r="AZ1142" s="81" t="s">
        <v>5773</v>
      </c>
      <c r="BA1142" s="81" t="s">
        <v>5773</v>
      </c>
      <c r="BB1142" s="81" t="s">
        <v>5773</v>
      </c>
      <c r="BC1142" s="81" t="s">
        <v>5485</v>
      </c>
      <c r="BD1142" s="77">
        <v>297885438</v>
      </c>
      <c r="BE1142" s="77"/>
      <c r="BF1142" s="77"/>
      <c r="BG1142" s="77"/>
      <c r="BH1142" s="77"/>
      <c r="BI1142" s="77"/>
    </row>
    <row r="1143" spans="1:61" ht="15">
      <c r="A1143" s="62" t="s">
        <v>299</v>
      </c>
      <c r="B1143" s="62" t="s">
        <v>299</v>
      </c>
      <c r="C1143" s="63"/>
      <c r="D1143" s="64"/>
      <c r="E1143" s="65"/>
      <c r="F1143" s="66"/>
      <c r="G1143" s="63"/>
      <c r="H1143" s="67"/>
      <c r="I1143" s="68"/>
      <c r="J1143" s="68"/>
      <c r="K1143" s="32" t="s">
        <v>65</v>
      </c>
      <c r="L1143" s="75">
        <v>1143</v>
      </c>
      <c r="M1143" s="75"/>
      <c r="N1143" s="70"/>
      <c r="O1143" s="77" t="s">
        <v>179</v>
      </c>
      <c r="P1143" s="79">
        <v>45272.37542824074</v>
      </c>
      <c r="Q1143" s="77" t="s">
        <v>1522</v>
      </c>
      <c r="R1143" s="77">
        <v>0</v>
      </c>
      <c r="S1143" s="77">
        <v>0</v>
      </c>
      <c r="T1143" s="77">
        <v>0</v>
      </c>
      <c r="U1143" s="77">
        <v>0</v>
      </c>
      <c r="V1143" s="77">
        <v>5</v>
      </c>
      <c r="W1143" s="81" t="s">
        <v>1888</v>
      </c>
      <c r="X1143" s="80" t="str">
        <f>HYPERLINK("https://www.inovies.com/digital-marketing/")</f>
        <v>https://www.inovies.com/digital-marketing/</v>
      </c>
      <c r="Y1143" s="77" t="s">
        <v>1982</v>
      </c>
      <c r="Z1143" s="77"/>
      <c r="AA1143" s="77" t="s">
        <v>2569</v>
      </c>
      <c r="AB1143" s="77" t="s">
        <v>2698</v>
      </c>
      <c r="AC1143" s="81" t="s">
        <v>2707</v>
      </c>
      <c r="AD1143" s="77" t="s">
        <v>2752</v>
      </c>
      <c r="AE1143" s="80" t="str">
        <f>HYPERLINK("https://twitter.com/inovies/status/1734498477131157921")</f>
        <v>https://twitter.com/inovies/status/1734498477131157921</v>
      </c>
      <c r="AF1143" s="79">
        <v>45272.37542824074</v>
      </c>
      <c r="AG1143" s="85">
        <v>45272</v>
      </c>
      <c r="AH1143" s="81" t="s">
        <v>3713</v>
      </c>
      <c r="AI1143" s="77" t="b">
        <v>0</v>
      </c>
      <c r="AJ1143" s="77"/>
      <c r="AK1143" s="77"/>
      <c r="AL1143" s="77"/>
      <c r="AM1143" s="77"/>
      <c r="AN1143" s="77"/>
      <c r="AO1143" s="77"/>
      <c r="AP1143" s="77"/>
      <c r="AQ1143" s="77" t="s">
        <v>4383</v>
      </c>
      <c r="AR1143" s="77"/>
      <c r="AS1143" s="77"/>
      <c r="AT1143" s="77"/>
      <c r="AU1143" s="77"/>
      <c r="AV1143" s="80" t="str">
        <f>HYPERLINK("https://pbs.twimg.com/tweet_video_thumb/GBItKrhaIAAxdzk.jpg")</f>
        <v>https://pbs.twimg.com/tweet_video_thumb/GBItKrhaIAAxdzk.jpg</v>
      </c>
      <c r="AW1143" s="81" t="s">
        <v>5486</v>
      </c>
      <c r="AX1143" s="81" t="s">
        <v>5486</v>
      </c>
      <c r="AY1143" s="77"/>
      <c r="AZ1143" s="81" t="s">
        <v>5773</v>
      </c>
      <c r="BA1143" s="81" t="s">
        <v>5773</v>
      </c>
      <c r="BB1143" s="81" t="s">
        <v>5773</v>
      </c>
      <c r="BC1143" s="81" t="s">
        <v>5486</v>
      </c>
      <c r="BD1143" s="77">
        <v>297885438</v>
      </c>
      <c r="BE1143" s="77"/>
      <c r="BF1143" s="77"/>
      <c r="BG1143" s="77"/>
      <c r="BH1143" s="77"/>
      <c r="BI1143" s="77"/>
    </row>
    <row r="1144" spans="1:61" ht="15">
      <c r="A1144" s="62" t="s">
        <v>299</v>
      </c>
      <c r="B1144" s="62" t="s">
        <v>299</v>
      </c>
      <c r="C1144" s="63"/>
      <c r="D1144" s="64"/>
      <c r="E1144" s="65"/>
      <c r="F1144" s="66"/>
      <c r="G1144" s="63"/>
      <c r="H1144" s="67"/>
      <c r="I1144" s="68"/>
      <c r="J1144" s="68"/>
      <c r="K1144" s="32" t="s">
        <v>65</v>
      </c>
      <c r="L1144" s="75">
        <v>1144</v>
      </c>
      <c r="M1144" s="75"/>
      <c r="N1144" s="70"/>
      <c r="O1144" s="77" t="s">
        <v>179</v>
      </c>
      <c r="P1144" s="79">
        <v>45272.37509259259</v>
      </c>
      <c r="Q1144" s="77" t="s">
        <v>1523</v>
      </c>
      <c r="R1144" s="77">
        <v>0</v>
      </c>
      <c r="S1144" s="77">
        <v>0</v>
      </c>
      <c r="T1144" s="77">
        <v>0</v>
      </c>
      <c r="U1144" s="77">
        <v>0</v>
      </c>
      <c r="V1144" s="77">
        <v>5</v>
      </c>
      <c r="W1144" s="81" t="s">
        <v>1888</v>
      </c>
      <c r="X1144" s="80" t="str">
        <f>HYPERLINK("https://www.inovies.com/digital-marketing/")</f>
        <v>https://www.inovies.com/digital-marketing/</v>
      </c>
      <c r="Y1144" s="77" t="s">
        <v>1982</v>
      </c>
      <c r="Z1144" s="77"/>
      <c r="AA1144" s="77" t="s">
        <v>2570</v>
      </c>
      <c r="AB1144" s="77" t="s">
        <v>2698</v>
      </c>
      <c r="AC1144" s="81" t="s">
        <v>2707</v>
      </c>
      <c r="AD1144" s="77" t="s">
        <v>2752</v>
      </c>
      <c r="AE1144" s="80" t="str">
        <f>HYPERLINK("https://twitter.com/inovies/status/1734498359145337105")</f>
        <v>https://twitter.com/inovies/status/1734498359145337105</v>
      </c>
      <c r="AF1144" s="79">
        <v>45272.37509259259</v>
      </c>
      <c r="AG1144" s="85">
        <v>45272</v>
      </c>
      <c r="AH1144" s="81" t="s">
        <v>3714</v>
      </c>
      <c r="AI1144" s="77" t="b">
        <v>0</v>
      </c>
      <c r="AJ1144" s="77"/>
      <c r="AK1144" s="77"/>
      <c r="AL1144" s="77"/>
      <c r="AM1144" s="77"/>
      <c r="AN1144" s="77"/>
      <c r="AO1144" s="77"/>
      <c r="AP1144" s="77"/>
      <c r="AQ1144" s="77" t="s">
        <v>4384</v>
      </c>
      <c r="AR1144" s="77"/>
      <c r="AS1144" s="77"/>
      <c r="AT1144" s="77"/>
      <c r="AU1144" s="77"/>
      <c r="AV1144" s="80" t="str">
        <f>HYPERLINK("https://pbs.twimg.com/tweet_video_thumb/GBItDgjaMAAKwNm.jpg")</f>
        <v>https://pbs.twimg.com/tweet_video_thumb/GBItDgjaMAAKwNm.jpg</v>
      </c>
      <c r="AW1144" s="81" t="s">
        <v>5487</v>
      </c>
      <c r="AX1144" s="81" t="s">
        <v>5487</v>
      </c>
      <c r="AY1144" s="77"/>
      <c r="AZ1144" s="81" t="s">
        <v>5773</v>
      </c>
      <c r="BA1144" s="81" t="s">
        <v>5773</v>
      </c>
      <c r="BB1144" s="81" t="s">
        <v>5773</v>
      </c>
      <c r="BC1144" s="81" t="s">
        <v>5487</v>
      </c>
      <c r="BD1144" s="77">
        <v>297885438</v>
      </c>
      <c r="BE1144" s="77"/>
      <c r="BF1144" s="77"/>
      <c r="BG1144" s="77"/>
      <c r="BH1144" s="77"/>
      <c r="BI1144" s="77"/>
    </row>
    <row r="1145" spans="1:61" ht="15">
      <c r="A1145" s="62" t="s">
        <v>299</v>
      </c>
      <c r="B1145" s="62" t="s">
        <v>299</v>
      </c>
      <c r="C1145" s="63"/>
      <c r="D1145" s="64"/>
      <c r="E1145" s="65"/>
      <c r="F1145" s="66"/>
      <c r="G1145" s="63"/>
      <c r="H1145" s="67"/>
      <c r="I1145" s="68"/>
      <c r="J1145" s="68"/>
      <c r="K1145" s="32" t="s">
        <v>65</v>
      </c>
      <c r="L1145" s="75">
        <v>1145</v>
      </c>
      <c r="M1145" s="75"/>
      <c r="N1145" s="70"/>
      <c r="O1145" s="77" t="s">
        <v>179</v>
      </c>
      <c r="P1145" s="79">
        <v>45272.37472222222</v>
      </c>
      <c r="Q1145" s="77" t="s">
        <v>1524</v>
      </c>
      <c r="R1145" s="77">
        <v>0</v>
      </c>
      <c r="S1145" s="77">
        <v>0</v>
      </c>
      <c r="T1145" s="77">
        <v>0</v>
      </c>
      <c r="U1145" s="77">
        <v>0</v>
      </c>
      <c r="V1145" s="77">
        <v>5</v>
      </c>
      <c r="W1145" s="81" t="s">
        <v>1888</v>
      </c>
      <c r="X1145" s="80" t="str">
        <f>HYPERLINK("https://www.inovies.com/digital-marketing/")</f>
        <v>https://www.inovies.com/digital-marketing/</v>
      </c>
      <c r="Y1145" s="77" t="s">
        <v>1982</v>
      </c>
      <c r="Z1145" s="77"/>
      <c r="AA1145" s="77" t="s">
        <v>2571</v>
      </c>
      <c r="AB1145" s="77" t="s">
        <v>2698</v>
      </c>
      <c r="AC1145" s="81" t="s">
        <v>2707</v>
      </c>
      <c r="AD1145" s="77" t="s">
        <v>2752</v>
      </c>
      <c r="AE1145" s="80" t="str">
        <f>HYPERLINK("https://twitter.com/inovies/status/1734498224671760416")</f>
        <v>https://twitter.com/inovies/status/1734498224671760416</v>
      </c>
      <c r="AF1145" s="79">
        <v>45272.37472222222</v>
      </c>
      <c r="AG1145" s="85">
        <v>45272</v>
      </c>
      <c r="AH1145" s="81" t="s">
        <v>3715</v>
      </c>
      <c r="AI1145" s="77" t="b">
        <v>0</v>
      </c>
      <c r="AJ1145" s="77"/>
      <c r="AK1145" s="77"/>
      <c r="AL1145" s="77"/>
      <c r="AM1145" s="77"/>
      <c r="AN1145" s="77"/>
      <c r="AO1145" s="77"/>
      <c r="AP1145" s="77"/>
      <c r="AQ1145" s="77" t="s">
        <v>4385</v>
      </c>
      <c r="AR1145" s="77"/>
      <c r="AS1145" s="77"/>
      <c r="AT1145" s="77"/>
      <c r="AU1145" s="77"/>
      <c r="AV1145" s="80" t="str">
        <f>HYPERLINK("https://pbs.twimg.com/tweet_video_thumb/GBIs8AiaEAA_tBO.jpg")</f>
        <v>https://pbs.twimg.com/tweet_video_thumb/GBIs8AiaEAA_tBO.jpg</v>
      </c>
      <c r="AW1145" s="81" t="s">
        <v>5488</v>
      </c>
      <c r="AX1145" s="81" t="s">
        <v>5488</v>
      </c>
      <c r="AY1145" s="77"/>
      <c r="AZ1145" s="81" t="s">
        <v>5773</v>
      </c>
      <c r="BA1145" s="81" t="s">
        <v>5773</v>
      </c>
      <c r="BB1145" s="81" t="s">
        <v>5773</v>
      </c>
      <c r="BC1145" s="81" t="s">
        <v>5488</v>
      </c>
      <c r="BD1145" s="77">
        <v>297885438</v>
      </c>
      <c r="BE1145" s="77"/>
      <c r="BF1145" s="77"/>
      <c r="BG1145" s="77"/>
      <c r="BH1145" s="77"/>
      <c r="BI1145" s="77"/>
    </row>
    <row r="1146" spans="1:61" ht="15">
      <c r="A1146" s="62" t="s">
        <v>299</v>
      </c>
      <c r="B1146" s="62" t="s">
        <v>299</v>
      </c>
      <c r="C1146" s="63"/>
      <c r="D1146" s="64"/>
      <c r="E1146" s="65"/>
      <c r="F1146" s="66"/>
      <c r="G1146" s="63"/>
      <c r="H1146" s="67"/>
      <c r="I1146" s="68"/>
      <c r="J1146" s="68"/>
      <c r="K1146" s="32" t="s">
        <v>65</v>
      </c>
      <c r="L1146" s="75">
        <v>1146</v>
      </c>
      <c r="M1146" s="75"/>
      <c r="N1146" s="70"/>
      <c r="O1146" s="77" t="s">
        <v>179</v>
      </c>
      <c r="P1146" s="79">
        <v>45272.374236111114</v>
      </c>
      <c r="Q1146" s="77" t="s">
        <v>1525</v>
      </c>
      <c r="R1146" s="77">
        <v>0</v>
      </c>
      <c r="S1146" s="77">
        <v>0</v>
      </c>
      <c r="T1146" s="77">
        <v>0</v>
      </c>
      <c r="U1146" s="77">
        <v>0</v>
      </c>
      <c r="V1146" s="77">
        <v>5</v>
      </c>
      <c r="W1146" s="81" t="s">
        <v>1888</v>
      </c>
      <c r="X1146" s="80" t="str">
        <f>HYPERLINK("https://www.inovies.com/digital-marketing/")</f>
        <v>https://www.inovies.com/digital-marketing/</v>
      </c>
      <c r="Y1146" s="77" t="s">
        <v>1982</v>
      </c>
      <c r="Z1146" s="77"/>
      <c r="AA1146" s="77" t="s">
        <v>2572</v>
      </c>
      <c r="AB1146" s="77" t="s">
        <v>2698</v>
      </c>
      <c r="AC1146" s="81" t="s">
        <v>2707</v>
      </c>
      <c r="AD1146" s="77" t="s">
        <v>2752</v>
      </c>
      <c r="AE1146" s="80" t="str">
        <f>HYPERLINK("https://twitter.com/inovies/status/1734498045512024198")</f>
        <v>https://twitter.com/inovies/status/1734498045512024198</v>
      </c>
      <c r="AF1146" s="79">
        <v>45272.374236111114</v>
      </c>
      <c r="AG1146" s="85">
        <v>45272</v>
      </c>
      <c r="AH1146" s="81" t="s">
        <v>3716</v>
      </c>
      <c r="AI1146" s="77" t="b">
        <v>0</v>
      </c>
      <c r="AJ1146" s="77"/>
      <c r="AK1146" s="77"/>
      <c r="AL1146" s="77"/>
      <c r="AM1146" s="77"/>
      <c r="AN1146" s="77"/>
      <c r="AO1146" s="77"/>
      <c r="AP1146" s="77"/>
      <c r="AQ1146" s="77" t="s">
        <v>4386</v>
      </c>
      <c r="AR1146" s="77"/>
      <c r="AS1146" s="77"/>
      <c r="AT1146" s="77"/>
      <c r="AU1146" s="77"/>
      <c r="AV1146" s="80" t="str">
        <f>HYPERLINK("https://pbs.twimg.com/tweet_video_thumb/GBIsxl1bMAA4be9.jpg")</f>
        <v>https://pbs.twimg.com/tweet_video_thumb/GBIsxl1bMAA4be9.jpg</v>
      </c>
      <c r="AW1146" s="81" t="s">
        <v>5489</v>
      </c>
      <c r="AX1146" s="81" t="s">
        <v>5489</v>
      </c>
      <c r="AY1146" s="77"/>
      <c r="AZ1146" s="81" t="s">
        <v>5773</v>
      </c>
      <c r="BA1146" s="81" t="s">
        <v>5773</v>
      </c>
      <c r="BB1146" s="81" t="s">
        <v>5773</v>
      </c>
      <c r="BC1146" s="81" t="s">
        <v>5489</v>
      </c>
      <c r="BD1146" s="77">
        <v>297885438</v>
      </c>
      <c r="BE1146" s="77"/>
      <c r="BF1146" s="77"/>
      <c r="BG1146" s="77"/>
      <c r="BH1146" s="77"/>
      <c r="BI1146" s="77"/>
    </row>
    <row r="1147" spans="1:61" ht="15">
      <c r="A1147" s="62" t="s">
        <v>299</v>
      </c>
      <c r="B1147" s="62" t="s">
        <v>299</v>
      </c>
      <c r="C1147" s="63"/>
      <c r="D1147" s="64"/>
      <c r="E1147" s="65"/>
      <c r="F1147" s="66"/>
      <c r="G1147" s="63"/>
      <c r="H1147" s="67"/>
      <c r="I1147" s="68"/>
      <c r="J1147" s="68"/>
      <c r="K1147" s="32" t="s">
        <v>65</v>
      </c>
      <c r="L1147" s="75">
        <v>1147</v>
      </c>
      <c r="M1147" s="75"/>
      <c r="N1147" s="70"/>
      <c r="O1147" s="77" t="s">
        <v>179</v>
      </c>
      <c r="P1147" s="79">
        <v>45272.36616898148</v>
      </c>
      <c r="Q1147" s="77" t="s">
        <v>1526</v>
      </c>
      <c r="R1147" s="77">
        <v>0</v>
      </c>
      <c r="S1147" s="77">
        <v>0</v>
      </c>
      <c r="T1147" s="77">
        <v>0</v>
      </c>
      <c r="U1147" s="77">
        <v>0</v>
      </c>
      <c r="V1147" s="77">
        <v>5</v>
      </c>
      <c r="W1147" s="81" t="s">
        <v>1888</v>
      </c>
      <c r="X1147" s="80" t="str">
        <f>HYPERLINK("https://www.inovies.com/digital-marketing/")</f>
        <v>https://www.inovies.com/digital-marketing/</v>
      </c>
      <c r="Y1147" s="77" t="s">
        <v>1982</v>
      </c>
      <c r="Z1147" s="77"/>
      <c r="AA1147" s="77" t="s">
        <v>2573</v>
      </c>
      <c r="AB1147" s="77" t="s">
        <v>2698</v>
      </c>
      <c r="AC1147" s="81" t="s">
        <v>2707</v>
      </c>
      <c r="AD1147" s="77" t="s">
        <v>2752</v>
      </c>
      <c r="AE1147" s="80" t="str">
        <f>HYPERLINK("https://twitter.com/inovies/status/1734495123361448279")</f>
        <v>https://twitter.com/inovies/status/1734495123361448279</v>
      </c>
      <c r="AF1147" s="79">
        <v>45272.36616898148</v>
      </c>
      <c r="AG1147" s="85">
        <v>45272</v>
      </c>
      <c r="AH1147" s="81" t="s">
        <v>3717</v>
      </c>
      <c r="AI1147" s="77" t="b">
        <v>0</v>
      </c>
      <c r="AJ1147" s="77"/>
      <c r="AK1147" s="77"/>
      <c r="AL1147" s="77"/>
      <c r="AM1147" s="77"/>
      <c r="AN1147" s="77"/>
      <c r="AO1147" s="77"/>
      <c r="AP1147" s="77"/>
      <c r="AQ1147" s="77" t="s">
        <v>4387</v>
      </c>
      <c r="AR1147" s="77"/>
      <c r="AS1147" s="77"/>
      <c r="AT1147" s="77"/>
      <c r="AU1147" s="77"/>
      <c r="AV1147" s="80" t="str">
        <f>HYPERLINK("https://pbs.twimg.com/tweet_video_thumb/GBIqHdubUAA90O-.jpg")</f>
        <v>https://pbs.twimg.com/tweet_video_thumb/GBIqHdubUAA90O-.jpg</v>
      </c>
      <c r="AW1147" s="81" t="s">
        <v>5490</v>
      </c>
      <c r="AX1147" s="81" t="s">
        <v>5490</v>
      </c>
      <c r="AY1147" s="77"/>
      <c r="AZ1147" s="81" t="s">
        <v>5773</v>
      </c>
      <c r="BA1147" s="81" t="s">
        <v>5773</v>
      </c>
      <c r="BB1147" s="81" t="s">
        <v>5773</v>
      </c>
      <c r="BC1147" s="81" t="s">
        <v>5490</v>
      </c>
      <c r="BD1147" s="77">
        <v>297885438</v>
      </c>
      <c r="BE1147" s="77"/>
      <c r="BF1147" s="77"/>
      <c r="BG1147" s="77"/>
      <c r="BH1147" s="77"/>
      <c r="BI1147" s="77"/>
    </row>
    <row r="1148" spans="1:61" ht="15">
      <c r="A1148" s="62" t="s">
        <v>299</v>
      </c>
      <c r="B1148" s="62" t="s">
        <v>299</v>
      </c>
      <c r="C1148" s="63"/>
      <c r="D1148" s="64"/>
      <c r="E1148" s="65"/>
      <c r="F1148" s="66"/>
      <c r="G1148" s="63"/>
      <c r="H1148" s="67"/>
      <c r="I1148" s="68"/>
      <c r="J1148" s="68"/>
      <c r="K1148" s="32" t="s">
        <v>65</v>
      </c>
      <c r="L1148" s="75">
        <v>1148</v>
      </c>
      <c r="M1148" s="75"/>
      <c r="N1148" s="70"/>
      <c r="O1148" s="77" t="s">
        <v>179</v>
      </c>
      <c r="P1148" s="79">
        <v>45272.365636574075</v>
      </c>
      <c r="Q1148" s="77" t="s">
        <v>1527</v>
      </c>
      <c r="R1148" s="77">
        <v>0</v>
      </c>
      <c r="S1148" s="77">
        <v>0</v>
      </c>
      <c r="T1148" s="77">
        <v>0</v>
      </c>
      <c r="U1148" s="77">
        <v>0</v>
      </c>
      <c r="V1148" s="77">
        <v>5</v>
      </c>
      <c r="W1148" s="81" t="s">
        <v>1888</v>
      </c>
      <c r="X1148" s="80" t="str">
        <f>HYPERLINK("https://www.inovies.com/digital-marketing/")</f>
        <v>https://www.inovies.com/digital-marketing/</v>
      </c>
      <c r="Y1148" s="77" t="s">
        <v>1982</v>
      </c>
      <c r="Z1148" s="77"/>
      <c r="AA1148" s="77" t="s">
        <v>2574</v>
      </c>
      <c r="AB1148" s="77" t="s">
        <v>2698</v>
      </c>
      <c r="AC1148" s="81" t="s">
        <v>2707</v>
      </c>
      <c r="AD1148" s="77" t="s">
        <v>2752</v>
      </c>
      <c r="AE1148" s="80" t="str">
        <f>HYPERLINK("https://twitter.com/inovies/status/1734494930406641971")</f>
        <v>https://twitter.com/inovies/status/1734494930406641971</v>
      </c>
      <c r="AF1148" s="79">
        <v>45272.365636574075</v>
      </c>
      <c r="AG1148" s="85">
        <v>45272</v>
      </c>
      <c r="AH1148" s="81" t="s">
        <v>3718</v>
      </c>
      <c r="AI1148" s="77" t="b">
        <v>0</v>
      </c>
      <c r="AJ1148" s="77"/>
      <c r="AK1148" s="77"/>
      <c r="AL1148" s="77"/>
      <c r="AM1148" s="77"/>
      <c r="AN1148" s="77"/>
      <c r="AO1148" s="77"/>
      <c r="AP1148" s="77"/>
      <c r="AQ1148" s="77" t="s">
        <v>4388</v>
      </c>
      <c r="AR1148" s="77"/>
      <c r="AS1148" s="77"/>
      <c r="AT1148" s="77"/>
      <c r="AU1148" s="77"/>
      <c r="AV1148" s="80" t="str">
        <f>HYPERLINK("https://pbs.twimg.com/tweet_video_thumb/GBIp8Q4akAATmPJ.jpg")</f>
        <v>https://pbs.twimg.com/tweet_video_thumb/GBIp8Q4akAATmPJ.jpg</v>
      </c>
      <c r="AW1148" s="81" t="s">
        <v>5491</v>
      </c>
      <c r="AX1148" s="81" t="s">
        <v>5491</v>
      </c>
      <c r="AY1148" s="77"/>
      <c r="AZ1148" s="81" t="s">
        <v>5773</v>
      </c>
      <c r="BA1148" s="81" t="s">
        <v>5773</v>
      </c>
      <c r="BB1148" s="81" t="s">
        <v>5773</v>
      </c>
      <c r="BC1148" s="81" t="s">
        <v>5491</v>
      </c>
      <c r="BD1148" s="77">
        <v>297885438</v>
      </c>
      <c r="BE1148" s="77"/>
      <c r="BF1148" s="77"/>
      <c r="BG1148" s="77"/>
      <c r="BH1148" s="77"/>
      <c r="BI1148" s="77"/>
    </row>
    <row r="1149" spans="1:61" ht="15">
      <c r="A1149" s="62" t="s">
        <v>299</v>
      </c>
      <c r="B1149" s="62" t="s">
        <v>299</v>
      </c>
      <c r="C1149" s="63"/>
      <c r="D1149" s="64"/>
      <c r="E1149" s="65"/>
      <c r="F1149" s="66"/>
      <c r="G1149" s="63"/>
      <c r="H1149" s="67"/>
      <c r="I1149" s="68"/>
      <c r="J1149" s="68"/>
      <c r="K1149" s="32" t="s">
        <v>65</v>
      </c>
      <c r="L1149" s="75">
        <v>1149</v>
      </c>
      <c r="M1149" s="75"/>
      <c r="N1149" s="70"/>
      <c r="O1149" s="77" t="s">
        <v>179</v>
      </c>
      <c r="P1149" s="79">
        <v>45272.365381944444</v>
      </c>
      <c r="Q1149" s="77" t="s">
        <v>1528</v>
      </c>
      <c r="R1149" s="77">
        <v>0</v>
      </c>
      <c r="S1149" s="77">
        <v>0</v>
      </c>
      <c r="T1149" s="77">
        <v>0</v>
      </c>
      <c r="U1149" s="77">
        <v>0</v>
      </c>
      <c r="V1149" s="77">
        <v>5</v>
      </c>
      <c r="W1149" s="81" t="s">
        <v>1888</v>
      </c>
      <c r="X1149" s="80" t="str">
        <f>HYPERLINK("https://www.inovies.com/digital-marketing/")</f>
        <v>https://www.inovies.com/digital-marketing/</v>
      </c>
      <c r="Y1149" s="77" t="s">
        <v>1982</v>
      </c>
      <c r="Z1149" s="77"/>
      <c r="AA1149" s="77" t="s">
        <v>2575</v>
      </c>
      <c r="AB1149" s="77" t="s">
        <v>2698</v>
      </c>
      <c r="AC1149" s="81" t="s">
        <v>2707</v>
      </c>
      <c r="AD1149" s="77" t="s">
        <v>2752</v>
      </c>
      <c r="AE1149" s="80" t="str">
        <f>HYPERLINK("https://twitter.com/inovies/status/1734494838761091529")</f>
        <v>https://twitter.com/inovies/status/1734494838761091529</v>
      </c>
      <c r="AF1149" s="79">
        <v>45272.365381944444</v>
      </c>
      <c r="AG1149" s="85">
        <v>45272</v>
      </c>
      <c r="AH1149" s="81" t="s">
        <v>3719</v>
      </c>
      <c r="AI1149" s="77" t="b">
        <v>0</v>
      </c>
      <c r="AJ1149" s="77"/>
      <c r="AK1149" s="77"/>
      <c r="AL1149" s="77"/>
      <c r="AM1149" s="77"/>
      <c r="AN1149" s="77"/>
      <c r="AO1149" s="77"/>
      <c r="AP1149" s="77"/>
      <c r="AQ1149" s="77" t="s">
        <v>4389</v>
      </c>
      <c r="AR1149" s="77"/>
      <c r="AS1149" s="77"/>
      <c r="AT1149" s="77"/>
      <c r="AU1149" s="77"/>
      <c r="AV1149" s="80" t="str">
        <f>HYPERLINK("https://pbs.twimg.com/tweet_video_thumb/GBIp27iagAAn5Ht.jpg")</f>
        <v>https://pbs.twimg.com/tweet_video_thumb/GBIp27iagAAn5Ht.jpg</v>
      </c>
      <c r="AW1149" s="81" t="s">
        <v>5492</v>
      </c>
      <c r="AX1149" s="81" t="s">
        <v>5492</v>
      </c>
      <c r="AY1149" s="77"/>
      <c r="AZ1149" s="81" t="s">
        <v>5773</v>
      </c>
      <c r="BA1149" s="81" t="s">
        <v>5773</v>
      </c>
      <c r="BB1149" s="81" t="s">
        <v>5773</v>
      </c>
      <c r="BC1149" s="81" t="s">
        <v>5492</v>
      </c>
      <c r="BD1149" s="77">
        <v>297885438</v>
      </c>
      <c r="BE1149" s="77"/>
      <c r="BF1149" s="77"/>
      <c r="BG1149" s="77"/>
      <c r="BH1149" s="77"/>
      <c r="BI1149" s="77"/>
    </row>
    <row r="1150" spans="1:61" ht="15">
      <c r="A1150" s="62" t="s">
        <v>299</v>
      </c>
      <c r="B1150" s="62" t="s">
        <v>299</v>
      </c>
      <c r="C1150" s="63"/>
      <c r="D1150" s="64"/>
      <c r="E1150" s="65"/>
      <c r="F1150" s="66"/>
      <c r="G1150" s="63"/>
      <c r="H1150" s="67"/>
      <c r="I1150" s="68"/>
      <c r="J1150" s="68"/>
      <c r="K1150" s="32" t="s">
        <v>65</v>
      </c>
      <c r="L1150" s="75">
        <v>1150</v>
      </c>
      <c r="M1150" s="75"/>
      <c r="N1150" s="70"/>
      <c r="O1150" s="77" t="s">
        <v>179</v>
      </c>
      <c r="P1150" s="79">
        <v>45272.36503472222</v>
      </c>
      <c r="Q1150" s="77" t="s">
        <v>1529</v>
      </c>
      <c r="R1150" s="77">
        <v>0</v>
      </c>
      <c r="S1150" s="77">
        <v>0</v>
      </c>
      <c r="T1150" s="77">
        <v>0</v>
      </c>
      <c r="U1150" s="77">
        <v>0</v>
      </c>
      <c r="V1150" s="77">
        <v>5</v>
      </c>
      <c r="W1150" s="81" t="s">
        <v>1888</v>
      </c>
      <c r="X1150" s="80" t="str">
        <f>HYPERLINK("https://www.inovies.com/digital-marketing/")</f>
        <v>https://www.inovies.com/digital-marketing/</v>
      </c>
      <c r="Y1150" s="77" t="s">
        <v>1982</v>
      </c>
      <c r="Z1150" s="77"/>
      <c r="AA1150" s="77" t="s">
        <v>2576</v>
      </c>
      <c r="AB1150" s="77" t="s">
        <v>2698</v>
      </c>
      <c r="AC1150" s="81" t="s">
        <v>2707</v>
      </c>
      <c r="AD1150" s="77" t="s">
        <v>2752</v>
      </c>
      <c r="AE1150" s="80" t="str">
        <f>HYPERLINK("https://twitter.com/inovies/status/1734494713980612680")</f>
        <v>https://twitter.com/inovies/status/1734494713980612680</v>
      </c>
      <c r="AF1150" s="79">
        <v>45272.36503472222</v>
      </c>
      <c r="AG1150" s="85">
        <v>45272</v>
      </c>
      <c r="AH1150" s="81" t="s">
        <v>3720</v>
      </c>
      <c r="AI1150" s="77" t="b">
        <v>0</v>
      </c>
      <c r="AJ1150" s="77"/>
      <c r="AK1150" s="77"/>
      <c r="AL1150" s="77"/>
      <c r="AM1150" s="77"/>
      <c r="AN1150" s="77"/>
      <c r="AO1150" s="77"/>
      <c r="AP1150" s="77"/>
      <c r="AQ1150" s="77" t="s">
        <v>4390</v>
      </c>
      <c r="AR1150" s="77"/>
      <c r="AS1150" s="77"/>
      <c r="AT1150" s="77"/>
      <c r="AU1150" s="77"/>
      <c r="AV1150" s="80" t="str">
        <f>HYPERLINK("https://pbs.twimg.com/tweet_video_thumb/GBIpvqQaoAAK-Fs.jpg")</f>
        <v>https://pbs.twimg.com/tweet_video_thumb/GBIpvqQaoAAK-Fs.jpg</v>
      </c>
      <c r="AW1150" s="81" t="s">
        <v>5493</v>
      </c>
      <c r="AX1150" s="81" t="s">
        <v>5493</v>
      </c>
      <c r="AY1150" s="77"/>
      <c r="AZ1150" s="81" t="s">
        <v>5773</v>
      </c>
      <c r="BA1150" s="81" t="s">
        <v>5773</v>
      </c>
      <c r="BB1150" s="81" t="s">
        <v>5773</v>
      </c>
      <c r="BC1150" s="81" t="s">
        <v>5493</v>
      </c>
      <c r="BD1150" s="77">
        <v>297885438</v>
      </c>
      <c r="BE1150" s="77"/>
      <c r="BF1150" s="77"/>
      <c r="BG1150" s="77"/>
      <c r="BH1150" s="77"/>
      <c r="BI1150" s="77"/>
    </row>
    <row r="1151" spans="1:61" ht="15">
      <c r="A1151" s="62" t="s">
        <v>299</v>
      </c>
      <c r="B1151" s="62" t="s">
        <v>299</v>
      </c>
      <c r="C1151" s="63"/>
      <c r="D1151" s="64"/>
      <c r="E1151" s="65"/>
      <c r="F1151" s="66"/>
      <c r="G1151" s="63"/>
      <c r="H1151" s="67"/>
      <c r="I1151" s="68"/>
      <c r="J1151" s="68"/>
      <c r="K1151" s="32" t="s">
        <v>65</v>
      </c>
      <c r="L1151" s="75">
        <v>1151</v>
      </c>
      <c r="M1151" s="75"/>
      <c r="N1151" s="70"/>
      <c r="O1151" s="77" t="s">
        <v>179</v>
      </c>
      <c r="P1151" s="79">
        <v>45272.3647337963</v>
      </c>
      <c r="Q1151" s="77" t="s">
        <v>1530</v>
      </c>
      <c r="R1151" s="77">
        <v>0</v>
      </c>
      <c r="S1151" s="77">
        <v>0</v>
      </c>
      <c r="T1151" s="77">
        <v>0</v>
      </c>
      <c r="U1151" s="77">
        <v>0</v>
      </c>
      <c r="V1151" s="77">
        <v>5</v>
      </c>
      <c r="W1151" s="81" t="s">
        <v>1888</v>
      </c>
      <c r="X1151" s="80" t="str">
        <f>HYPERLINK("https://www.inovies.com/digital-marketing/")</f>
        <v>https://www.inovies.com/digital-marketing/</v>
      </c>
      <c r="Y1151" s="77" t="s">
        <v>1982</v>
      </c>
      <c r="Z1151" s="77"/>
      <c r="AA1151" s="77" t="s">
        <v>2577</v>
      </c>
      <c r="AB1151" s="77" t="s">
        <v>2698</v>
      </c>
      <c r="AC1151" s="81" t="s">
        <v>2707</v>
      </c>
      <c r="AD1151" s="77" t="s">
        <v>2752</v>
      </c>
      <c r="AE1151" s="80" t="str">
        <f>HYPERLINK("https://twitter.com/inovies/status/1734494601552273810")</f>
        <v>https://twitter.com/inovies/status/1734494601552273810</v>
      </c>
      <c r="AF1151" s="79">
        <v>45272.3647337963</v>
      </c>
      <c r="AG1151" s="85">
        <v>45272</v>
      </c>
      <c r="AH1151" s="81" t="s">
        <v>3721</v>
      </c>
      <c r="AI1151" s="77" t="b">
        <v>0</v>
      </c>
      <c r="AJ1151" s="77"/>
      <c r="AK1151" s="77"/>
      <c r="AL1151" s="77"/>
      <c r="AM1151" s="77"/>
      <c r="AN1151" s="77"/>
      <c r="AO1151" s="77"/>
      <c r="AP1151" s="77"/>
      <c r="AQ1151" s="77" t="s">
        <v>4391</v>
      </c>
      <c r="AR1151" s="77"/>
      <c r="AS1151" s="77"/>
      <c r="AT1151" s="77"/>
      <c r="AU1151" s="77"/>
      <c r="AV1151" s="80" t="str">
        <f>HYPERLINK("https://pbs.twimg.com/tweet_video_thumb/GBIpoy5aEAAOLeH.jpg")</f>
        <v>https://pbs.twimg.com/tweet_video_thumb/GBIpoy5aEAAOLeH.jpg</v>
      </c>
      <c r="AW1151" s="81" t="s">
        <v>5494</v>
      </c>
      <c r="AX1151" s="81" t="s">
        <v>5494</v>
      </c>
      <c r="AY1151" s="77"/>
      <c r="AZ1151" s="81" t="s">
        <v>5773</v>
      </c>
      <c r="BA1151" s="81" t="s">
        <v>5773</v>
      </c>
      <c r="BB1151" s="81" t="s">
        <v>5773</v>
      </c>
      <c r="BC1151" s="81" t="s">
        <v>5494</v>
      </c>
      <c r="BD1151" s="77">
        <v>297885438</v>
      </c>
      <c r="BE1151" s="77"/>
      <c r="BF1151" s="77"/>
      <c r="BG1151" s="77"/>
      <c r="BH1151" s="77"/>
      <c r="BI1151" s="77"/>
    </row>
    <row r="1152" spans="1:61" ht="15">
      <c r="A1152" s="62" t="s">
        <v>299</v>
      </c>
      <c r="B1152" s="62" t="s">
        <v>299</v>
      </c>
      <c r="C1152" s="63"/>
      <c r="D1152" s="64"/>
      <c r="E1152" s="65"/>
      <c r="F1152" s="66"/>
      <c r="G1152" s="63"/>
      <c r="H1152" s="67"/>
      <c r="I1152" s="68"/>
      <c r="J1152" s="68"/>
      <c r="K1152" s="32" t="s">
        <v>65</v>
      </c>
      <c r="L1152" s="75">
        <v>1152</v>
      </c>
      <c r="M1152" s="75"/>
      <c r="N1152" s="70"/>
      <c r="O1152" s="77" t="s">
        <v>179</v>
      </c>
      <c r="P1152" s="79">
        <v>45272.36451388889</v>
      </c>
      <c r="Q1152" s="77" t="s">
        <v>1531</v>
      </c>
      <c r="R1152" s="77">
        <v>0</v>
      </c>
      <c r="S1152" s="77">
        <v>0</v>
      </c>
      <c r="T1152" s="77">
        <v>0</v>
      </c>
      <c r="U1152" s="77">
        <v>0</v>
      </c>
      <c r="V1152" s="77">
        <v>5</v>
      </c>
      <c r="W1152" s="81" t="s">
        <v>1888</v>
      </c>
      <c r="X1152" s="80" t="str">
        <f>HYPERLINK("https://www.inovies.com/digital-marketing/")</f>
        <v>https://www.inovies.com/digital-marketing/</v>
      </c>
      <c r="Y1152" s="77" t="s">
        <v>1982</v>
      </c>
      <c r="Z1152" s="77"/>
      <c r="AA1152" s="77" t="s">
        <v>2578</v>
      </c>
      <c r="AB1152" s="77" t="s">
        <v>2698</v>
      </c>
      <c r="AC1152" s="81" t="s">
        <v>2707</v>
      </c>
      <c r="AD1152" s="77" t="s">
        <v>2752</v>
      </c>
      <c r="AE1152" s="80" t="str">
        <f>HYPERLINK("https://twitter.com/inovies/status/1734494523429093541")</f>
        <v>https://twitter.com/inovies/status/1734494523429093541</v>
      </c>
      <c r="AF1152" s="79">
        <v>45272.36451388889</v>
      </c>
      <c r="AG1152" s="85">
        <v>45272</v>
      </c>
      <c r="AH1152" s="81" t="s">
        <v>3722</v>
      </c>
      <c r="AI1152" s="77" t="b">
        <v>0</v>
      </c>
      <c r="AJ1152" s="77"/>
      <c r="AK1152" s="77"/>
      <c r="AL1152" s="77"/>
      <c r="AM1152" s="77"/>
      <c r="AN1152" s="77"/>
      <c r="AO1152" s="77"/>
      <c r="AP1152" s="77"/>
      <c r="AQ1152" s="77" t="s">
        <v>4392</v>
      </c>
      <c r="AR1152" s="77"/>
      <c r="AS1152" s="77"/>
      <c r="AT1152" s="77"/>
      <c r="AU1152" s="77"/>
      <c r="AV1152" s="80" t="str">
        <f>HYPERLINK("https://pbs.twimg.com/tweet_video_thumb/GBIpkjKbUAAwzpL.jpg")</f>
        <v>https://pbs.twimg.com/tweet_video_thumb/GBIpkjKbUAAwzpL.jpg</v>
      </c>
      <c r="AW1152" s="81" t="s">
        <v>5495</v>
      </c>
      <c r="AX1152" s="81" t="s">
        <v>5495</v>
      </c>
      <c r="AY1152" s="77"/>
      <c r="AZ1152" s="81" t="s">
        <v>5773</v>
      </c>
      <c r="BA1152" s="81" t="s">
        <v>5773</v>
      </c>
      <c r="BB1152" s="81" t="s">
        <v>5773</v>
      </c>
      <c r="BC1152" s="81" t="s">
        <v>5495</v>
      </c>
      <c r="BD1152" s="77">
        <v>297885438</v>
      </c>
      <c r="BE1152" s="77"/>
      <c r="BF1152" s="77"/>
      <c r="BG1152" s="77"/>
      <c r="BH1152" s="77"/>
      <c r="BI1152" s="77"/>
    </row>
    <row r="1153" spans="1:61" ht="15">
      <c r="A1153" s="62" t="s">
        <v>299</v>
      </c>
      <c r="B1153" s="62" t="s">
        <v>299</v>
      </c>
      <c r="C1153" s="63"/>
      <c r="D1153" s="64"/>
      <c r="E1153" s="65"/>
      <c r="F1153" s="66"/>
      <c r="G1153" s="63"/>
      <c r="H1153" s="67"/>
      <c r="I1153" s="68"/>
      <c r="J1153" s="68"/>
      <c r="K1153" s="32" t="s">
        <v>65</v>
      </c>
      <c r="L1153" s="75">
        <v>1153</v>
      </c>
      <c r="M1153" s="75"/>
      <c r="N1153" s="70"/>
      <c r="O1153" s="77" t="s">
        <v>179</v>
      </c>
      <c r="P1153" s="79">
        <v>45272.36429398148</v>
      </c>
      <c r="Q1153" s="77" t="s">
        <v>1532</v>
      </c>
      <c r="R1153" s="77">
        <v>0</v>
      </c>
      <c r="S1153" s="77">
        <v>0</v>
      </c>
      <c r="T1153" s="77">
        <v>0</v>
      </c>
      <c r="U1153" s="77">
        <v>0</v>
      </c>
      <c r="V1153" s="77">
        <v>5</v>
      </c>
      <c r="W1153" s="81" t="s">
        <v>1888</v>
      </c>
      <c r="X1153" s="80" t="str">
        <f>HYPERLINK("https://www.inovies.com/digital-marketing/")</f>
        <v>https://www.inovies.com/digital-marketing/</v>
      </c>
      <c r="Y1153" s="77" t="s">
        <v>1982</v>
      </c>
      <c r="Z1153" s="77"/>
      <c r="AA1153" s="77" t="s">
        <v>2579</v>
      </c>
      <c r="AB1153" s="77" t="s">
        <v>2698</v>
      </c>
      <c r="AC1153" s="81" t="s">
        <v>2707</v>
      </c>
      <c r="AD1153" s="77" t="s">
        <v>2752</v>
      </c>
      <c r="AE1153" s="80" t="str">
        <f>HYPERLINK("https://twitter.com/inovies/status/1734494444269994320")</f>
        <v>https://twitter.com/inovies/status/1734494444269994320</v>
      </c>
      <c r="AF1153" s="79">
        <v>45272.36429398148</v>
      </c>
      <c r="AG1153" s="85">
        <v>45272</v>
      </c>
      <c r="AH1153" s="81" t="s">
        <v>3723</v>
      </c>
      <c r="AI1153" s="77" t="b">
        <v>0</v>
      </c>
      <c r="AJ1153" s="77"/>
      <c r="AK1153" s="77"/>
      <c r="AL1153" s="77"/>
      <c r="AM1153" s="77"/>
      <c r="AN1153" s="77"/>
      <c r="AO1153" s="77"/>
      <c r="AP1153" s="77"/>
      <c r="AQ1153" s="77" t="s">
        <v>4393</v>
      </c>
      <c r="AR1153" s="77"/>
      <c r="AS1153" s="77"/>
      <c r="AT1153" s="77"/>
      <c r="AU1153" s="77"/>
      <c r="AV1153" s="80" t="str">
        <f>HYPERLINK("https://pbs.twimg.com/tweet_video_thumb/GBIpfqKb0AABfyJ.jpg")</f>
        <v>https://pbs.twimg.com/tweet_video_thumb/GBIpfqKb0AABfyJ.jpg</v>
      </c>
      <c r="AW1153" s="81" t="s">
        <v>5496</v>
      </c>
      <c r="AX1153" s="81" t="s">
        <v>5496</v>
      </c>
      <c r="AY1153" s="77"/>
      <c r="AZ1153" s="81" t="s">
        <v>5773</v>
      </c>
      <c r="BA1153" s="81" t="s">
        <v>5773</v>
      </c>
      <c r="BB1153" s="81" t="s">
        <v>5773</v>
      </c>
      <c r="BC1153" s="81" t="s">
        <v>5496</v>
      </c>
      <c r="BD1153" s="77">
        <v>297885438</v>
      </c>
      <c r="BE1153" s="77"/>
      <c r="BF1153" s="77"/>
      <c r="BG1153" s="77"/>
      <c r="BH1153" s="77"/>
      <c r="BI1153" s="77"/>
    </row>
    <row r="1154" spans="1:61" ht="15">
      <c r="A1154" s="62" t="s">
        <v>299</v>
      </c>
      <c r="B1154" s="62" t="s">
        <v>299</v>
      </c>
      <c r="C1154" s="63"/>
      <c r="D1154" s="64"/>
      <c r="E1154" s="65"/>
      <c r="F1154" s="66"/>
      <c r="G1154" s="63"/>
      <c r="H1154" s="67"/>
      <c r="I1154" s="68"/>
      <c r="J1154" s="68"/>
      <c r="K1154" s="32" t="s">
        <v>65</v>
      </c>
      <c r="L1154" s="75">
        <v>1154</v>
      </c>
      <c r="M1154" s="75"/>
      <c r="N1154" s="70"/>
      <c r="O1154" s="77" t="s">
        <v>179</v>
      </c>
      <c r="P1154" s="79">
        <v>45272.36408564815</v>
      </c>
      <c r="Q1154" s="77" t="s">
        <v>1533</v>
      </c>
      <c r="R1154" s="77">
        <v>0</v>
      </c>
      <c r="S1154" s="77">
        <v>0</v>
      </c>
      <c r="T1154" s="77">
        <v>0</v>
      </c>
      <c r="U1154" s="77">
        <v>0</v>
      </c>
      <c r="V1154" s="77">
        <v>5</v>
      </c>
      <c r="W1154" s="81" t="s">
        <v>1888</v>
      </c>
      <c r="X1154" s="80" t="str">
        <f>HYPERLINK("https://www.inovies.com/digital-marketing/")</f>
        <v>https://www.inovies.com/digital-marketing/</v>
      </c>
      <c r="Y1154" s="77" t="s">
        <v>1982</v>
      </c>
      <c r="Z1154" s="77"/>
      <c r="AA1154" s="77" t="s">
        <v>2580</v>
      </c>
      <c r="AB1154" s="77" t="s">
        <v>2698</v>
      </c>
      <c r="AC1154" s="81" t="s">
        <v>2707</v>
      </c>
      <c r="AD1154" s="77" t="s">
        <v>2752</v>
      </c>
      <c r="AE1154" s="80" t="str">
        <f>HYPERLINK("https://twitter.com/inovies/status/1734494367807881243")</f>
        <v>https://twitter.com/inovies/status/1734494367807881243</v>
      </c>
      <c r="AF1154" s="79">
        <v>45272.36408564815</v>
      </c>
      <c r="AG1154" s="85">
        <v>45272</v>
      </c>
      <c r="AH1154" s="81" t="s">
        <v>3724</v>
      </c>
      <c r="AI1154" s="77" t="b">
        <v>0</v>
      </c>
      <c r="AJ1154" s="77"/>
      <c r="AK1154" s="77"/>
      <c r="AL1154" s="77"/>
      <c r="AM1154" s="77"/>
      <c r="AN1154" s="77"/>
      <c r="AO1154" s="77"/>
      <c r="AP1154" s="77"/>
      <c r="AQ1154" s="77" t="s">
        <v>4394</v>
      </c>
      <c r="AR1154" s="77"/>
      <c r="AS1154" s="77"/>
      <c r="AT1154" s="77"/>
      <c r="AU1154" s="77"/>
      <c r="AV1154" s="80" t="str">
        <f>HYPERLINK("https://pbs.twimg.com/tweet_video_thumb/GBIpbe_aUAAH3yJ.jpg")</f>
        <v>https://pbs.twimg.com/tweet_video_thumb/GBIpbe_aUAAH3yJ.jpg</v>
      </c>
      <c r="AW1154" s="81" t="s">
        <v>5497</v>
      </c>
      <c r="AX1154" s="81" t="s">
        <v>5497</v>
      </c>
      <c r="AY1154" s="77"/>
      <c r="AZ1154" s="81" t="s">
        <v>5773</v>
      </c>
      <c r="BA1154" s="81" t="s">
        <v>5773</v>
      </c>
      <c r="BB1154" s="81" t="s">
        <v>5773</v>
      </c>
      <c r="BC1154" s="81" t="s">
        <v>5497</v>
      </c>
      <c r="BD1154" s="77">
        <v>297885438</v>
      </c>
      <c r="BE1154" s="77"/>
      <c r="BF1154" s="77"/>
      <c r="BG1154" s="77"/>
      <c r="BH1154" s="77"/>
      <c r="BI1154" s="77"/>
    </row>
    <row r="1155" spans="1:61" ht="15">
      <c r="A1155" s="62" t="s">
        <v>299</v>
      </c>
      <c r="B1155" s="62" t="s">
        <v>299</v>
      </c>
      <c r="C1155" s="63"/>
      <c r="D1155" s="64"/>
      <c r="E1155" s="65"/>
      <c r="F1155" s="66"/>
      <c r="G1155" s="63"/>
      <c r="H1155" s="67"/>
      <c r="I1155" s="68"/>
      <c r="J1155" s="68"/>
      <c r="K1155" s="32" t="s">
        <v>65</v>
      </c>
      <c r="L1155" s="75">
        <v>1155</v>
      </c>
      <c r="M1155" s="75"/>
      <c r="N1155" s="70"/>
      <c r="O1155" s="77" t="s">
        <v>179</v>
      </c>
      <c r="P1155" s="79">
        <v>45272.363854166666</v>
      </c>
      <c r="Q1155" s="77" t="s">
        <v>1534</v>
      </c>
      <c r="R1155" s="77">
        <v>0</v>
      </c>
      <c r="S1155" s="77">
        <v>0</v>
      </c>
      <c r="T1155" s="77">
        <v>0</v>
      </c>
      <c r="U1155" s="77">
        <v>0</v>
      </c>
      <c r="V1155" s="77">
        <v>4</v>
      </c>
      <c r="W1155" s="81" t="s">
        <v>1888</v>
      </c>
      <c r="X1155" s="80" t="str">
        <f>HYPERLINK("https://www.inovies.com/digital-marketing/")</f>
        <v>https://www.inovies.com/digital-marketing/</v>
      </c>
      <c r="Y1155" s="77" t="s">
        <v>1982</v>
      </c>
      <c r="Z1155" s="77"/>
      <c r="AA1155" s="77" t="s">
        <v>2581</v>
      </c>
      <c r="AB1155" s="77" t="s">
        <v>2698</v>
      </c>
      <c r="AC1155" s="81" t="s">
        <v>2707</v>
      </c>
      <c r="AD1155" s="77" t="s">
        <v>2752</v>
      </c>
      <c r="AE1155" s="80" t="str">
        <f>HYPERLINK("https://twitter.com/inovies/status/1734494286379692402")</f>
        <v>https://twitter.com/inovies/status/1734494286379692402</v>
      </c>
      <c r="AF1155" s="79">
        <v>45272.363854166666</v>
      </c>
      <c r="AG1155" s="85">
        <v>45272</v>
      </c>
      <c r="AH1155" s="81" t="s">
        <v>3725</v>
      </c>
      <c r="AI1155" s="77" t="b">
        <v>0</v>
      </c>
      <c r="AJ1155" s="77"/>
      <c r="AK1155" s="77"/>
      <c r="AL1155" s="77"/>
      <c r="AM1155" s="77"/>
      <c r="AN1155" s="77"/>
      <c r="AO1155" s="77"/>
      <c r="AP1155" s="77"/>
      <c r="AQ1155" s="77" t="s">
        <v>4395</v>
      </c>
      <c r="AR1155" s="77"/>
      <c r="AS1155" s="77"/>
      <c r="AT1155" s="77"/>
      <c r="AU1155" s="77"/>
      <c r="AV1155" s="80" t="str">
        <f>HYPERLINK("https://pbs.twimg.com/tweet_video_thumb/GBIpWuyaAAAUZ9s.jpg")</f>
        <v>https://pbs.twimg.com/tweet_video_thumb/GBIpWuyaAAAUZ9s.jpg</v>
      </c>
      <c r="AW1155" s="81" t="s">
        <v>5498</v>
      </c>
      <c r="AX1155" s="81" t="s">
        <v>5498</v>
      </c>
      <c r="AY1155" s="77"/>
      <c r="AZ1155" s="81" t="s">
        <v>5773</v>
      </c>
      <c r="BA1155" s="81" t="s">
        <v>5773</v>
      </c>
      <c r="BB1155" s="81" t="s">
        <v>5773</v>
      </c>
      <c r="BC1155" s="81" t="s">
        <v>5498</v>
      </c>
      <c r="BD1155" s="77">
        <v>297885438</v>
      </c>
      <c r="BE1155" s="77"/>
      <c r="BF1155" s="77"/>
      <c r="BG1155" s="77"/>
      <c r="BH1155" s="77"/>
      <c r="BI1155" s="77"/>
    </row>
    <row r="1156" spans="1:61" ht="15">
      <c r="A1156" s="62" t="s">
        <v>299</v>
      </c>
      <c r="B1156" s="62" t="s">
        <v>299</v>
      </c>
      <c r="C1156" s="63"/>
      <c r="D1156" s="64"/>
      <c r="E1156" s="65"/>
      <c r="F1156" s="66"/>
      <c r="G1156" s="63"/>
      <c r="H1156" s="67"/>
      <c r="I1156" s="68"/>
      <c r="J1156" s="68"/>
      <c r="K1156" s="32" t="s">
        <v>65</v>
      </c>
      <c r="L1156" s="75">
        <v>1156</v>
      </c>
      <c r="M1156" s="75"/>
      <c r="N1156" s="70"/>
      <c r="O1156" s="77" t="s">
        <v>179</v>
      </c>
      <c r="P1156" s="79">
        <v>45272.36369212963</v>
      </c>
      <c r="Q1156" s="77" t="s">
        <v>1535</v>
      </c>
      <c r="R1156" s="77">
        <v>0</v>
      </c>
      <c r="S1156" s="77">
        <v>0</v>
      </c>
      <c r="T1156" s="77">
        <v>0</v>
      </c>
      <c r="U1156" s="77">
        <v>0</v>
      </c>
      <c r="V1156" s="77">
        <v>4</v>
      </c>
      <c r="W1156" s="81" t="s">
        <v>1888</v>
      </c>
      <c r="X1156" s="80" t="str">
        <f>HYPERLINK("https://www.inovies.com/digital-marketing/")</f>
        <v>https://www.inovies.com/digital-marketing/</v>
      </c>
      <c r="Y1156" s="77" t="s">
        <v>1982</v>
      </c>
      <c r="Z1156" s="77"/>
      <c r="AA1156" s="77" t="s">
        <v>2582</v>
      </c>
      <c r="AB1156" s="77" t="s">
        <v>2698</v>
      </c>
      <c r="AC1156" s="81" t="s">
        <v>2707</v>
      </c>
      <c r="AD1156" s="77" t="s">
        <v>2752</v>
      </c>
      <c r="AE1156" s="80" t="str">
        <f>HYPERLINK("https://twitter.com/inovies/status/1734494227923607982")</f>
        <v>https://twitter.com/inovies/status/1734494227923607982</v>
      </c>
      <c r="AF1156" s="79">
        <v>45272.36369212963</v>
      </c>
      <c r="AG1156" s="85">
        <v>45272</v>
      </c>
      <c r="AH1156" s="81" t="s">
        <v>3726</v>
      </c>
      <c r="AI1156" s="77" t="b">
        <v>0</v>
      </c>
      <c r="AJ1156" s="77"/>
      <c r="AK1156" s="77"/>
      <c r="AL1156" s="77"/>
      <c r="AM1156" s="77"/>
      <c r="AN1156" s="77"/>
      <c r="AO1156" s="77"/>
      <c r="AP1156" s="77"/>
      <c r="AQ1156" s="77" t="s">
        <v>4396</v>
      </c>
      <c r="AR1156" s="77"/>
      <c r="AS1156" s="77"/>
      <c r="AT1156" s="77"/>
      <c r="AU1156" s="77"/>
      <c r="AV1156" s="80" t="str">
        <f>HYPERLINK("https://pbs.twimg.com/tweet_video_thumb/GBIpTWGawAAIpaf.jpg")</f>
        <v>https://pbs.twimg.com/tweet_video_thumb/GBIpTWGawAAIpaf.jpg</v>
      </c>
      <c r="AW1156" s="81" t="s">
        <v>5499</v>
      </c>
      <c r="AX1156" s="81" t="s">
        <v>5499</v>
      </c>
      <c r="AY1156" s="77"/>
      <c r="AZ1156" s="81" t="s">
        <v>5773</v>
      </c>
      <c r="BA1156" s="81" t="s">
        <v>5773</v>
      </c>
      <c r="BB1156" s="81" t="s">
        <v>5773</v>
      </c>
      <c r="BC1156" s="81" t="s">
        <v>5499</v>
      </c>
      <c r="BD1156" s="77">
        <v>297885438</v>
      </c>
      <c r="BE1156" s="77"/>
      <c r="BF1156" s="77"/>
      <c r="BG1156" s="77"/>
      <c r="BH1156" s="77"/>
      <c r="BI1156" s="77"/>
    </row>
    <row r="1157" spans="1:61" ht="15">
      <c r="A1157" s="62" t="s">
        <v>299</v>
      </c>
      <c r="B1157" s="62" t="s">
        <v>299</v>
      </c>
      <c r="C1157" s="63"/>
      <c r="D1157" s="64"/>
      <c r="E1157" s="65"/>
      <c r="F1157" s="66"/>
      <c r="G1157" s="63"/>
      <c r="H1157" s="67"/>
      <c r="I1157" s="68"/>
      <c r="J1157" s="68"/>
      <c r="K1157" s="32" t="s">
        <v>65</v>
      </c>
      <c r="L1157" s="75">
        <v>1157</v>
      </c>
      <c r="M1157" s="75"/>
      <c r="N1157" s="70"/>
      <c r="O1157" s="77" t="s">
        <v>179</v>
      </c>
      <c r="P1157" s="79">
        <v>45272.36340277778</v>
      </c>
      <c r="Q1157" s="77" t="s">
        <v>1536</v>
      </c>
      <c r="R1157" s="77">
        <v>0</v>
      </c>
      <c r="S1157" s="77">
        <v>0</v>
      </c>
      <c r="T1157" s="77">
        <v>0</v>
      </c>
      <c r="U1157" s="77">
        <v>0</v>
      </c>
      <c r="V1157" s="77">
        <v>4</v>
      </c>
      <c r="W1157" s="81" t="s">
        <v>1888</v>
      </c>
      <c r="X1157" s="80" t="str">
        <f>HYPERLINK("https://www.inovies.com/digital-marketing/")</f>
        <v>https://www.inovies.com/digital-marketing/</v>
      </c>
      <c r="Y1157" s="77" t="s">
        <v>1982</v>
      </c>
      <c r="Z1157" s="77"/>
      <c r="AA1157" s="77" t="s">
        <v>2583</v>
      </c>
      <c r="AB1157" s="77" t="s">
        <v>2698</v>
      </c>
      <c r="AC1157" s="81" t="s">
        <v>2707</v>
      </c>
      <c r="AD1157" s="77" t="s">
        <v>2752</v>
      </c>
      <c r="AE1157" s="80" t="str">
        <f>HYPERLINK("https://twitter.com/inovies/status/1734494123284140121")</f>
        <v>https://twitter.com/inovies/status/1734494123284140121</v>
      </c>
      <c r="AF1157" s="79">
        <v>45272.36340277778</v>
      </c>
      <c r="AG1157" s="85">
        <v>45272</v>
      </c>
      <c r="AH1157" s="81" t="s">
        <v>3727</v>
      </c>
      <c r="AI1157" s="77" t="b">
        <v>0</v>
      </c>
      <c r="AJ1157" s="77"/>
      <c r="AK1157" s="77"/>
      <c r="AL1157" s="77"/>
      <c r="AM1157" s="77"/>
      <c r="AN1157" s="77"/>
      <c r="AO1157" s="77"/>
      <c r="AP1157" s="77"/>
      <c r="AQ1157" s="77" t="s">
        <v>4397</v>
      </c>
      <c r="AR1157" s="77"/>
      <c r="AS1157" s="77"/>
      <c r="AT1157" s="77"/>
      <c r="AU1157" s="77"/>
      <c r="AV1157" s="80" t="str">
        <f>HYPERLINK("https://pbs.twimg.com/tweet_video_thumb/GBIpNQhbUAA9bts.jpg")</f>
        <v>https://pbs.twimg.com/tweet_video_thumb/GBIpNQhbUAA9bts.jpg</v>
      </c>
      <c r="AW1157" s="81" t="s">
        <v>5500</v>
      </c>
      <c r="AX1157" s="81" t="s">
        <v>5500</v>
      </c>
      <c r="AY1157" s="77"/>
      <c r="AZ1157" s="81" t="s">
        <v>5773</v>
      </c>
      <c r="BA1157" s="81" t="s">
        <v>5773</v>
      </c>
      <c r="BB1157" s="81" t="s">
        <v>5773</v>
      </c>
      <c r="BC1157" s="81" t="s">
        <v>5500</v>
      </c>
      <c r="BD1157" s="77">
        <v>297885438</v>
      </c>
      <c r="BE1157" s="77"/>
      <c r="BF1157" s="77"/>
      <c r="BG1157" s="77"/>
      <c r="BH1157" s="77"/>
      <c r="BI1157" s="77"/>
    </row>
    <row r="1158" spans="1:61" ht="15">
      <c r="A1158" s="62" t="s">
        <v>299</v>
      </c>
      <c r="B1158" s="62" t="s">
        <v>299</v>
      </c>
      <c r="C1158" s="63"/>
      <c r="D1158" s="64"/>
      <c r="E1158" s="65"/>
      <c r="F1158" s="66"/>
      <c r="G1158" s="63"/>
      <c r="H1158" s="67"/>
      <c r="I1158" s="68"/>
      <c r="J1158" s="68"/>
      <c r="K1158" s="32" t="s">
        <v>65</v>
      </c>
      <c r="L1158" s="75">
        <v>1158</v>
      </c>
      <c r="M1158" s="75"/>
      <c r="N1158" s="70"/>
      <c r="O1158" s="77" t="s">
        <v>179</v>
      </c>
      <c r="P1158" s="79">
        <v>45272.36315972222</v>
      </c>
      <c r="Q1158" s="77" t="s">
        <v>1537</v>
      </c>
      <c r="R1158" s="77">
        <v>0</v>
      </c>
      <c r="S1158" s="77">
        <v>0</v>
      </c>
      <c r="T1158" s="77">
        <v>0</v>
      </c>
      <c r="U1158" s="77">
        <v>0</v>
      </c>
      <c r="V1158" s="77">
        <v>4</v>
      </c>
      <c r="W1158" s="81" t="s">
        <v>1888</v>
      </c>
      <c r="X1158" s="80" t="str">
        <f>HYPERLINK("https://www.inovies.com/digital-marketing/")</f>
        <v>https://www.inovies.com/digital-marketing/</v>
      </c>
      <c r="Y1158" s="77" t="s">
        <v>1982</v>
      </c>
      <c r="Z1158" s="77"/>
      <c r="AA1158" s="77" t="s">
        <v>2584</v>
      </c>
      <c r="AB1158" s="77" t="s">
        <v>2698</v>
      </c>
      <c r="AC1158" s="81" t="s">
        <v>2707</v>
      </c>
      <c r="AD1158" s="77" t="s">
        <v>2752</v>
      </c>
      <c r="AE1158" s="80" t="str">
        <f>HYPERLINK("https://twitter.com/inovies/status/1734494033442213894")</f>
        <v>https://twitter.com/inovies/status/1734494033442213894</v>
      </c>
      <c r="AF1158" s="79">
        <v>45272.36315972222</v>
      </c>
      <c r="AG1158" s="85">
        <v>45272</v>
      </c>
      <c r="AH1158" s="81" t="s">
        <v>3728</v>
      </c>
      <c r="AI1158" s="77" t="b">
        <v>0</v>
      </c>
      <c r="AJ1158" s="77"/>
      <c r="AK1158" s="77"/>
      <c r="AL1158" s="77"/>
      <c r="AM1158" s="77"/>
      <c r="AN1158" s="77"/>
      <c r="AO1158" s="77"/>
      <c r="AP1158" s="77"/>
      <c r="AQ1158" s="77" t="s">
        <v>4398</v>
      </c>
      <c r="AR1158" s="77"/>
      <c r="AS1158" s="77"/>
      <c r="AT1158" s="77"/>
      <c r="AU1158" s="77"/>
      <c r="AV1158" s="80" t="str">
        <f>HYPERLINK("https://pbs.twimg.com/tweet_video_thumb/GBIpIAKbIAAncIY.jpg")</f>
        <v>https://pbs.twimg.com/tweet_video_thumb/GBIpIAKbIAAncIY.jpg</v>
      </c>
      <c r="AW1158" s="81" t="s">
        <v>5501</v>
      </c>
      <c r="AX1158" s="81" t="s">
        <v>5501</v>
      </c>
      <c r="AY1158" s="77"/>
      <c r="AZ1158" s="81" t="s">
        <v>5773</v>
      </c>
      <c r="BA1158" s="81" t="s">
        <v>5773</v>
      </c>
      <c r="BB1158" s="81" t="s">
        <v>5773</v>
      </c>
      <c r="BC1158" s="81" t="s">
        <v>5501</v>
      </c>
      <c r="BD1158" s="77">
        <v>297885438</v>
      </c>
      <c r="BE1158" s="77"/>
      <c r="BF1158" s="77"/>
      <c r="BG1158" s="77"/>
      <c r="BH1158" s="77"/>
      <c r="BI1158" s="77"/>
    </row>
    <row r="1159" spans="1:61" ht="15">
      <c r="A1159" s="62" t="s">
        <v>299</v>
      </c>
      <c r="B1159" s="62" t="s">
        <v>299</v>
      </c>
      <c r="C1159" s="63"/>
      <c r="D1159" s="64"/>
      <c r="E1159" s="65"/>
      <c r="F1159" s="66"/>
      <c r="G1159" s="63"/>
      <c r="H1159" s="67"/>
      <c r="I1159" s="68"/>
      <c r="J1159" s="68"/>
      <c r="K1159" s="32" t="s">
        <v>65</v>
      </c>
      <c r="L1159" s="75">
        <v>1159</v>
      </c>
      <c r="M1159" s="75"/>
      <c r="N1159" s="70"/>
      <c r="O1159" s="77" t="s">
        <v>179</v>
      </c>
      <c r="P1159" s="79">
        <v>45272.36288194444</v>
      </c>
      <c r="Q1159" s="77" t="s">
        <v>1538</v>
      </c>
      <c r="R1159" s="77">
        <v>0</v>
      </c>
      <c r="S1159" s="77">
        <v>0</v>
      </c>
      <c r="T1159" s="77">
        <v>0</v>
      </c>
      <c r="U1159" s="77">
        <v>0</v>
      </c>
      <c r="V1159" s="77">
        <v>6</v>
      </c>
      <c r="W1159" s="81" t="s">
        <v>1888</v>
      </c>
      <c r="X1159" s="80" t="str">
        <f>HYPERLINK("https://www.inovies.com/digital-marketing/")</f>
        <v>https://www.inovies.com/digital-marketing/</v>
      </c>
      <c r="Y1159" s="77" t="s">
        <v>1982</v>
      </c>
      <c r="Z1159" s="77"/>
      <c r="AA1159" s="77" t="s">
        <v>2585</v>
      </c>
      <c r="AB1159" s="77" t="s">
        <v>2698</v>
      </c>
      <c r="AC1159" s="81" t="s">
        <v>2707</v>
      </c>
      <c r="AD1159" s="77" t="s">
        <v>2752</v>
      </c>
      <c r="AE1159" s="80" t="str">
        <f>HYPERLINK("https://twitter.com/inovies/status/1734493932673982675")</f>
        <v>https://twitter.com/inovies/status/1734493932673982675</v>
      </c>
      <c r="AF1159" s="79">
        <v>45272.36288194444</v>
      </c>
      <c r="AG1159" s="85">
        <v>45272</v>
      </c>
      <c r="AH1159" s="81" t="s">
        <v>3729</v>
      </c>
      <c r="AI1159" s="77" t="b">
        <v>0</v>
      </c>
      <c r="AJ1159" s="77"/>
      <c r="AK1159" s="77"/>
      <c r="AL1159" s="77"/>
      <c r="AM1159" s="77"/>
      <c r="AN1159" s="77"/>
      <c r="AO1159" s="77"/>
      <c r="AP1159" s="77"/>
      <c r="AQ1159" s="77" t="s">
        <v>4399</v>
      </c>
      <c r="AR1159" s="77"/>
      <c r="AS1159" s="77"/>
      <c r="AT1159" s="77"/>
      <c r="AU1159" s="77"/>
      <c r="AV1159" s="80" t="str">
        <f>HYPERLINK("https://pbs.twimg.com/tweet_video_thumb/GBIpCJga4AAY6z9.jpg")</f>
        <v>https://pbs.twimg.com/tweet_video_thumb/GBIpCJga4AAY6z9.jpg</v>
      </c>
      <c r="AW1159" s="81" t="s">
        <v>5502</v>
      </c>
      <c r="AX1159" s="81" t="s">
        <v>5502</v>
      </c>
      <c r="AY1159" s="77"/>
      <c r="AZ1159" s="81" t="s">
        <v>5773</v>
      </c>
      <c r="BA1159" s="81" t="s">
        <v>5773</v>
      </c>
      <c r="BB1159" s="81" t="s">
        <v>5773</v>
      </c>
      <c r="BC1159" s="81" t="s">
        <v>5502</v>
      </c>
      <c r="BD1159" s="77">
        <v>297885438</v>
      </c>
      <c r="BE1159" s="77"/>
      <c r="BF1159" s="77"/>
      <c r="BG1159" s="77"/>
      <c r="BH1159" s="77"/>
      <c r="BI1159" s="77"/>
    </row>
    <row r="1160" spans="1:61" ht="15">
      <c r="A1160" s="62" t="s">
        <v>299</v>
      </c>
      <c r="B1160" s="62" t="s">
        <v>299</v>
      </c>
      <c r="C1160" s="63"/>
      <c r="D1160" s="64"/>
      <c r="E1160" s="65"/>
      <c r="F1160" s="66"/>
      <c r="G1160" s="63"/>
      <c r="H1160" s="67"/>
      <c r="I1160" s="68"/>
      <c r="J1160" s="68"/>
      <c r="K1160" s="32" t="s">
        <v>65</v>
      </c>
      <c r="L1160" s="75">
        <v>1160</v>
      </c>
      <c r="M1160" s="75"/>
      <c r="N1160" s="70"/>
      <c r="O1160" s="77" t="s">
        <v>179</v>
      </c>
      <c r="P1160" s="79">
        <v>45272.36269675926</v>
      </c>
      <c r="Q1160" s="77" t="s">
        <v>1539</v>
      </c>
      <c r="R1160" s="77">
        <v>0</v>
      </c>
      <c r="S1160" s="77">
        <v>0</v>
      </c>
      <c r="T1160" s="77">
        <v>0</v>
      </c>
      <c r="U1160" s="77">
        <v>0</v>
      </c>
      <c r="V1160" s="77">
        <v>5</v>
      </c>
      <c r="W1160" s="81" t="s">
        <v>1888</v>
      </c>
      <c r="X1160" s="80" t="str">
        <f>HYPERLINK("https://www.inovies.com/digital-marketing/")</f>
        <v>https://www.inovies.com/digital-marketing/</v>
      </c>
      <c r="Y1160" s="77" t="s">
        <v>1982</v>
      </c>
      <c r="Z1160" s="77"/>
      <c r="AA1160" s="77" t="s">
        <v>2586</v>
      </c>
      <c r="AB1160" s="77" t="s">
        <v>2698</v>
      </c>
      <c r="AC1160" s="81" t="s">
        <v>2707</v>
      </c>
      <c r="AD1160" s="77" t="s">
        <v>2752</v>
      </c>
      <c r="AE1160" s="80" t="str">
        <f>HYPERLINK("https://twitter.com/inovies/status/1734493863325429914")</f>
        <v>https://twitter.com/inovies/status/1734493863325429914</v>
      </c>
      <c r="AF1160" s="79">
        <v>45272.36269675926</v>
      </c>
      <c r="AG1160" s="85">
        <v>45272</v>
      </c>
      <c r="AH1160" s="81" t="s">
        <v>3730</v>
      </c>
      <c r="AI1160" s="77" t="b">
        <v>0</v>
      </c>
      <c r="AJ1160" s="77"/>
      <c r="AK1160" s="77"/>
      <c r="AL1160" s="77"/>
      <c r="AM1160" s="77"/>
      <c r="AN1160" s="77"/>
      <c r="AO1160" s="77"/>
      <c r="AP1160" s="77"/>
      <c r="AQ1160" s="77" t="s">
        <v>4400</v>
      </c>
      <c r="AR1160" s="77"/>
      <c r="AS1160" s="77"/>
      <c r="AT1160" s="77"/>
      <c r="AU1160" s="77"/>
      <c r="AV1160" s="80" t="str">
        <f>HYPERLINK("https://pbs.twimg.com/tweet_video_thumb/GBIo-J9a8AADGAb.jpg")</f>
        <v>https://pbs.twimg.com/tweet_video_thumb/GBIo-J9a8AADGAb.jpg</v>
      </c>
      <c r="AW1160" s="81" t="s">
        <v>5503</v>
      </c>
      <c r="AX1160" s="81" t="s">
        <v>5503</v>
      </c>
      <c r="AY1160" s="77"/>
      <c r="AZ1160" s="81" t="s">
        <v>5773</v>
      </c>
      <c r="BA1160" s="81" t="s">
        <v>5773</v>
      </c>
      <c r="BB1160" s="81" t="s">
        <v>5773</v>
      </c>
      <c r="BC1160" s="81" t="s">
        <v>5503</v>
      </c>
      <c r="BD1160" s="77">
        <v>297885438</v>
      </c>
      <c r="BE1160" s="77"/>
      <c r="BF1160" s="77"/>
      <c r="BG1160" s="77"/>
      <c r="BH1160" s="77"/>
      <c r="BI1160" s="77"/>
    </row>
    <row r="1161" spans="1:61" ht="15">
      <c r="A1161" s="62" t="s">
        <v>299</v>
      </c>
      <c r="B1161" s="62" t="s">
        <v>299</v>
      </c>
      <c r="C1161" s="63"/>
      <c r="D1161" s="64"/>
      <c r="E1161" s="65"/>
      <c r="F1161" s="66"/>
      <c r="G1161" s="63"/>
      <c r="H1161" s="67"/>
      <c r="I1161" s="68"/>
      <c r="J1161" s="68"/>
      <c r="K1161" s="32" t="s">
        <v>65</v>
      </c>
      <c r="L1161" s="75">
        <v>1161</v>
      </c>
      <c r="M1161" s="75"/>
      <c r="N1161" s="70"/>
      <c r="O1161" s="77" t="s">
        <v>179</v>
      </c>
      <c r="P1161" s="79">
        <v>45272.3625</v>
      </c>
      <c r="Q1161" s="77" t="s">
        <v>1540</v>
      </c>
      <c r="R1161" s="77">
        <v>0</v>
      </c>
      <c r="S1161" s="77">
        <v>0</v>
      </c>
      <c r="T1161" s="77">
        <v>0</v>
      </c>
      <c r="U1161" s="77">
        <v>0</v>
      </c>
      <c r="V1161" s="77">
        <v>5</v>
      </c>
      <c r="W1161" s="81" t="s">
        <v>1888</v>
      </c>
      <c r="X1161" s="80" t="str">
        <f>HYPERLINK("https://www.inovies.com/digital-marketing/")</f>
        <v>https://www.inovies.com/digital-marketing/</v>
      </c>
      <c r="Y1161" s="77" t="s">
        <v>1982</v>
      </c>
      <c r="Z1161" s="77"/>
      <c r="AA1161" s="77" t="s">
        <v>2587</v>
      </c>
      <c r="AB1161" s="77" t="s">
        <v>2698</v>
      </c>
      <c r="AC1161" s="81" t="s">
        <v>2707</v>
      </c>
      <c r="AD1161" s="77" t="s">
        <v>2752</v>
      </c>
      <c r="AE1161" s="80" t="str">
        <f>HYPERLINK("https://twitter.com/inovies/status/1734493793712558333")</f>
        <v>https://twitter.com/inovies/status/1734493793712558333</v>
      </c>
      <c r="AF1161" s="79">
        <v>45272.3625</v>
      </c>
      <c r="AG1161" s="85">
        <v>45272</v>
      </c>
      <c r="AH1161" s="81" t="s">
        <v>3731</v>
      </c>
      <c r="AI1161" s="77" t="b">
        <v>0</v>
      </c>
      <c r="AJ1161" s="77"/>
      <c r="AK1161" s="77"/>
      <c r="AL1161" s="77"/>
      <c r="AM1161" s="77"/>
      <c r="AN1161" s="77"/>
      <c r="AO1161" s="77"/>
      <c r="AP1161" s="77"/>
      <c r="AQ1161" s="77" t="s">
        <v>4401</v>
      </c>
      <c r="AR1161" s="77"/>
      <c r="AS1161" s="77"/>
      <c r="AT1161" s="77"/>
      <c r="AU1161" s="77"/>
      <c r="AV1161" s="80" t="str">
        <f>HYPERLINK("https://pbs.twimg.com/tweet_video_thumb/GBIo6GIawAE7HrJ.jpg")</f>
        <v>https://pbs.twimg.com/tweet_video_thumb/GBIo6GIawAE7HrJ.jpg</v>
      </c>
      <c r="AW1161" s="81" t="s">
        <v>5504</v>
      </c>
      <c r="AX1161" s="81" t="s">
        <v>5504</v>
      </c>
      <c r="AY1161" s="77"/>
      <c r="AZ1161" s="81" t="s">
        <v>5773</v>
      </c>
      <c r="BA1161" s="81" t="s">
        <v>5773</v>
      </c>
      <c r="BB1161" s="81" t="s">
        <v>5773</v>
      </c>
      <c r="BC1161" s="81" t="s">
        <v>5504</v>
      </c>
      <c r="BD1161" s="77">
        <v>297885438</v>
      </c>
      <c r="BE1161" s="77"/>
      <c r="BF1161" s="77"/>
      <c r="BG1161" s="77"/>
      <c r="BH1161" s="77"/>
      <c r="BI1161" s="77"/>
    </row>
    <row r="1162" spans="1:61" ht="15">
      <c r="A1162" s="62" t="s">
        <v>299</v>
      </c>
      <c r="B1162" s="62" t="s">
        <v>299</v>
      </c>
      <c r="C1162" s="63"/>
      <c r="D1162" s="64"/>
      <c r="E1162" s="65"/>
      <c r="F1162" s="66"/>
      <c r="G1162" s="63"/>
      <c r="H1162" s="67"/>
      <c r="I1162" s="68"/>
      <c r="J1162" s="68"/>
      <c r="K1162" s="32" t="s">
        <v>65</v>
      </c>
      <c r="L1162" s="75">
        <v>1162</v>
      </c>
      <c r="M1162" s="75"/>
      <c r="N1162" s="70"/>
      <c r="O1162" s="77" t="s">
        <v>179</v>
      </c>
      <c r="P1162" s="79">
        <v>45272.36231481482</v>
      </c>
      <c r="Q1162" s="77" t="s">
        <v>1541</v>
      </c>
      <c r="R1162" s="77">
        <v>0</v>
      </c>
      <c r="S1162" s="77">
        <v>0</v>
      </c>
      <c r="T1162" s="77">
        <v>0</v>
      </c>
      <c r="U1162" s="77">
        <v>0</v>
      </c>
      <c r="V1162" s="77">
        <v>5</v>
      </c>
      <c r="W1162" s="81" t="s">
        <v>1888</v>
      </c>
      <c r="X1162" s="80" t="str">
        <f>HYPERLINK("https://www.inovies.com/digital-marketing/")</f>
        <v>https://www.inovies.com/digital-marketing/</v>
      </c>
      <c r="Y1162" s="77" t="s">
        <v>1982</v>
      </c>
      <c r="Z1162" s="77"/>
      <c r="AA1162" s="77" t="s">
        <v>2588</v>
      </c>
      <c r="AB1162" s="77" t="s">
        <v>2698</v>
      </c>
      <c r="AC1162" s="81" t="s">
        <v>2707</v>
      </c>
      <c r="AD1162" s="77" t="s">
        <v>2752</v>
      </c>
      <c r="AE1162" s="80" t="str">
        <f>HYPERLINK("https://twitter.com/inovies/status/1734493729006965221")</f>
        <v>https://twitter.com/inovies/status/1734493729006965221</v>
      </c>
      <c r="AF1162" s="79">
        <v>45272.36231481482</v>
      </c>
      <c r="AG1162" s="85">
        <v>45272</v>
      </c>
      <c r="AH1162" s="81" t="s">
        <v>3732</v>
      </c>
      <c r="AI1162" s="77" t="b">
        <v>0</v>
      </c>
      <c r="AJ1162" s="77"/>
      <c r="AK1162" s="77"/>
      <c r="AL1162" s="77"/>
      <c r="AM1162" s="77"/>
      <c r="AN1162" s="77"/>
      <c r="AO1162" s="77"/>
      <c r="AP1162" s="77"/>
      <c r="AQ1162" s="77" t="s">
        <v>4402</v>
      </c>
      <c r="AR1162" s="77"/>
      <c r="AS1162" s="77"/>
      <c r="AT1162" s="77"/>
      <c r="AU1162" s="77"/>
      <c r="AV1162" s="80" t="str">
        <f>HYPERLINK("https://pbs.twimg.com/tweet_video_thumb/GBIo2APaEAAsEYf.jpg")</f>
        <v>https://pbs.twimg.com/tweet_video_thumb/GBIo2APaEAAsEYf.jpg</v>
      </c>
      <c r="AW1162" s="81" t="s">
        <v>5505</v>
      </c>
      <c r="AX1162" s="81" t="s">
        <v>5505</v>
      </c>
      <c r="AY1162" s="77"/>
      <c r="AZ1162" s="81" t="s">
        <v>5773</v>
      </c>
      <c r="BA1162" s="81" t="s">
        <v>5773</v>
      </c>
      <c r="BB1162" s="81" t="s">
        <v>5773</v>
      </c>
      <c r="BC1162" s="81" t="s">
        <v>5505</v>
      </c>
      <c r="BD1162" s="77">
        <v>297885438</v>
      </c>
      <c r="BE1162" s="77"/>
      <c r="BF1162" s="77"/>
      <c r="BG1162" s="77"/>
      <c r="BH1162" s="77"/>
      <c r="BI1162" s="77"/>
    </row>
    <row r="1163" spans="1:61" ht="15">
      <c r="A1163" s="62" t="s">
        <v>299</v>
      </c>
      <c r="B1163" s="62" t="s">
        <v>299</v>
      </c>
      <c r="C1163" s="63"/>
      <c r="D1163" s="64"/>
      <c r="E1163" s="65"/>
      <c r="F1163" s="66"/>
      <c r="G1163" s="63"/>
      <c r="H1163" s="67"/>
      <c r="I1163" s="68"/>
      <c r="J1163" s="68"/>
      <c r="K1163" s="32" t="s">
        <v>65</v>
      </c>
      <c r="L1163" s="75">
        <v>1163</v>
      </c>
      <c r="M1163" s="75"/>
      <c r="N1163" s="70"/>
      <c r="O1163" s="77" t="s">
        <v>179</v>
      </c>
      <c r="P1163" s="79">
        <v>45272.36211805556</v>
      </c>
      <c r="Q1163" s="77" t="s">
        <v>1542</v>
      </c>
      <c r="R1163" s="77">
        <v>0</v>
      </c>
      <c r="S1163" s="77">
        <v>0</v>
      </c>
      <c r="T1163" s="77">
        <v>0</v>
      </c>
      <c r="U1163" s="77">
        <v>0</v>
      </c>
      <c r="V1163" s="77">
        <v>5</v>
      </c>
      <c r="W1163" s="81" t="s">
        <v>1888</v>
      </c>
      <c r="X1163" s="80" t="str">
        <f>HYPERLINK("https://www.inovies.com/digital-marketing/")</f>
        <v>https://www.inovies.com/digital-marketing/</v>
      </c>
      <c r="Y1163" s="77" t="s">
        <v>1982</v>
      </c>
      <c r="Z1163" s="77"/>
      <c r="AA1163" s="77" t="s">
        <v>2589</v>
      </c>
      <c r="AB1163" s="77" t="s">
        <v>2698</v>
      </c>
      <c r="AC1163" s="81" t="s">
        <v>2707</v>
      </c>
      <c r="AD1163" s="77" t="s">
        <v>2752</v>
      </c>
      <c r="AE1163" s="80" t="str">
        <f>HYPERLINK("https://twitter.com/inovies/status/1734493653798961196")</f>
        <v>https://twitter.com/inovies/status/1734493653798961196</v>
      </c>
      <c r="AF1163" s="79">
        <v>45272.36211805556</v>
      </c>
      <c r="AG1163" s="85">
        <v>45272</v>
      </c>
      <c r="AH1163" s="81" t="s">
        <v>3733</v>
      </c>
      <c r="AI1163" s="77" t="b">
        <v>0</v>
      </c>
      <c r="AJ1163" s="77"/>
      <c r="AK1163" s="77"/>
      <c r="AL1163" s="77"/>
      <c r="AM1163" s="77"/>
      <c r="AN1163" s="77"/>
      <c r="AO1163" s="77"/>
      <c r="AP1163" s="77"/>
      <c r="AQ1163" s="77" t="s">
        <v>4403</v>
      </c>
      <c r="AR1163" s="77"/>
      <c r="AS1163" s="77"/>
      <c r="AT1163" s="77"/>
      <c r="AU1163" s="77"/>
      <c r="AV1163" s="80" t="str">
        <f>HYPERLINK("https://pbs.twimg.com/tweet_video_thumb/GBIox7lbgAAv7Hh.jpg")</f>
        <v>https://pbs.twimg.com/tweet_video_thumb/GBIox7lbgAAv7Hh.jpg</v>
      </c>
      <c r="AW1163" s="81" t="s">
        <v>5506</v>
      </c>
      <c r="AX1163" s="81" t="s">
        <v>5506</v>
      </c>
      <c r="AY1163" s="77"/>
      <c r="AZ1163" s="81" t="s">
        <v>5773</v>
      </c>
      <c r="BA1163" s="81" t="s">
        <v>5773</v>
      </c>
      <c r="BB1163" s="81" t="s">
        <v>5773</v>
      </c>
      <c r="BC1163" s="81" t="s">
        <v>5506</v>
      </c>
      <c r="BD1163" s="77">
        <v>297885438</v>
      </c>
      <c r="BE1163" s="77"/>
      <c r="BF1163" s="77"/>
      <c r="BG1163" s="77"/>
      <c r="BH1163" s="77"/>
      <c r="BI1163" s="77"/>
    </row>
    <row r="1164" spans="1:61" ht="15">
      <c r="A1164" s="62" t="s">
        <v>299</v>
      </c>
      <c r="B1164" s="62" t="s">
        <v>299</v>
      </c>
      <c r="C1164" s="63"/>
      <c r="D1164" s="64"/>
      <c r="E1164" s="65"/>
      <c r="F1164" s="66"/>
      <c r="G1164" s="63"/>
      <c r="H1164" s="67"/>
      <c r="I1164" s="68"/>
      <c r="J1164" s="68"/>
      <c r="K1164" s="32" t="s">
        <v>65</v>
      </c>
      <c r="L1164" s="75">
        <v>1164</v>
      </c>
      <c r="M1164" s="75"/>
      <c r="N1164" s="70"/>
      <c r="O1164" s="77" t="s">
        <v>179</v>
      </c>
      <c r="P1164" s="79">
        <v>45272.361921296295</v>
      </c>
      <c r="Q1164" s="77" t="s">
        <v>1543</v>
      </c>
      <c r="R1164" s="77">
        <v>0</v>
      </c>
      <c r="S1164" s="77">
        <v>0</v>
      </c>
      <c r="T1164" s="77">
        <v>0</v>
      </c>
      <c r="U1164" s="77">
        <v>0</v>
      </c>
      <c r="V1164" s="77">
        <v>4</v>
      </c>
      <c r="W1164" s="81" t="s">
        <v>1888</v>
      </c>
      <c r="X1164" s="80" t="str">
        <f>HYPERLINK("https://www.inovies.com/digital-marketing/")</f>
        <v>https://www.inovies.com/digital-marketing/</v>
      </c>
      <c r="Y1164" s="77" t="s">
        <v>1982</v>
      </c>
      <c r="Z1164" s="77"/>
      <c r="AA1164" s="77" t="s">
        <v>2590</v>
      </c>
      <c r="AB1164" s="77" t="s">
        <v>2698</v>
      </c>
      <c r="AC1164" s="81" t="s">
        <v>2707</v>
      </c>
      <c r="AD1164" s="77" t="s">
        <v>2752</v>
      </c>
      <c r="AE1164" s="80" t="str">
        <f>HYPERLINK("https://twitter.com/inovies/status/1734493584546779613")</f>
        <v>https://twitter.com/inovies/status/1734493584546779613</v>
      </c>
      <c r="AF1164" s="79">
        <v>45272.361921296295</v>
      </c>
      <c r="AG1164" s="85">
        <v>45272</v>
      </c>
      <c r="AH1164" s="81" t="s">
        <v>3734</v>
      </c>
      <c r="AI1164" s="77" t="b">
        <v>0</v>
      </c>
      <c r="AJ1164" s="77"/>
      <c r="AK1164" s="77"/>
      <c r="AL1164" s="77"/>
      <c r="AM1164" s="77"/>
      <c r="AN1164" s="77"/>
      <c r="AO1164" s="77"/>
      <c r="AP1164" s="77"/>
      <c r="AQ1164" s="77" t="s">
        <v>4404</v>
      </c>
      <c r="AR1164" s="77"/>
      <c r="AS1164" s="77"/>
      <c r="AT1164" s="77"/>
      <c r="AU1164" s="77"/>
      <c r="AV1164" s="80" t="str">
        <f>HYPERLINK("https://pbs.twimg.com/tweet_video_thumb/GBIot60boAAPW4c.jpg")</f>
        <v>https://pbs.twimg.com/tweet_video_thumb/GBIot60boAAPW4c.jpg</v>
      </c>
      <c r="AW1164" s="81" t="s">
        <v>5507</v>
      </c>
      <c r="AX1164" s="81" t="s">
        <v>5507</v>
      </c>
      <c r="AY1164" s="77"/>
      <c r="AZ1164" s="81" t="s">
        <v>5773</v>
      </c>
      <c r="BA1164" s="81" t="s">
        <v>5773</v>
      </c>
      <c r="BB1164" s="81" t="s">
        <v>5773</v>
      </c>
      <c r="BC1164" s="81" t="s">
        <v>5507</v>
      </c>
      <c r="BD1164" s="77">
        <v>297885438</v>
      </c>
      <c r="BE1164" s="77"/>
      <c r="BF1164" s="77"/>
      <c r="BG1164" s="77"/>
      <c r="BH1164" s="77"/>
      <c r="BI1164" s="77"/>
    </row>
    <row r="1165" spans="1:61" ht="15">
      <c r="A1165" s="62" t="s">
        <v>299</v>
      </c>
      <c r="B1165" s="62" t="s">
        <v>299</v>
      </c>
      <c r="C1165" s="63"/>
      <c r="D1165" s="64"/>
      <c r="E1165" s="65"/>
      <c r="F1165" s="66"/>
      <c r="G1165" s="63"/>
      <c r="H1165" s="67"/>
      <c r="I1165" s="68"/>
      <c r="J1165" s="68"/>
      <c r="K1165" s="32" t="s">
        <v>65</v>
      </c>
      <c r="L1165" s="75">
        <v>1165</v>
      </c>
      <c r="M1165" s="75"/>
      <c r="N1165" s="70"/>
      <c r="O1165" s="77" t="s">
        <v>179</v>
      </c>
      <c r="P1165" s="79">
        <v>45272.361550925925</v>
      </c>
      <c r="Q1165" s="77" t="s">
        <v>1544</v>
      </c>
      <c r="R1165" s="77">
        <v>0</v>
      </c>
      <c r="S1165" s="77">
        <v>0</v>
      </c>
      <c r="T1165" s="77">
        <v>0</v>
      </c>
      <c r="U1165" s="77">
        <v>0</v>
      </c>
      <c r="V1165" s="77">
        <v>4</v>
      </c>
      <c r="W1165" s="81" t="s">
        <v>1888</v>
      </c>
      <c r="X1165" s="80" t="str">
        <f>HYPERLINK("https://www.inovies.com/digital-marketing/")</f>
        <v>https://www.inovies.com/digital-marketing/</v>
      </c>
      <c r="Y1165" s="77" t="s">
        <v>1982</v>
      </c>
      <c r="Z1165" s="77"/>
      <c r="AA1165" s="77" t="s">
        <v>2591</v>
      </c>
      <c r="AB1165" s="77" t="s">
        <v>2698</v>
      </c>
      <c r="AC1165" s="81" t="s">
        <v>2707</v>
      </c>
      <c r="AD1165" s="77" t="s">
        <v>2752</v>
      </c>
      <c r="AE1165" s="80" t="str">
        <f>HYPERLINK("https://twitter.com/inovies/status/1734493448068317535")</f>
        <v>https://twitter.com/inovies/status/1734493448068317535</v>
      </c>
      <c r="AF1165" s="79">
        <v>45272.361550925925</v>
      </c>
      <c r="AG1165" s="85">
        <v>45272</v>
      </c>
      <c r="AH1165" s="81" t="s">
        <v>3735</v>
      </c>
      <c r="AI1165" s="77" t="b">
        <v>0</v>
      </c>
      <c r="AJ1165" s="77"/>
      <c r="AK1165" s="77"/>
      <c r="AL1165" s="77"/>
      <c r="AM1165" s="77"/>
      <c r="AN1165" s="77"/>
      <c r="AO1165" s="77"/>
      <c r="AP1165" s="77"/>
      <c r="AQ1165" s="77" t="s">
        <v>4405</v>
      </c>
      <c r="AR1165" s="77"/>
      <c r="AS1165" s="77"/>
      <c r="AT1165" s="77"/>
      <c r="AU1165" s="77"/>
      <c r="AV1165" s="80" t="str">
        <f>HYPERLINK("https://pbs.twimg.com/tweet_video_thumb/GBIol7gaUAAAfHm.jpg")</f>
        <v>https://pbs.twimg.com/tweet_video_thumb/GBIol7gaUAAAfHm.jpg</v>
      </c>
      <c r="AW1165" s="81" t="s">
        <v>5508</v>
      </c>
      <c r="AX1165" s="81" t="s">
        <v>5508</v>
      </c>
      <c r="AY1165" s="77"/>
      <c r="AZ1165" s="81" t="s">
        <v>5773</v>
      </c>
      <c r="BA1165" s="81" t="s">
        <v>5773</v>
      </c>
      <c r="BB1165" s="81" t="s">
        <v>5773</v>
      </c>
      <c r="BC1165" s="81" t="s">
        <v>5508</v>
      </c>
      <c r="BD1165" s="77">
        <v>297885438</v>
      </c>
      <c r="BE1165" s="77"/>
      <c r="BF1165" s="77"/>
      <c r="BG1165" s="77"/>
      <c r="BH1165" s="77"/>
      <c r="BI1165" s="77"/>
    </row>
    <row r="1166" spans="1:61" ht="15">
      <c r="A1166" s="62" t="s">
        <v>299</v>
      </c>
      <c r="B1166" s="62" t="s">
        <v>299</v>
      </c>
      <c r="C1166" s="63"/>
      <c r="D1166" s="64"/>
      <c r="E1166" s="65"/>
      <c r="F1166" s="66"/>
      <c r="G1166" s="63"/>
      <c r="H1166" s="67"/>
      <c r="I1166" s="68"/>
      <c r="J1166" s="68"/>
      <c r="K1166" s="32" t="s">
        <v>65</v>
      </c>
      <c r="L1166" s="75">
        <v>1166</v>
      </c>
      <c r="M1166" s="75"/>
      <c r="N1166" s="70"/>
      <c r="O1166" s="77" t="s">
        <v>179</v>
      </c>
      <c r="P1166" s="79">
        <v>45272.36125</v>
      </c>
      <c r="Q1166" s="77" t="s">
        <v>1545</v>
      </c>
      <c r="R1166" s="77">
        <v>0</v>
      </c>
      <c r="S1166" s="77">
        <v>0</v>
      </c>
      <c r="T1166" s="77">
        <v>0</v>
      </c>
      <c r="U1166" s="77">
        <v>0</v>
      </c>
      <c r="V1166" s="77">
        <v>4</v>
      </c>
      <c r="W1166" s="81" t="s">
        <v>1888</v>
      </c>
      <c r="X1166" s="80" t="str">
        <f>HYPERLINK("https://www.inovies.com/digital-marketing/")</f>
        <v>https://www.inovies.com/digital-marketing/</v>
      </c>
      <c r="Y1166" s="77" t="s">
        <v>1982</v>
      </c>
      <c r="Z1166" s="77"/>
      <c r="AA1166" s="77" t="s">
        <v>2592</v>
      </c>
      <c r="AB1166" s="77" t="s">
        <v>2698</v>
      </c>
      <c r="AC1166" s="81" t="s">
        <v>2707</v>
      </c>
      <c r="AD1166" s="77" t="s">
        <v>2752</v>
      </c>
      <c r="AE1166" s="80" t="str">
        <f>HYPERLINK("https://twitter.com/inovies/status/1734493342988398815")</f>
        <v>https://twitter.com/inovies/status/1734493342988398815</v>
      </c>
      <c r="AF1166" s="79">
        <v>45272.36125</v>
      </c>
      <c r="AG1166" s="85">
        <v>45272</v>
      </c>
      <c r="AH1166" s="81" t="s">
        <v>3736</v>
      </c>
      <c r="AI1166" s="77" t="b">
        <v>0</v>
      </c>
      <c r="AJ1166" s="77"/>
      <c r="AK1166" s="77"/>
      <c r="AL1166" s="77"/>
      <c r="AM1166" s="77"/>
      <c r="AN1166" s="77"/>
      <c r="AO1166" s="77"/>
      <c r="AP1166" s="77"/>
      <c r="AQ1166" s="77" t="s">
        <v>4406</v>
      </c>
      <c r="AR1166" s="77"/>
      <c r="AS1166" s="77"/>
      <c r="AT1166" s="77"/>
      <c r="AU1166" s="77"/>
      <c r="AV1166" s="80" t="str">
        <f>HYPERLINK("https://pbs.twimg.com/tweet_video_thumb/GBIof0RbcAAOFgA.jpg")</f>
        <v>https://pbs.twimg.com/tweet_video_thumb/GBIof0RbcAAOFgA.jpg</v>
      </c>
      <c r="AW1166" s="81" t="s">
        <v>5509</v>
      </c>
      <c r="AX1166" s="81" t="s">
        <v>5509</v>
      </c>
      <c r="AY1166" s="77"/>
      <c r="AZ1166" s="81" t="s">
        <v>5773</v>
      </c>
      <c r="BA1166" s="81" t="s">
        <v>5773</v>
      </c>
      <c r="BB1166" s="81" t="s">
        <v>5773</v>
      </c>
      <c r="BC1166" s="81" t="s">
        <v>5509</v>
      </c>
      <c r="BD1166" s="77">
        <v>297885438</v>
      </c>
      <c r="BE1166" s="77"/>
      <c r="BF1166" s="77"/>
      <c r="BG1166" s="77"/>
      <c r="BH1166" s="77"/>
      <c r="BI1166" s="77"/>
    </row>
    <row r="1167" spans="1:61" ht="15">
      <c r="A1167" s="62" t="s">
        <v>299</v>
      </c>
      <c r="B1167" s="62" t="s">
        <v>299</v>
      </c>
      <c r="C1167" s="63"/>
      <c r="D1167" s="64"/>
      <c r="E1167" s="65"/>
      <c r="F1167" s="66"/>
      <c r="G1167" s="63"/>
      <c r="H1167" s="67"/>
      <c r="I1167" s="68"/>
      <c r="J1167" s="68"/>
      <c r="K1167" s="32" t="s">
        <v>65</v>
      </c>
      <c r="L1167" s="75">
        <v>1167</v>
      </c>
      <c r="M1167" s="75"/>
      <c r="N1167" s="70"/>
      <c r="O1167" s="77" t="s">
        <v>179</v>
      </c>
      <c r="P1167" s="79">
        <v>45272.36105324074</v>
      </c>
      <c r="Q1167" s="77" t="s">
        <v>1546</v>
      </c>
      <c r="R1167" s="77">
        <v>0</v>
      </c>
      <c r="S1167" s="77">
        <v>0</v>
      </c>
      <c r="T1167" s="77">
        <v>0</v>
      </c>
      <c r="U1167" s="77">
        <v>0</v>
      </c>
      <c r="V1167" s="77">
        <v>4</v>
      </c>
      <c r="W1167" s="81" t="s">
        <v>1888</v>
      </c>
      <c r="X1167" s="80" t="str">
        <f>HYPERLINK("https://www.inovies.com/digital-marketing/")</f>
        <v>https://www.inovies.com/digital-marketing/</v>
      </c>
      <c r="Y1167" s="77" t="s">
        <v>1982</v>
      </c>
      <c r="Z1167" s="77"/>
      <c r="AA1167" s="77" t="s">
        <v>2593</v>
      </c>
      <c r="AB1167" s="77" t="s">
        <v>2698</v>
      </c>
      <c r="AC1167" s="81" t="s">
        <v>2707</v>
      </c>
      <c r="AD1167" s="77" t="s">
        <v>2752</v>
      </c>
      <c r="AE1167" s="80" t="str">
        <f>HYPERLINK("https://twitter.com/inovies/status/1734493268673782102")</f>
        <v>https://twitter.com/inovies/status/1734493268673782102</v>
      </c>
      <c r="AF1167" s="79">
        <v>45272.36105324074</v>
      </c>
      <c r="AG1167" s="85">
        <v>45272</v>
      </c>
      <c r="AH1167" s="81" t="s">
        <v>3737</v>
      </c>
      <c r="AI1167" s="77" t="b">
        <v>0</v>
      </c>
      <c r="AJ1167" s="77"/>
      <c r="AK1167" s="77"/>
      <c r="AL1167" s="77"/>
      <c r="AM1167" s="77"/>
      <c r="AN1167" s="77"/>
      <c r="AO1167" s="77"/>
      <c r="AP1167" s="77"/>
      <c r="AQ1167" s="77" t="s">
        <v>4407</v>
      </c>
      <c r="AR1167" s="77"/>
      <c r="AS1167" s="77"/>
      <c r="AT1167" s="77"/>
      <c r="AU1167" s="77"/>
      <c r="AV1167" s="80" t="str">
        <f>HYPERLINK("https://pbs.twimg.com/tweet_video_thumb/GBIobibbsAA3aSy.jpg")</f>
        <v>https://pbs.twimg.com/tweet_video_thumb/GBIobibbsAA3aSy.jpg</v>
      </c>
      <c r="AW1167" s="81" t="s">
        <v>5510</v>
      </c>
      <c r="AX1167" s="81" t="s">
        <v>5510</v>
      </c>
      <c r="AY1167" s="77"/>
      <c r="AZ1167" s="81" t="s">
        <v>5773</v>
      </c>
      <c r="BA1167" s="81" t="s">
        <v>5773</v>
      </c>
      <c r="BB1167" s="81" t="s">
        <v>5773</v>
      </c>
      <c r="BC1167" s="81" t="s">
        <v>5510</v>
      </c>
      <c r="BD1167" s="77">
        <v>297885438</v>
      </c>
      <c r="BE1167" s="77"/>
      <c r="BF1167" s="77"/>
      <c r="BG1167" s="77"/>
      <c r="BH1167" s="77"/>
      <c r="BI1167" s="77"/>
    </row>
    <row r="1168" spans="1:61" ht="15">
      <c r="A1168" s="62" t="s">
        <v>299</v>
      </c>
      <c r="B1168" s="62" t="s">
        <v>299</v>
      </c>
      <c r="C1168" s="63"/>
      <c r="D1168" s="64"/>
      <c r="E1168" s="65"/>
      <c r="F1168" s="66"/>
      <c r="G1168" s="63"/>
      <c r="H1168" s="67"/>
      <c r="I1168" s="68"/>
      <c r="J1168" s="68"/>
      <c r="K1168" s="32" t="s">
        <v>65</v>
      </c>
      <c r="L1168" s="75">
        <v>1168</v>
      </c>
      <c r="M1168" s="75"/>
      <c r="N1168" s="70"/>
      <c r="O1168" s="77" t="s">
        <v>179</v>
      </c>
      <c r="P1168" s="79">
        <v>45272.36082175926</v>
      </c>
      <c r="Q1168" s="77" t="s">
        <v>1547</v>
      </c>
      <c r="R1168" s="77">
        <v>0</v>
      </c>
      <c r="S1168" s="77">
        <v>0</v>
      </c>
      <c r="T1168" s="77">
        <v>0</v>
      </c>
      <c r="U1168" s="77">
        <v>0</v>
      </c>
      <c r="V1168" s="77">
        <v>4</v>
      </c>
      <c r="W1168" s="81" t="s">
        <v>1888</v>
      </c>
      <c r="X1168" s="80" t="str">
        <f>HYPERLINK("https://www.inovies.com/digital-marketing/")</f>
        <v>https://www.inovies.com/digital-marketing/</v>
      </c>
      <c r="Y1168" s="77" t="s">
        <v>1982</v>
      </c>
      <c r="Z1168" s="77"/>
      <c r="AA1168" s="77" t="s">
        <v>2594</v>
      </c>
      <c r="AB1168" s="77" t="s">
        <v>2698</v>
      </c>
      <c r="AC1168" s="81" t="s">
        <v>2707</v>
      </c>
      <c r="AD1168" s="77" t="s">
        <v>2752</v>
      </c>
      <c r="AE1168" s="80" t="str">
        <f>HYPERLINK("https://twitter.com/inovies/status/1734493186125644252")</f>
        <v>https://twitter.com/inovies/status/1734493186125644252</v>
      </c>
      <c r="AF1168" s="79">
        <v>45272.36082175926</v>
      </c>
      <c r="AG1168" s="85">
        <v>45272</v>
      </c>
      <c r="AH1168" s="81" t="s">
        <v>3738</v>
      </c>
      <c r="AI1168" s="77" t="b">
        <v>0</v>
      </c>
      <c r="AJ1168" s="77"/>
      <c r="AK1168" s="77"/>
      <c r="AL1168" s="77"/>
      <c r="AM1168" s="77"/>
      <c r="AN1168" s="77"/>
      <c r="AO1168" s="77"/>
      <c r="AP1168" s="77"/>
      <c r="AQ1168" s="77" t="s">
        <v>4408</v>
      </c>
      <c r="AR1168" s="77"/>
      <c r="AS1168" s="77"/>
      <c r="AT1168" s="77"/>
      <c r="AU1168" s="77"/>
      <c r="AV1168" s="80" t="str">
        <f>HYPERLINK("https://pbs.twimg.com/tweet_video_thumb/GBIoWuqbwAAlBJU.jpg")</f>
        <v>https://pbs.twimg.com/tweet_video_thumb/GBIoWuqbwAAlBJU.jpg</v>
      </c>
      <c r="AW1168" s="81" t="s">
        <v>5511</v>
      </c>
      <c r="AX1168" s="81" t="s">
        <v>5511</v>
      </c>
      <c r="AY1168" s="77"/>
      <c r="AZ1168" s="81" t="s">
        <v>5773</v>
      </c>
      <c r="BA1168" s="81" t="s">
        <v>5773</v>
      </c>
      <c r="BB1168" s="81" t="s">
        <v>5773</v>
      </c>
      <c r="BC1168" s="81" t="s">
        <v>5511</v>
      </c>
      <c r="BD1168" s="77">
        <v>297885438</v>
      </c>
      <c r="BE1168" s="77"/>
      <c r="BF1168" s="77"/>
      <c r="BG1168" s="77"/>
      <c r="BH1168" s="77"/>
      <c r="BI1168" s="77"/>
    </row>
    <row r="1169" spans="1:61" ht="15">
      <c r="A1169" s="62" t="s">
        <v>299</v>
      </c>
      <c r="B1169" s="62" t="s">
        <v>299</v>
      </c>
      <c r="C1169" s="63"/>
      <c r="D1169" s="64"/>
      <c r="E1169" s="65"/>
      <c r="F1169" s="66"/>
      <c r="G1169" s="63"/>
      <c r="H1169" s="67"/>
      <c r="I1169" s="68"/>
      <c r="J1169" s="68"/>
      <c r="K1169" s="32" t="s">
        <v>65</v>
      </c>
      <c r="L1169" s="75">
        <v>1169</v>
      </c>
      <c r="M1169" s="75"/>
      <c r="N1169" s="70"/>
      <c r="O1169" s="77" t="s">
        <v>179</v>
      </c>
      <c r="P1169" s="79">
        <v>45272.36056712963</v>
      </c>
      <c r="Q1169" s="77" t="s">
        <v>1548</v>
      </c>
      <c r="R1169" s="77">
        <v>0</v>
      </c>
      <c r="S1169" s="77">
        <v>0</v>
      </c>
      <c r="T1169" s="77">
        <v>0</v>
      </c>
      <c r="U1169" s="77">
        <v>0</v>
      </c>
      <c r="V1169" s="77">
        <v>6</v>
      </c>
      <c r="W1169" s="81" t="s">
        <v>1888</v>
      </c>
      <c r="X1169" s="80" t="str">
        <f>HYPERLINK("https://www.inovies.com/digital-marketing/")</f>
        <v>https://www.inovies.com/digital-marketing/</v>
      </c>
      <c r="Y1169" s="77" t="s">
        <v>1982</v>
      </c>
      <c r="Z1169" s="77"/>
      <c r="AA1169" s="77" t="s">
        <v>2595</v>
      </c>
      <c r="AB1169" s="77" t="s">
        <v>2698</v>
      </c>
      <c r="AC1169" s="81" t="s">
        <v>2707</v>
      </c>
      <c r="AD1169" s="77" t="s">
        <v>2752</v>
      </c>
      <c r="AE1169" s="80" t="str">
        <f>HYPERLINK("https://twitter.com/inovies/status/1734493093381194115")</f>
        <v>https://twitter.com/inovies/status/1734493093381194115</v>
      </c>
      <c r="AF1169" s="79">
        <v>45272.36056712963</v>
      </c>
      <c r="AG1169" s="85">
        <v>45272</v>
      </c>
      <c r="AH1169" s="81" t="s">
        <v>3739</v>
      </c>
      <c r="AI1169" s="77" t="b">
        <v>0</v>
      </c>
      <c r="AJ1169" s="77"/>
      <c r="AK1169" s="77"/>
      <c r="AL1169" s="77"/>
      <c r="AM1169" s="77"/>
      <c r="AN1169" s="77"/>
      <c r="AO1169" s="77"/>
      <c r="AP1169" s="77"/>
      <c r="AQ1169" s="77" t="s">
        <v>4409</v>
      </c>
      <c r="AR1169" s="77"/>
      <c r="AS1169" s="77"/>
      <c r="AT1169" s="77"/>
      <c r="AU1169" s="77"/>
      <c r="AV1169" s="80" t="str">
        <f>HYPERLINK("https://pbs.twimg.com/tweet_video_thumb/GBIoRTbbMAAMTJP.jpg")</f>
        <v>https://pbs.twimg.com/tweet_video_thumb/GBIoRTbbMAAMTJP.jpg</v>
      </c>
      <c r="AW1169" s="81" t="s">
        <v>5512</v>
      </c>
      <c r="AX1169" s="81" t="s">
        <v>5512</v>
      </c>
      <c r="AY1169" s="77"/>
      <c r="AZ1169" s="81" t="s">
        <v>5773</v>
      </c>
      <c r="BA1169" s="81" t="s">
        <v>5773</v>
      </c>
      <c r="BB1169" s="81" t="s">
        <v>5773</v>
      </c>
      <c r="BC1169" s="81" t="s">
        <v>5512</v>
      </c>
      <c r="BD1169" s="77">
        <v>297885438</v>
      </c>
      <c r="BE1169" s="77"/>
      <c r="BF1169" s="77"/>
      <c r="BG1169" s="77"/>
      <c r="BH1169" s="77"/>
      <c r="BI1169" s="77"/>
    </row>
    <row r="1170" spans="1:61" ht="15">
      <c r="A1170" s="62" t="s">
        <v>299</v>
      </c>
      <c r="B1170" s="62" t="s">
        <v>299</v>
      </c>
      <c r="C1170" s="63"/>
      <c r="D1170" s="64"/>
      <c r="E1170" s="65"/>
      <c r="F1170" s="66"/>
      <c r="G1170" s="63"/>
      <c r="H1170" s="67"/>
      <c r="I1170" s="68"/>
      <c r="J1170" s="68"/>
      <c r="K1170" s="32" t="s">
        <v>65</v>
      </c>
      <c r="L1170" s="75">
        <v>1170</v>
      </c>
      <c r="M1170" s="75"/>
      <c r="N1170" s="70"/>
      <c r="O1170" s="77" t="s">
        <v>179</v>
      </c>
      <c r="P1170" s="79">
        <v>45272.13909722222</v>
      </c>
      <c r="Q1170" s="77" t="s">
        <v>1549</v>
      </c>
      <c r="R1170" s="77">
        <v>0</v>
      </c>
      <c r="S1170" s="77">
        <v>0</v>
      </c>
      <c r="T1170" s="77">
        <v>0</v>
      </c>
      <c r="U1170" s="77">
        <v>0</v>
      </c>
      <c r="V1170" s="77">
        <v>51</v>
      </c>
      <c r="W1170" s="81" t="s">
        <v>1939</v>
      </c>
      <c r="X1170" s="77"/>
      <c r="Y1170" s="77"/>
      <c r="Z1170" s="77"/>
      <c r="AA1170" s="77" t="s">
        <v>2596</v>
      </c>
      <c r="AB1170" s="77" t="s">
        <v>2696</v>
      </c>
      <c r="AC1170" s="81" t="s">
        <v>2707</v>
      </c>
      <c r="AD1170" s="77" t="s">
        <v>2751</v>
      </c>
      <c r="AE1170" s="80" t="str">
        <f>HYPERLINK("https://twitter.com/inovies/status/1734412837248721293")</f>
        <v>https://twitter.com/inovies/status/1734412837248721293</v>
      </c>
      <c r="AF1170" s="79">
        <v>45272.13909722222</v>
      </c>
      <c r="AG1170" s="85">
        <v>45272</v>
      </c>
      <c r="AH1170" s="81" t="s">
        <v>3740</v>
      </c>
      <c r="AI1170" s="77" t="b">
        <v>0</v>
      </c>
      <c r="AJ1170" s="77"/>
      <c r="AK1170" s="77"/>
      <c r="AL1170" s="77"/>
      <c r="AM1170" s="77"/>
      <c r="AN1170" s="77"/>
      <c r="AO1170" s="77"/>
      <c r="AP1170" s="77"/>
      <c r="AQ1170" s="77" t="s">
        <v>4410</v>
      </c>
      <c r="AR1170" s="77"/>
      <c r="AS1170" s="77"/>
      <c r="AT1170" s="77"/>
      <c r="AU1170" s="77"/>
      <c r="AV1170" s="80" t="str">
        <f>HYPERLINK("https://pbs.twimg.com/media/GBHfOSBWoAAxFZP.jpg")</f>
        <v>https://pbs.twimg.com/media/GBHfOSBWoAAxFZP.jpg</v>
      </c>
      <c r="AW1170" s="81" t="s">
        <v>5513</v>
      </c>
      <c r="AX1170" s="81" t="s">
        <v>5513</v>
      </c>
      <c r="AY1170" s="77"/>
      <c r="AZ1170" s="81" t="s">
        <v>5773</v>
      </c>
      <c r="BA1170" s="81" t="s">
        <v>5773</v>
      </c>
      <c r="BB1170" s="81" t="s">
        <v>5773</v>
      </c>
      <c r="BC1170" s="81" t="s">
        <v>5513</v>
      </c>
      <c r="BD1170" s="77">
        <v>297885438</v>
      </c>
      <c r="BE1170" s="77"/>
      <c r="BF1170" s="77"/>
      <c r="BG1170" s="77"/>
      <c r="BH1170" s="77"/>
      <c r="BI1170" s="77"/>
    </row>
    <row r="1171" spans="1:61" ht="15">
      <c r="A1171" s="62" t="s">
        <v>299</v>
      </c>
      <c r="B1171" s="62" t="s">
        <v>299</v>
      </c>
      <c r="C1171" s="63"/>
      <c r="D1171" s="64"/>
      <c r="E1171" s="65"/>
      <c r="F1171" s="66"/>
      <c r="G1171" s="63"/>
      <c r="H1171" s="67"/>
      <c r="I1171" s="68"/>
      <c r="J1171" s="68"/>
      <c r="K1171" s="32" t="s">
        <v>65</v>
      </c>
      <c r="L1171" s="75">
        <v>1171</v>
      </c>
      <c r="M1171" s="75"/>
      <c r="N1171" s="70"/>
      <c r="O1171" s="77" t="s">
        <v>572</v>
      </c>
      <c r="P1171" s="79">
        <v>45271.34168981481</v>
      </c>
      <c r="Q1171" s="77" t="s">
        <v>1550</v>
      </c>
      <c r="R1171" s="77">
        <v>0</v>
      </c>
      <c r="S1171" s="77">
        <v>0</v>
      </c>
      <c r="T1171" s="77">
        <v>0</v>
      </c>
      <c r="U1171" s="77">
        <v>0</v>
      </c>
      <c r="V1171" s="77">
        <v>33</v>
      </c>
      <c r="W1171" s="81" t="s">
        <v>1880</v>
      </c>
      <c r="X1171" s="80" t="str">
        <f>HYPERLINK("https://www.inovies.com")</f>
        <v>https://www.inovies.com</v>
      </c>
      <c r="Y1171" s="77" t="s">
        <v>1982</v>
      </c>
      <c r="Z1171" s="77"/>
      <c r="AA1171" s="77"/>
      <c r="AB1171" s="77"/>
      <c r="AC1171" s="81" t="s">
        <v>2707</v>
      </c>
      <c r="AD1171" s="77" t="s">
        <v>2751</v>
      </c>
      <c r="AE1171" s="80" t="str">
        <f>HYPERLINK("https://twitter.com/inovies/status/1734123863833813030")</f>
        <v>https://twitter.com/inovies/status/1734123863833813030</v>
      </c>
      <c r="AF1171" s="79">
        <v>45271.34168981481</v>
      </c>
      <c r="AG1171" s="85">
        <v>45271</v>
      </c>
      <c r="AH1171" s="81" t="s">
        <v>3741</v>
      </c>
      <c r="AI1171" s="77" t="b">
        <v>0</v>
      </c>
      <c r="AJ1171" s="77"/>
      <c r="AK1171" s="77"/>
      <c r="AL1171" s="77"/>
      <c r="AM1171" s="77"/>
      <c r="AN1171" s="77"/>
      <c r="AO1171" s="77"/>
      <c r="AP1171" s="77"/>
      <c r="AQ1171" s="77"/>
      <c r="AR1171" s="77"/>
      <c r="AS1171" s="77"/>
      <c r="AT1171" s="77"/>
      <c r="AU1171" s="77"/>
      <c r="AV1171" s="80" t="str">
        <f>HYPERLINK("https://pbs.twimg.com/profile_images/833576943677214720/5ZyUgpEJ_normal.jpg")</f>
        <v>https://pbs.twimg.com/profile_images/833576943677214720/5ZyUgpEJ_normal.jpg</v>
      </c>
      <c r="AW1171" s="81" t="s">
        <v>5514</v>
      </c>
      <c r="AX1171" s="81" t="s">
        <v>5339</v>
      </c>
      <c r="AY1171" s="81" t="s">
        <v>5721</v>
      </c>
      <c r="AZ1171" s="81" t="s">
        <v>5515</v>
      </c>
      <c r="BA1171" s="81" t="s">
        <v>5773</v>
      </c>
      <c r="BB1171" s="81" t="s">
        <v>5773</v>
      </c>
      <c r="BC1171" s="81" t="s">
        <v>5515</v>
      </c>
      <c r="BD1171" s="77">
        <v>297885438</v>
      </c>
      <c r="BE1171" s="77"/>
      <c r="BF1171" s="77"/>
      <c r="BG1171" s="77"/>
      <c r="BH1171" s="77"/>
      <c r="BI1171" s="77"/>
    </row>
    <row r="1172" spans="1:61" ht="15">
      <c r="A1172" s="62" t="s">
        <v>299</v>
      </c>
      <c r="B1172" s="62" t="s">
        <v>299</v>
      </c>
      <c r="C1172" s="63"/>
      <c r="D1172" s="64"/>
      <c r="E1172" s="65"/>
      <c r="F1172" s="66"/>
      <c r="G1172" s="63"/>
      <c r="H1172" s="67"/>
      <c r="I1172" s="68"/>
      <c r="J1172" s="68"/>
      <c r="K1172" s="32" t="s">
        <v>65</v>
      </c>
      <c r="L1172" s="75">
        <v>1172</v>
      </c>
      <c r="M1172" s="75"/>
      <c r="N1172" s="70"/>
      <c r="O1172" s="77" t="s">
        <v>572</v>
      </c>
      <c r="P1172" s="79">
        <v>45271.341678240744</v>
      </c>
      <c r="Q1172" s="77" t="s">
        <v>1551</v>
      </c>
      <c r="R1172" s="77">
        <v>0</v>
      </c>
      <c r="S1172" s="77">
        <v>0</v>
      </c>
      <c r="T1172" s="77">
        <v>1</v>
      </c>
      <c r="U1172" s="77">
        <v>0</v>
      </c>
      <c r="V1172" s="77">
        <v>28</v>
      </c>
      <c r="W1172" s="81" t="s">
        <v>1880</v>
      </c>
      <c r="X1172" s="80" t="str">
        <f>HYPERLINK("https://www.inovies.com")</f>
        <v>https://www.inovies.com</v>
      </c>
      <c r="Y1172" s="77" t="s">
        <v>1982</v>
      </c>
      <c r="Z1172" s="77"/>
      <c r="AA1172" s="77"/>
      <c r="AB1172" s="77"/>
      <c r="AC1172" s="81" t="s">
        <v>2707</v>
      </c>
      <c r="AD1172" s="77" t="s">
        <v>2751</v>
      </c>
      <c r="AE1172" s="80" t="str">
        <f>HYPERLINK("https://twitter.com/inovies/status/1734123861669540227")</f>
        <v>https://twitter.com/inovies/status/1734123861669540227</v>
      </c>
      <c r="AF1172" s="79">
        <v>45271.341678240744</v>
      </c>
      <c r="AG1172" s="85">
        <v>45271</v>
      </c>
      <c r="AH1172" s="81" t="s">
        <v>3742</v>
      </c>
      <c r="AI1172" s="77" t="b">
        <v>0</v>
      </c>
      <c r="AJ1172" s="77"/>
      <c r="AK1172" s="77"/>
      <c r="AL1172" s="77"/>
      <c r="AM1172" s="77"/>
      <c r="AN1172" s="77"/>
      <c r="AO1172" s="77"/>
      <c r="AP1172" s="77"/>
      <c r="AQ1172" s="77"/>
      <c r="AR1172" s="77"/>
      <c r="AS1172" s="77"/>
      <c r="AT1172" s="77"/>
      <c r="AU1172" s="77"/>
      <c r="AV1172" s="80" t="str">
        <f>HYPERLINK("https://pbs.twimg.com/profile_images/833576943677214720/5ZyUgpEJ_normal.jpg")</f>
        <v>https://pbs.twimg.com/profile_images/833576943677214720/5ZyUgpEJ_normal.jpg</v>
      </c>
      <c r="AW1172" s="81" t="s">
        <v>5515</v>
      </c>
      <c r="AX1172" s="81" t="s">
        <v>5339</v>
      </c>
      <c r="AY1172" s="81" t="s">
        <v>5721</v>
      </c>
      <c r="AZ1172" s="81" t="s">
        <v>5516</v>
      </c>
      <c r="BA1172" s="81" t="s">
        <v>5773</v>
      </c>
      <c r="BB1172" s="81" t="s">
        <v>5773</v>
      </c>
      <c r="BC1172" s="81" t="s">
        <v>5516</v>
      </c>
      <c r="BD1172" s="77">
        <v>297885438</v>
      </c>
      <c r="BE1172" s="77"/>
      <c r="BF1172" s="77"/>
      <c r="BG1172" s="77"/>
      <c r="BH1172" s="77"/>
      <c r="BI1172" s="77"/>
    </row>
    <row r="1173" spans="1:61" ht="15">
      <c r="A1173" s="62" t="s">
        <v>299</v>
      </c>
      <c r="B1173" s="62" t="s">
        <v>299</v>
      </c>
      <c r="C1173" s="63"/>
      <c r="D1173" s="64"/>
      <c r="E1173" s="65"/>
      <c r="F1173" s="66"/>
      <c r="G1173" s="63"/>
      <c r="H1173" s="67"/>
      <c r="I1173" s="68"/>
      <c r="J1173" s="68"/>
      <c r="K1173" s="32" t="s">
        <v>65</v>
      </c>
      <c r="L1173" s="75">
        <v>1173</v>
      </c>
      <c r="M1173" s="75"/>
      <c r="N1173" s="70"/>
      <c r="O1173" s="77" t="s">
        <v>572</v>
      </c>
      <c r="P1173" s="79">
        <v>45271.34166666667</v>
      </c>
      <c r="Q1173" s="77" t="s">
        <v>1552</v>
      </c>
      <c r="R1173" s="77">
        <v>0</v>
      </c>
      <c r="S1173" s="77">
        <v>0</v>
      </c>
      <c r="T1173" s="77">
        <v>1</v>
      </c>
      <c r="U1173" s="77">
        <v>0</v>
      </c>
      <c r="V1173" s="77">
        <v>16</v>
      </c>
      <c r="W1173" s="81" t="s">
        <v>1880</v>
      </c>
      <c r="X1173" s="80" t="str">
        <f>HYPERLINK("https://www.inovies.com")</f>
        <v>https://www.inovies.com</v>
      </c>
      <c r="Y1173" s="77" t="s">
        <v>1982</v>
      </c>
      <c r="Z1173" s="77"/>
      <c r="AA1173" s="77"/>
      <c r="AB1173" s="77"/>
      <c r="AC1173" s="81" t="s">
        <v>2707</v>
      </c>
      <c r="AD1173" s="77" t="s">
        <v>2751</v>
      </c>
      <c r="AE1173" s="80" t="str">
        <f>HYPERLINK("https://twitter.com/inovies/status/1734123858238505306")</f>
        <v>https://twitter.com/inovies/status/1734123858238505306</v>
      </c>
      <c r="AF1173" s="79">
        <v>45271.34166666667</v>
      </c>
      <c r="AG1173" s="85">
        <v>45271</v>
      </c>
      <c r="AH1173" s="81" t="s">
        <v>3743</v>
      </c>
      <c r="AI1173" s="77" t="b">
        <v>0</v>
      </c>
      <c r="AJ1173" s="77"/>
      <c r="AK1173" s="77"/>
      <c r="AL1173" s="77"/>
      <c r="AM1173" s="77"/>
      <c r="AN1173" s="77"/>
      <c r="AO1173" s="77"/>
      <c r="AP1173" s="77"/>
      <c r="AQ1173" s="77"/>
      <c r="AR1173" s="77"/>
      <c r="AS1173" s="77"/>
      <c r="AT1173" s="77"/>
      <c r="AU1173" s="77"/>
      <c r="AV1173" s="80" t="str">
        <f>HYPERLINK("https://pbs.twimg.com/profile_images/833576943677214720/5ZyUgpEJ_normal.jpg")</f>
        <v>https://pbs.twimg.com/profile_images/833576943677214720/5ZyUgpEJ_normal.jpg</v>
      </c>
      <c r="AW1173" s="81" t="s">
        <v>5516</v>
      </c>
      <c r="AX1173" s="81" t="s">
        <v>5339</v>
      </c>
      <c r="AY1173" s="81" t="s">
        <v>5721</v>
      </c>
      <c r="AZ1173" s="81" t="s">
        <v>5517</v>
      </c>
      <c r="BA1173" s="81" t="s">
        <v>5773</v>
      </c>
      <c r="BB1173" s="81" t="s">
        <v>5773</v>
      </c>
      <c r="BC1173" s="81" t="s">
        <v>5517</v>
      </c>
      <c r="BD1173" s="77">
        <v>297885438</v>
      </c>
      <c r="BE1173" s="77"/>
      <c r="BF1173" s="77"/>
      <c r="BG1173" s="77"/>
      <c r="BH1173" s="77"/>
      <c r="BI1173" s="77"/>
    </row>
    <row r="1174" spans="1:61" ht="15">
      <c r="A1174" s="62" t="s">
        <v>299</v>
      </c>
      <c r="B1174" s="62" t="s">
        <v>299</v>
      </c>
      <c r="C1174" s="63"/>
      <c r="D1174" s="64"/>
      <c r="E1174" s="65"/>
      <c r="F1174" s="66"/>
      <c r="G1174" s="63"/>
      <c r="H1174" s="67"/>
      <c r="I1174" s="68"/>
      <c r="J1174" s="68"/>
      <c r="K1174" s="32" t="s">
        <v>65</v>
      </c>
      <c r="L1174" s="75">
        <v>1174</v>
      </c>
      <c r="M1174" s="75"/>
      <c r="N1174" s="70"/>
      <c r="O1174" s="77" t="s">
        <v>572</v>
      </c>
      <c r="P1174" s="79">
        <v>45271.34166666667</v>
      </c>
      <c r="Q1174" s="77" t="s">
        <v>1553</v>
      </c>
      <c r="R1174" s="77">
        <v>0</v>
      </c>
      <c r="S1174" s="77">
        <v>0</v>
      </c>
      <c r="T1174" s="77">
        <v>1</v>
      </c>
      <c r="U1174" s="77">
        <v>0</v>
      </c>
      <c r="V1174" s="77">
        <v>14</v>
      </c>
      <c r="W1174" s="81" t="s">
        <v>1880</v>
      </c>
      <c r="X1174" s="80" t="str">
        <f>HYPERLINK("https://www.inovies.com")</f>
        <v>https://www.inovies.com</v>
      </c>
      <c r="Y1174" s="77" t="s">
        <v>1982</v>
      </c>
      <c r="Z1174" s="77"/>
      <c r="AA1174" s="77"/>
      <c r="AB1174" s="77"/>
      <c r="AC1174" s="81" t="s">
        <v>2707</v>
      </c>
      <c r="AD1174" s="77" t="s">
        <v>2751</v>
      </c>
      <c r="AE1174" s="80" t="str">
        <f>HYPERLINK("https://twitter.com/inovies/status/1734123855117975813")</f>
        <v>https://twitter.com/inovies/status/1734123855117975813</v>
      </c>
      <c r="AF1174" s="79">
        <v>45271.34166666667</v>
      </c>
      <c r="AG1174" s="85">
        <v>45271</v>
      </c>
      <c r="AH1174" s="81" t="s">
        <v>3743</v>
      </c>
      <c r="AI1174" s="77" t="b">
        <v>0</v>
      </c>
      <c r="AJ1174" s="77"/>
      <c r="AK1174" s="77"/>
      <c r="AL1174" s="77"/>
      <c r="AM1174" s="77"/>
      <c r="AN1174" s="77"/>
      <c r="AO1174" s="77"/>
      <c r="AP1174" s="77"/>
      <c r="AQ1174" s="77"/>
      <c r="AR1174" s="77"/>
      <c r="AS1174" s="77"/>
      <c r="AT1174" s="77"/>
      <c r="AU1174" s="77"/>
      <c r="AV1174" s="80" t="str">
        <f>HYPERLINK("https://pbs.twimg.com/profile_images/833576943677214720/5ZyUgpEJ_normal.jpg")</f>
        <v>https://pbs.twimg.com/profile_images/833576943677214720/5ZyUgpEJ_normal.jpg</v>
      </c>
      <c r="AW1174" s="81" t="s">
        <v>5517</v>
      </c>
      <c r="AX1174" s="81" t="s">
        <v>5339</v>
      </c>
      <c r="AY1174" s="81" t="s">
        <v>5721</v>
      </c>
      <c r="AZ1174" s="81" t="s">
        <v>5518</v>
      </c>
      <c r="BA1174" s="81" t="s">
        <v>5773</v>
      </c>
      <c r="BB1174" s="81" t="s">
        <v>5773</v>
      </c>
      <c r="BC1174" s="81" t="s">
        <v>5518</v>
      </c>
      <c r="BD1174" s="77">
        <v>297885438</v>
      </c>
      <c r="BE1174" s="77"/>
      <c r="BF1174" s="77"/>
      <c r="BG1174" s="77"/>
      <c r="BH1174" s="77"/>
      <c r="BI1174" s="77"/>
    </row>
    <row r="1175" spans="1:61" ht="15">
      <c r="A1175" s="62" t="s">
        <v>299</v>
      </c>
      <c r="B1175" s="62" t="s">
        <v>299</v>
      </c>
      <c r="C1175" s="63"/>
      <c r="D1175" s="64"/>
      <c r="E1175" s="65"/>
      <c r="F1175" s="66"/>
      <c r="G1175" s="63"/>
      <c r="H1175" s="67"/>
      <c r="I1175" s="68"/>
      <c r="J1175" s="68"/>
      <c r="K1175" s="32" t="s">
        <v>65</v>
      </c>
      <c r="L1175" s="75">
        <v>1175</v>
      </c>
      <c r="M1175" s="75"/>
      <c r="N1175" s="70"/>
      <c r="O1175" s="77" t="s">
        <v>572</v>
      </c>
      <c r="P1175" s="79">
        <v>45271.34165509259</v>
      </c>
      <c r="Q1175" s="77" t="s">
        <v>1554</v>
      </c>
      <c r="R1175" s="77">
        <v>0</v>
      </c>
      <c r="S1175" s="77">
        <v>0</v>
      </c>
      <c r="T1175" s="77">
        <v>1</v>
      </c>
      <c r="U1175" s="77">
        <v>0</v>
      </c>
      <c r="V1175" s="77">
        <v>14</v>
      </c>
      <c r="W1175" s="81" t="s">
        <v>1880</v>
      </c>
      <c r="X1175" s="80" t="str">
        <f>HYPERLINK("https://www.inovies.com")</f>
        <v>https://www.inovies.com</v>
      </c>
      <c r="Y1175" s="77" t="s">
        <v>1982</v>
      </c>
      <c r="Z1175" s="77"/>
      <c r="AA1175" s="77"/>
      <c r="AB1175" s="77"/>
      <c r="AC1175" s="81" t="s">
        <v>2707</v>
      </c>
      <c r="AD1175" s="77" t="s">
        <v>2751</v>
      </c>
      <c r="AE1175" s="80" t="str">
        <f>HYPERLINK("https://twitter.com/inovies/status/1734123852748243416")</f>
        <v>https://twitter.com/inovies/status/1734123852748243416</v>
      </c>
      <c r="AF1175" s="79">
        <v>45271.34165509259</v>
      </c>
      <c r="AG1175" s="85">
        <v>45271</v>
      </c>
      <c r="AH1175" s="81" t="s">
        <v>3744</v>
      </c>
      <c r="AI1175" s="77" t="b">
        <v>0</v>
      </c>
      <c r="AJ1175" s="77"/>
      <c r="AK1175" s="77"/>
      <c r="AL1175" s="77"/>
      <c r="AM1175" s="77"/>
      <c r="AN1175" s="77"/>
      <c r="AO1175" s="77"/>
      <c r="AP1175" s="77"/>
      <c r="AQ1175" s="77"/>
      <c r="AR1175" s="77"/>
      <c r="AS1175" s="77"/>
      <c r="AT1175" s="77"/>
      <c r="AU1175" s="77"/>
      <c r="AV1175" s="80" t="str">
        <f>HYPERLINK("https://pbs.twimg.com/profile_images/833576943677214720/5ZyUgpEJ_normal.jpg")</f>
        <v>https://pbs.twimg.com/profile_images/833576943677214720/5ZyUgpEJ_normal.jpg</v>
      </c>
      <c r="AW1175" s="81" t="s">
        <v>5518</v>
      </c>
      <c r="AX1175" s="81" t="s">
        <v>5339</v>
      </c>
      <c r="AY1175" s="81" t="s">
        <v>5721</v>
      </c>
      <c r="AZ1175" s="81" t="s">
        <v>5519</v>
      </c>
      <c r="BA1175" s="81" t="s">
        <v>5773</v>
      </c>
      <c r="BB1175" s="81" t="s">
        <v>5773</v>
      </c>
      <c r="BC1175" s="81" t="s">
        <v>5519</v>
      </c>
      <c r="BD1175" s="77">
        <v>297885438</v>
      </c>
      <c r="BE1175" s="77"/>
      <c r="BF1175" s="77"/>
      <c r="BG1175" s="77"/>
      <c r="BH1175" s="77"/>
      <c r="BI1175" s="77"/>
    </row>
    <row r="1176" spans="1:61" ht="15">
      <c r="A1176" s="62" t="s">
        <v>299</v>
      </c>
      <c r="B1176" s="62" t="s">
        <v>299</v>
      </c>
      <c r="C1176" s="63"/>
      <c r="D1176" s="64"/>
      <c r="E1176" s="65"/>
      <c r="F1176" s="66"/>
      <c r="G1176" s="63"/>
      <c r="H1176" s="67"/>
      <c r="I1176" s="68"/>
      <c r="J1176" s="68"/>
      <c r="K1176" s="32" t="s">
        <v>65</v>
      </c>
      <c r="L1176" s="75">
        <v>1176</v>
      </c>
      <c r="M1176" s="75"/>
      <c r="N1176" s="70"/>
      <c r="O1176" s="77" t="s">
        <v>572</v>
      </c>
      <c r="P1176" s="79">
        <v>45271.34165509259</v>
      </c>
      <c r="Q1176" s="77" t="s">
        <v>1555</v>
      </c>
      <c r="R1176" s="77">
        <v>0</v>
      </c>
      <c r="S1176" s="77">
        <v>0</v>
      </c>
      <c r="T1176" s="77">
        <v>1</v>
      </c>
      <c r="U1176" s="77">
        <v>0</v>
      </c>
      <c r="V1176" s="77">
        <v>14</v>
      </c>
      <c r="W1176" s="81" t="s">
        <v>1880</v>
      </c>
      <c r="X1176" s="80" t="str">
        <f>HYPERLINK("https://www.inovies.com")</f>
        <v>https://www.inovies.com</v>
      </c>
      <c r="Y1176" s="77" t="s">
        <v>1982</v>
      </c>
      <c r="Z1176" s="77"/>
      <c r="AA1176" s="77"/>
      <c r="AB1176" s="77"/>
      <c r="AC1176" s="81" t="s">
        <v>2707</v>
      </c>
      <c r="AD1176" s="77" t="s">
        <v>2751</v>
      </c>
      <c r="AE1176" s="80" t="str">
        <f>HYPERLINK("https://twitter.com/inovies/status/1734123850261004623")</f>
        <v>https://twitter.com/inovies/status/1734123850261004623</v>
      </c>
      <c r="AF1176" s="79">
        <v>45271.34165509259</v>
      </c>
      <c r="AG1176" s="85">
        <v>45271</v>
      </c>
      <c r="AH1176" s="81" t="s">
        <v>3744</v>
      </c>
      <c r="AI1176" s="77" t="b">
        <v>0</v>
      </c>
      <c r="AJ1176" s="77"/>
      <c r="AK1176" s="77"/>
      <c r="AL1176" s="77"/>
      <c r="AM1176" s="77"/>
      <c r="AN1176" s="77"/>
      <c r="AO1176" s="77"/>
      <c r="AP1176" s="77"/>
      <c r="AQ1176" s="77"/>
      <c r="AR1176" s="77"/>
      <c r="AS1176" s="77"/>
      <c r="AT1176" s="77"/>
      <c r="AU1176" s="77"/>
      <c r="AV1176" s="80" t="str">
        <f>HYPERLINK("https://pbs.twimg.com/profile_images/833576943677214720/5ZyUgpEJ_normal.jpg")</f>
        <v>https://pbs.twimg.com/profile_images/833576943677214720/5ZyUgpEJ_normal.jpg</v>
      </c>
      <c r="AW1176" s="81" t="s">
        <v>5519</v>
      </c>
      <c r="AX1176" s="81" t="s">
        <v>5339</v>
      </c>
      <c r="AY1176" s="81" t="s">
        <v>5721</v>
      </c>
      <c r="AZ1176" s="81" t="s">
        <v>5520</v>
      </c>
      <c r="BA1176" s="81" t="s">
        <v>5773</v>
      </c>
      <c r="BB1176" s="81" t="s">
        <v>5773</v>
      </c>
      <c r="BC1176" s="81" t="s">
        <v>5520</v>
      </c>
      <c r="BD1176" s="77">
        <v>297885438</v>
      </c>
      <c r="BE1176" s="77"/>
      <c r="BF1176" s="77"/>
      <c r="BG1176" s="77"/>
      <c r="BH1176" s="77"/>
      <c r="BI1176" s="77"/>
    </row>
    <row r="1177" spans="1:61" ht="15">
      <c r="A1177" s="62" t="s">
        <v>299</v>
      </c>
      <c r="B1177" s="62" t="s">
        <v>299</v>
      </c>
      <c r="C1177" s="63"/>
      <c r="D1177" s="64"/>
      <c r="E1177" s="65"/>
      <c r="F1177" s="66"/>
      <c r="G1177" s="63"/>
      <c r="H1177" s="67"/>
      <c r="I1177" s="68"/>
      <c r="J1177" s="68"/>
      <c r="K1177" s="32" t="s">
        <v>65</v>
      </c>
      <c r="L1177" s="75">
        <v>1177</v>
      </c>
      <c r="M1177" s="75"/>
      <c r="N1177" s="70"/>
      <c r="O1177" s="77" t="s">
        <v>572</v>
      </c>
      <c r="P1177" s="79">
        <v>45271.34164351852</v>
      </c>
      <c r="Q1177" s="77" t="s">
        <v>1556</v>
      </c>
      <c r="R1177" s="77">
        <v>0</v>
      </c>
      <c r="S1177" s="77">
        <v>0</v>
      </c>
      <c r="T1177" s="77">
        <v>1</v>
      </c>
      <c r="U1177" s="77">
        <v>0</v>
      </c>
      <c r="V1177" s="77">
        <v>13</v>
      </c>
      <c r="W1177" s="81" t="s">
        <v>1880</v>
      </c>
      <c r="X1177" s="80" t="str">
        <f>HYPERLINK("https://www.inovies.com")</f>
        <v>https://www.inovies.com</v>
      </c>
      <c r="Y1177" s="77" t="s">
        <v>1982</v>
      </c>
      <c r="Z1177" s="77"/>
      <c r="AA1177" s="77"/>
      <c r="AB1177" s="77"/>
      <c r="AC1177" s="81" t="s">
        <v>2707</v>
      </c>
      <c r="AD1177" s="77" t="s">
        <v>2751</v>
      </c>
      <c r="AE1177" s="80" t="str">
        <f>HYPERLINK("https://twitter.com/inovies/status/1734123848172183733")</f>
        <v>https://twitter.com/inovies/status/1734123848172183733</v>
      </c>
      <c r="AF1177" s="79">
        <v>45271.34164351852</v>
      </c>
      <c r="AG1177" s="85">
        <v>45271</v>
      </c>
      <c r="AH1177" s="81" t="s">
        <v>3745</v>
      </c>
      <c r="AI1177" s="77" t="b">
        <v>0</v>
      </c>
      <c r="AJ1177" s="77"/>
      <c r="AK1177" s="77"/>
      <c r="AL1177" s="77"/>
      <c r="AM1177" s="77"/>
      <c r="AN1177" s="77"/>
      <c r="AO1177" s="77"/>
      <c r="AP1177" s="77"/>
      <c r="AQ1177" s="77"/>
      <c r="AR1177" s="77"/>
      <c r="AS1177" s="77"/>
      <c r="AT1177" s="77"/>
      <c r="AU1177" s="77"/>
      <c r="AV1177" s="80" t="str">
        <f>HYPERLINK("https://pbs.twimg.com/profile_images/833576943677214720/5ZyUgpEJ_normal.jpg")</f>
        <v>https://pbs.twimg.com/profile_images/833576943677214720/5ZyUgpEJ_normal.jpg</v>
      </c>
      <c r="AW1177" s="81" t="s">
        <v>5520</v>
      </c>
      <c r="AX1177" s="81" t="s">
        <v>5339</v>
      </c>
      <c r="AY1177" s="81" t="s">
        <v>5721</v>
      </c>
      <c r="AZ1177" s="81" t="s">
        <v>5521</v>
      </c>
      <c r="BA1177" s="81" t="s">
        <v>5773</v>
      </c>
      <c r="BB1177" s="81" t="s">
        <v>5773</v>
      </c>
      <c r="BC1177" s="81" t="s">
        <v>5521</v>
      </c>
      <c r="BD1177" s="77">
        <v>297885438</v>
      </c>
      <c r="BE1177" s="77"/>
      <c r="BF1177" s="77"/>
      <c r="BG1177" s="77"/>
      <c r="BH1177" s="77"/>
      <c r="BI1177" s="77"/>
    </row>
    <row r="1178" spans="1:61" ht="15">
      <c r="A1178" s="62" t="s">
        <v>299</v>
      </c>
      <c r="B1178" s="62" t="s">
        <v>299</v>
      </c>
      <c r="C1178" s="63"/>
      <c r="D1178" s="64"/>
      <c r="E1178" s="65"/>
      <c r="F1178" s="66"/>
      <c r="G1178" s="63"/>
      <c r="H1178" s="67"/>
      <c r="I1178" s="68"/>
      <c r="J1178" s="68"/>
      <c r="K1178" s="32" t="s">
        <v>65</v>
      </c>
      <c r="L1178" s="75">
        <v>1178</v>
      </c>
      <c r="M1178" s="75"/>
      <c r="N1178" s="70"/>
      <c r="O1178" s="77" t="s">
        <v>572</v>
      </c>
      <c r="P1178" s="79">
        <v>45271.341631944444</v>
      </c>
      <c r="Q1178" s="77" t="s">
        <v>1557</v>
      </c>
      <c r="R1178" s="77">
        <v>0</v>
      </c>
      <c r="S1178" s="77">
        <v>0</v>
      </c>
      <c r="T1178" s="77">
        <v>1</v>
      </c>
      <c r="U1178" s="77">
        <v>0</v>
      </c>
      <c r="V1178" s="77">
        <v>13</v>
      </c>
      <c r="W1178" s="81" t="s">
        <v>1880</v>
      </c>
      <c r="X1178" s="80" t="str">
        <f>HYPERLINK("https://www.inovies.com")</f>
        <v>https://www.inovies.com</v>
      </c>
      <c r="Y1178" s="77" t="s">
        <v>1982</v>
      </c>
      <c r="Z1178" s="77"/>
      <c r="AA1178" s="77"/>
      <c r="AB1178" s="77"/>
      <c r="AC1178" s="81" t="s">
        <v>2707</v>
      </c>
      <c r="AD1178" s="77" t="s">
        <v>2751</v>
      </c>
      <c r="AE1178" s="80" t="str">
        <f>HYPERLINK("https://twitter.com/inovies/status/1734123845768958231")</f>
        <v>https://twitter.com/inovies/status/1734123845768958231</v>
      </c>
      <c r="AF1178" s="79">
        <v>45271.341631944444</v>
      </c>
      <c r="AG1178" s="85">
        <v>45271</v>
      </c>
      <c r="AH1178" s="81" t="s">
        <v>3746</v>
      </c>
      <c r="AI1178" s="77" t="b">
        <v>0</v>
      </c>
      <c r="AJ1178" s="77"/>
      <c r="AK1178" s="77"/>
      <c r="AL1178" s="77"/>
      <c r="AM1178" s="77"/>
      <c r="AN1178" s="77"/>
      <c r="AO1178" s="77"/>
      <c r="AP1178" s="77"/>
      <c r="AQ1178" s="77"/>
      <c r="AR1178" s="77"/>
      <c r="AS1178" s="77"/>
      <c r="AT1178" s="77"/>
      <c r="AU1178" s="77"/>
      <c r="AV1178" s="80" t="str">
        <f>HYPERLINK("https://pbs.twimg.com/profile_images/833576943677214720/5ZyUgpEJ_normal.jpg")</f>
        <v>https://pbs.twimg.com/profile_images/833576943677214720/5ZyUgpEJ_normal.jpg</v>
      </c>
      <c r="AW1178" s="81" t="s">
        <v>5521</v>
      </c>
      <c r="AX1178" s="81" t="s">
        <v>5339</v>
      </c>
      <c r="AY1178" s="81" t="s">
        <v>5721</v>
      </c>
      <c r="AZ1178" s="81" t="s">
        <v>5522</v>
      </c>
      <c r="BA1178" s="81" t="s">
        <v>5773</v>
      </c>
      <c r="BB1178" s="81" t="s">
        <v>5773</v>
      </c>
      <c r="BC1178" s="81" t="s">
        <v>5522</v>
      </c>
      <c r="BD1178" s="77">
        <v>297885438</v>
      </c>
      <c r="BE1178" s="77"/>
      <c r="BF1178" s="77"/>
      <c r="BG1178" s="77"/>
      <c r="BH1178" s="77"/>
      <c r="BI1178" s="77"/>
    </row>
    <row r="1179" spans="1:61" ht="15">
      <c r="A1179" s="62" t="s">
        <v>299</v>
      </c>
      <c r="B1179" s="62" t="s">
        <v>299</v>
      </c>
      <c r="C1179" s="63"/>
      <c r="D1179" s="64"/>
      <c r="E1179" s="65"/>
      <c r="F1179" s="66"/>
      <c r="G1179" s="63"/>
      <c r="H1179" s="67"/>
      <c r="I1179" s="68"/>
      <c r="J1179" s="68"/>
      <c r="K1179" s="32" t="s">
        <v>65</v>
      </c>
      <c r="L1179" s="75">
        <v>1179</v>
      </c>
      <c r="M1179" s="75"/>
      <c r="N1179" s="70"/>
      <c r="O1179" s="77" t="s">
        <v>572</v>
      </c>
      <c r="P1179" s="79">
        <v>45271.341631944444</v>
      </c>
      <c r="Q1179" s="77" t="s">
        <v>1558</v>
      </c>
      <c r="R1179" s="77">
        <v>0</v>
      </c>
      <c r="S1179" s="77">
        <v>0</v>
      </c>
      <c r="T1179" s="77">
        <v>1</v>
      </c>
      <c r="U1179" s="77">
        <v>0</v>
      </c>
      <c r="V1179" s="77">
        <v>4</v>
      </c>
      <c r="W1179" s="81" t="s">
        <v>1880</v>
      </c>
      <c r="X1179" s="80" t="str">
        <f>HYPERLINK("https://www.inovies.com")</f>
        <v>https://www.inovies.com</v>
      </c>
      <c r="Y1179" s="77" t="s">
        <v>1982</v>
      </c>
      <c r="Z1179" s="77"/>
      <c r="AA1179" s="77"/>
      <c r="AB1179" s="77"/>
      <c r="AC1179" s="81" t="s">
        <v>2707</v>
      </c>
      <c r="AD1179" s="77" t="s">
        <v>2751</v>
      </c>
      <c r="AE1179" s="80" t="str">
        <f>HYPERLINK("https://twitter.com/inovies/status/1734123843071983785")</f>
        <v>https://twitter.com/inovies/status/1734123843071983785</v>
      </c>
      <c r="AF1179" s="79">
        <v>45271.341631944444</v>
      </c>
      <c r="AG1179" s="85">
        <v>45271</v>
      </c>
      <c r="AH1179" s="81" t="s">
        <v>3746</v>
      </c>
      <c r="AI1179" s="77" t="b">
        <v>0</v>
      </c>
      <c r="AJ1179" s="77"/>
      <c r="AK1179" s="77"/>
      <c r="AL1179" s="77"/>
      <c r="AM1179" s="77"/>
      <c r="AN1179" s="77"/>
      <c r="AO1179" s="77"/>
      <c r="AP1179" s="77"/>
      <c r="AQ1179" s="77"/>
      <c r="AR1179" s="77"/>
      <c r="AS1179" s="77"/>
      <c r="AT1179" s="77"/>
      <c r="AU1179" s="77"/>
      <c r="AV1179" s="80" t="str">
        <f>HYPERLINK("https://pbs.twimg.com/profile_images/833576943677214720/5ZyUgpEJ_normal.jpg")</f>
        <v>https://pbs.twimg.com/profile_images/833576943677214720/5ZyUgpEJ_normal.jpg</v>
      </c>
      <c r="AW1179" s="81" t="s">
        <v>5522</v>
      </c>
      <c r="AX1179" s="81" t="s">
        <v>5339</v>
      </c>
      <c r="AY1179" s="81" t="s">
        <v>5721</v>
      </c>
      <c r="AZ1179" s="81" t="s">
        <v>5523</v>
      </c>
      <c r="BA1179" s="81" t="s">
        <v>5773</v>
      </c>
      <c r="BB1179" s="81" t="s">
        <v>5773</v>
      </c>
      <c r="BC1179" s="81" t="s">
        <v>5523</v>
      </c>
      <c r="BD1179" s="77">
        <v>297885438</v>
      </c>
      <c r="BE1179" s="77"/>
      <c r="BF1179" s="77"/>
      <c r="BG1179" s="77"/>
      <c r="BH1179" s="77"/>
      <c r="BI1179" s="77"/>
    </row>
    <row r="1180" spans="1:61" ht="15">
      <c r="A1180" s="62" t="s">
        <v>299</v>
      </c>
      <c r="B1180" s="62" t="s">
        <v>299</v>
      </c>
      <c r="C1180" s="63"/>
      <c r="D1180" s="64"/>
      <c r="E1180" s="65"/>
      <c r="F1180" s="66"/>
      <c r="G1180" s="63"/>
      <c r="H1180" s="67"/>
      <c r="I1180" s="68"/>
      <c r="J1180" s="68"/>
      <c r="K1180" s="32" t="s">
        <v>65</v>
      </c>
      <c r="L1180" s="75">
        <v>1180</v>
      </c>
      <c r="M1180" s="75"/>
      <c r="N1180" s="70"/>
      <c r="O1180" s="77" t="s">
        <v>572</v>
      </c>
      <c r="P1180" s="79">
        <v>45271.34162037037</v>
      </c>
      <c r="Q1180" s="77" t="s">
        <v>1559</v>
      </c>
      <c r="R1180" s="77">
        <v>0</v>
      </c>
      <c r="S1180" s="77">
        <v>0</v>
      </c>
      <c r="T1180" s="77">
        <v>1</v>
      </c>
      <c r="U1180" s="77">
        <v>0</v>
      </c>
      <c r="V1180" s="77">
        <v>3</v>
      </c>
      <c r="W1180" s="81" t="s">
        <v>1880</v>
      </c>
      <c r="X1180" s="80" t="str">
        <f>HYPERLINK("https://www.inovies.com")</f>
        <v>https://www.inovies.com</v>
      </c>
      <c r="Y1180" s="77" t="s">
        <v>1982</v>
      </c>
      <c r="Z1180" s="77"/>
      <c r="AA1180" s="77"/>
      <c r="AB1180" s="77"/>
      <c r="AC1180" s="81" t="s">
        <v>2707</v>
      </c>
      <c r="AD1180" s="77" t="s">
        <v>2751</v>
      </c>
      <c r="AE1180" s="80" t="str">
        <f>HYPERLINK("https://twitter.com/inovies/status/1734123840551203225")</f>
        <v>https://twitter.com/inovies/status/1734123840551203225</v>
      </c>
      <c r="AF1180" s="79">
        <v>45271.34162037037</v>
      </c>
      <c r="AG1180" s="85">
        <v>45271</v>
      </c>
      <c r="AH1180" s="81" t="s">
        <v>3747</v>
      </c>
      <c r="AI1180" s="77" t="b">
        <v>0</v>
      </c>
      <c r="AJ1180" s="77"/>
      <c r="AK1180" s="77"/>
      <c r="AL1180" s="77"/>
      <c r="AM1180" s="77"/>
      <c r="AN1180" s="77"/>
      <c r="AO1180" s="77"/>
      <c r="AP1180" s="77"/>
      <c r="AQ1180" s="77"/>
      <c r="AR1180" s="77"/>
      <c r="AS1180" s="77"/>
      <c r="AT1180" s="77"/>
      <c r="AU1180" s="77"/>
      <c r="AV1180" s="80" t="str">
        <f>HYPERLINK("https://pbs.twimg.com/profile_images/833576943677214720/5ZyUgpEJ_normal.jpg")</f>
        <v>https://pbs.twimg.com/profile_images/833576943677214720/5ZyUgpEJ_normal.jpg</v>
      </c>
      <c r="AW1180" s="81" t="s">
        <v>5523</v>
      </c>
      <c r="AX1180" s="81" t="s">
        <v>5339</v>
      </c>
      <c r="AY1180" s="81" t="s">
        <v>5721</v>
      </c>
      <c r="AZ1180" s="81" t="s">
        <v>5524</v>
      </c>
      <c r="BA1180" s="81" t="s">
        <v>5773</v>
      </c>
      <c r="BB1180" s="81" t="s">
        <v>5773</v>
      </c>
      <c r="BC1180" s="81" t="s">
        <v>5524</v>
      </c>
      <c r="BD1180" s="77">
        <v>297885438</v>
      </c>
      <c r="BE1180" s="77"/>
      <c r="BF1180" s="77"/>
      <c r="BG1180" s="77"/>
      <c r="BH1180" s="77"/>
      <c r="BI1180" s="77"/>
    </row>
    <row r="1181" spans="1:61" ht="15">
      <c r="A1181" s="62" t="s">
        <v>299</v>
      </c>
      <c r="B1181" s="62" t="s">
        <v>299</v>
      </c>
      <c r="C1181" s="63"/>
      <c r="D1181" s="64"/>
      <c r="E1181" s="65"/>
      <c r="F1181" s="66"/>
      <c r="G1181" s="63"/>
      <c r="H1181" s="67"/>
      <c r="I1181" s="68"/>
      <c r="J1181" s="68"/>
      <c r="K1181" s="32" t="s">
        <v>65</v>
      </c>
      <c r="L1181" s="75">
        <v>1181</v>
      </c>
      <c r="M1181" s="75"/>
      <c r="N1181" s="70"/>
      <c r="O1181" s="77" t="s">
        <v>572</v>
      </c>
      <c r="P1181" s="79">
        <v>45271.34162037037</v>
      </c>
      <c r="Q1181" s="77" t="s">
        <v>1560</v>
      </c>
      <c r="R1181" s="77">
        <v>0</v>
      </c>
      <c r="S1181" s="77">
        <v>0</v>
      </c>
      <c r="T1181" s="77">
        <v>1</v>
      </c>
      <c r="U1181" s="77">
        <v>0</v>
      </c>
      <c r="V1181" s="77">
        <v>2</v>
      </c>
      <c r="W1181" s="81" t="s">
        <v>1880</v>
      </c>
      <c r="X1181" s="80" t="str">
        <f>HYPERLINK("https://www.inovies.com")</f>
        <v>https://www.inovies.com</v>
      </c>
      <c r="Y1181" s="77" t="s">
        <v>1982</v>
      </c>
      <c r="Z1181" s="77"/>
      <c r="AA1181" s="77"/>
      <c r="AB1181" s="77"/>
      <c r="AC1181" s="81" t="s">
        <v>2707</v>
      </c>
      <c r="AD1181" s="77" t="s">
        <v>2751</v>
      </c>
      <c r="AE1181" s="80" t="str">
        <f>HYPERLINK("https://twitter.com/inovies/status/1734123837954871770")</f>
        <v>https://twitter.com/inovies/status/1734123837954871770</v>
      </c>
      <c r="AF1181" s="79">
        <v>45271.34162037037</v>
      </c>
      <c r="AG1181" s="85">
        <v>45271</v>
      </c>
      <c r="AH1181" s="81" t="s">
        <v>3747</v>
      </c>
      <c r="AI1181" s="77" t="b">
        <v>0</v>
      </c>
      <c r="AJ1181" s="77"/>
      <c r="AK1181" s="77"/>
      <c r="AL1181" s="77"/>
      <c r="AM1181" s="77"/>
      <c r="AN1181" s="77"/>
      <c r="AO1181" s="77"/>
      <c r="AP1181" s="77"/>
      <c r="AQ1181" s="77"/>
      <c r="AR1181" s="77"/>
      <c r="AS1181" s="77"/>
      <c r="AT1181" s="77"/>
      <c r="AU1181" s="77"/>
      <c r="AV1181" s="80" t="str">
        <f>HYPERLINK("https://pbs.twimg.com/profile_images/833576943677214720/5ZyUgpEJ_normal.jpg")</f>
        <v>https://pbs.twimg.com/profile_images/833576943677214720/5ZyUgpEJ_normal.jpg</v>
      </c>
      <c r="AW1181" s="81" t="s">
        <v>5524</v>
      </c>
      <c r="AX1181" s="81" t="s">
        <v>5339</v>
      </c>
      <c r="AY1181" s="81" t="s">
        <v>5721</v>
      </c>
      <c r="AZ1181" s="81" t="s">
        <v>5525</v>
      </c>
      <c r="BA1181" s="81" t="s">
        <v>5773</v>
      </c>
      <c r="BB1181" s="81" t="s">
        <v>5773</v>
      </c>
      <c r="BC1181" s="81" t="s">
        <v>5525</v>
      </c>
      <c r="BD1181" s="77">
        <v>297885438</v>
      </c>
      <c r="BE1181" s="77"/>
      <c r="BF1181" s="77"/>
      <c r="BG1181" s="77"/>
      <c r="BH1181" s="77"/>
      <c r="BI1181" s="77"/>
    </row>
    <row r="1182" spans="1:61" ht="15">
      <c r="A1182" s="62" t="s">
        <v>299</v>
      </c>
      <c r="B1182" s="62" t="s">
        <v>299</v>
      </c>
      <c r="C1182" s="63"/>
      <c r="D1182" s="64"/>
      <c r="E1182" s="65"/>
      <c r="F1182" s="66"/>
      <c r="G1182" s="63"/>
      <c r="H1182" s="67"/>
      <c r="I1182" s="68"/>
      <c r="J1182" s="68"/>
      <c r="K1182" s="32" t="s">
        <v>65</v>
      </c>
      <c r="L1182" s="75">
        <v>1182</v>
      </c>
      <c r="M1182" s="75"/>
      <c r="N1182" s="70"/>
      <c r="O1182" s="77" t="s">
        <v>572</v>
      </c>
      <c r="P1182" s="79">
        <v>45271.3416087963</v>
      </c>
      <c r="Q1182" s="77" t="s">
        <v>1561</v>
      </c>
      <c r="R1182" s="77">
        <v>0</v>
      </c>
      <c r="S1182" s="77">
        <v>0</v>
      </c>
      <c r="T1182" s="77">
        <v>1</v>
      </c>
      <c r="U1182" s="77">
        <v>0</v>
      </c>
      <c r="V1182" s="77">
        <v>2</v>
      </c>
      <c r="W1182" s="81" t="s">
        <v>1880</v>
      </c>
      <c r="X1182" s="80" t="str">
        <f>HYPERLINK("https://www.inovies.com")</f>
        <v>https://www.inovies.com</v>
      </c>
      <c r="Y1182" s="77" t="s">
        <v>1982</v>
      </c>
      <c r="Z1182" s="77"/>
      <c r="AA1182" s="77"/>
      <c r="AB1182" s="77"/>
      <c r="AC1182" s="81" t="s">
        <v>2707</v>
      </c>
      <c r="AD1182" s="77" t="s">
        <v>2751</v>
      </c>
      <c r="AE1182" s="80" t="str">
        <f>HYPERLINK("https://twitter.com/inovies/status/1734123835715182596")</f>
        <v>https://twitter.com/inovies/status/1734123835715182596</v>
      </c>
      <c r="AF1182" s="79">
        <v>45271.3416087963</v>
      </c>
      <c r="AG1182" s="85">
        <v>45271</v>
      </c>
      <c r="AH1182" s="81" t="s">
        <v>3748</v>
      </c>
      <c r="AI1182" s="77" t="b">
        <v>0</v>
      </c>
      <c r="AJ1182" s="77"/>
      <c r="AK1182" s="77"/>
      <c r="AL1182" s="77"/>
      <c r="AM1182" s="77"/>
      <c r="AN1182" s="77"/>
      <c r="AO1182" s="77"/>
      <c r="AP1182" s="77"/>
      <c r="AQ1182" s="77"/>
      <c r="AR1182" s="77"/>
      <c r="AS1182" s="77"/>
      <c r="AT1182" s="77"/>
      <c r="AU1182" s="77"/>
      <c r="AV1182" s="80" t="str">
        <f>HYPERLINK("https://pbs.twimg.com/profile_images/833576943677214720/5ZyUgpEJ_normal.jpg")</f>
        <v>https://pbs.twimg.com/profile_images/833576943677214720/5ZyUgpEJ_normal.jpg</v>
      </c>
      <c r="AW1182" s="81" t="s">
        <v>5525</v>
      </c>
      <c r="AX1182" s="81" t="s">
        <v>5339</v>
      </c>
      <c r="AY1182" s="81" t="s">
        <v>5721</v>
      </c>
      <c r="AZ1182" s="81" t="s">
        <v>5526</v>
      </c>
      <c r="BA1182" s="81" t="s">
        <v>5773</v>
      </c>
      <c r="BB1182" s="81" t="s">
        <v>5773</v>
      </c>
      <c r="BC1182" s="81" t="s">
        <v>5526</v>
      </c>
      <c r="BD1182" s="77">
        <v>297885438</v>
      </c>
      <c r="BE1182" s="77"/>
      <c r="BF1182" s="77"/>
      <c r="BG1182" s="77"/>
      <c r="BH1182" s="77"/>
      <c r="BI1182" s="77"/>
    </row>
    <row r="1183" spans="1:61" ht="15">
      <c r="A1183" s="62" t="s">
        <v>299</v>
      </c>
      <c r="B1183" s="62" t="s">
        <v>299</v>
      </c>
      <c r="C1183" s="63"/>
      <c r="D1183" s="64"/>
      <c r="E1183" s="65"/>
      <c r="F1183" s="66"/>
      <c r="G1183" s="63"/>
      <c r="H1183" s="67"/>
      <c r="I1183" s="68"/>
      <c r="J1183" s="68"/>
      <c r="K1183" s="32" t="s">
        <v>65</v>
      </c>
      <c r="L1183" s="75">
        <v>1183</v>
      </c>
      <c r="M1183" s="75"/>
      <c r="N1183" s="70"/>
      <c r="O1183" s="77" t="s">
        <v>572</v>
      </c>
      <c r="P1183" s="79">
        <v>45271.3416087963</v>
      </c>
      <c r="Q1183" s="77" t="s">
        <v>1562</v>
      </c>
      <c r="R1183" s="77">
        <v>0</v>
      </c>
      <c r="S1183" s="77">
        <v>0</v>
      </c>
      <c r="T1183" s="77">
        <v>1</v>
      </c>
      <c r="U1183" s="77">
        <v>0</v>
      </c>
      <c r="V1183" s="77">
        <v>2</v>
      </c>
      <c r="W1183" s="81" t="s">
        <v>1880</v>
      </c>
      <c r="X1183" s="80" t="str">
        <f>HYPERLINK("https://www.inovies.com")</f>
        <v>https://www.inovies.com</v>
      </c>
      <c r="Y1183" s="77" t="s">
        <v>1982</v>
      </c>
      <c r="Z1183" s="77"/>
      <c r="AA1183" s="77"/>
      <c r="AB1183" s="77"/>
      <c r="AC1183" s="81" t="s">
        <v>2707</v>
      </c>
      <c r="AD1183" s="77" t="s">
        <v>2751</v>
      </c>
      <c r="AE1183" s="80" t="str">
        <f>HYPERLINK("https://twitter.com/inovies/status/1734123833592791416")</f>
        <v>https://twitter.com/inovies/status/1734123833592791416</v>
      </c>
      <c r="AF1183" s="79">
        <v>45271.3416087963</v>
      </c>
      <c r="AG1183" s="85">
        <v>45271</v>
      </c>
      <c r="AH1183" s="81" t="s">
        <v>3748</v>
      </c>
      <c r="AI1183" s="77" t="b">
        <v>0</v>
      </c>
      <c r="AJ1183" s="77"/>
      <c r="AK1183" s="77"/>
      <c r="AL1183" s="77"/>
      <c r="AM1183" s="77"/>
      <c r="AN1183" s="77"/>
      <c r="AO1183" s="77"/>
      <c r="AP1183" s="77"/>
      <c r="AQ1183" s="77"/>
      <c r="AR1183" s="77"/>
      <c r="AS1183" s="77"/>
      <c r="AT1183" s="77"/>
      <c r="AU1183" s="77"/>
      <c r="AV1183" s="80" t="str">
        <f>HYPERLINK("https://pbs.twimg.com/profile_images/833576943677214720/5ZyUgpEJ_normal.jpg")</f>
        <v>https://pbs.twimg.com/profile_images/833576943677214720/5ZyUgpEJ_normal.jpg</v>
      </c>
      <c r="AW1183" s="81" t="s">
        <v>5526</v>
      </c>
      <c r="AX1183" s="81" t="s">
        <v>5339</v>
      </c>
      <c r="AY1183" s="81" t="s">
        <v>5721</v>
      </c>
      <c r="AZ1183" s="81" t="s">
        <v>5527</v>
      </c>
      <c r="BA1183" s="81" t="s">
        <v>5773</v>
      </c>
      <c r="BB1183" s="81" t="s">
        <v>5773</v>
      </c>
      <c r="BC1183" s="81" t="s">
        <v>5527</v>
      </c>
      <c r="BD1183" s="77">
        <v>297885438</v>
      </c>
      <c r="BE1183" s="77"/>
      <c r="BF1183" s="77"/>
      <c r="BG1183" s="77"/>
      <c r="BH1183" s="77"/>
      <c r="BI1183" s="77"/>
    </row>
    <row r="1184" spans="1:61" ht="15">
      <c r="A1184" s="62" t="s">
        <v>299</v>
      </c>
      <c r="B1184" s="62" t="s">
        <v>299</v>
      </c>
      <c r="C1184" s="63"/>
      <c r="D1184" s="64"/>
      <c r="E1184" s="65"/>
      <c r="F1184" s="66"/>
      <c r="G1184" s="63"/>
      <c r="H1184" s="67"/>
      <c r="I1184" s="68"/>
      <c r="J1184" s="68"/>
      <c r="K1184" s="32" t="s">
        <v>65</v>
      </c>
      <c r="L1184" s="75">
        <v>1184</v>
      </c>
      <c r="M1184" s="75"/>
      <c r="N1184" s="70"/>
      <c r="O1184" s="77" t="s">
        <v>572</v>
      </c>
      <c r="P1184" s="79">
        <v>45271.34159722222</v>
      </c>
      <c r="Q1184" s="77" t="s">
        <v>1563</v>
      </c>
      <c r="R1184" s="77">
        <v>0</v>
      </c>
      <c r="S1184" s="77">
        <v>0</v>
      </c>
      <c r="T1184" s="77">
        <v>1</v>
      </c>
      <c r="U1184" s="77">
        <v>0</v>
      </c>
      <c r="V1184" s="77">
        <v>8</v>
      </c>
      <c r="W1184" s="81" t="s">
        <v>1880</v>
      </c>
      <c r="X1184" s="80" t="str">
        <f>HYPERLINK("https://www.inovies.com")</f>
        <v>https://www.inovies.com</v>
      </c>
      <c r="Y1184" s="77" t="s">
        <v>1982</v>
      </c>
      <c r="Z1184" s="77"/>
      <c r="AA1184" s="77"/>
      <c r="AB1184" s="77"/>
      <c r="AC1184" s="81" t="s">
        <v>2707</v>
      </c>
      <c r="AD1184" s="77" t="s">
        <v>2751</v>
      </c>
      <c r="AE1184" s="80" t="str">
        <f>HYPERLINK("https://twitter.com/inovies/status/1734123831088890186")</f>
        <v>https://twitter.com/inovies/status/1734123831088890186</v>
      </c>
      <c r="AF1184" s="79">
        <v>45271.34159722222</v>
      </c>
      <c r="AG1184" s="85">
        <v>45271</v>
      </c>
      <c r="AH1184" s="81" t="s">
        <v>3749</v>
      </c>
      <c r="AI1184" s="77" t="b">
        <v>0</v>
      </c>
      <c r="AJ1184" s="77"/>
      <c r="AK1184" s="77"/>
      <c r="AL1184" s="77"/>
      <c r="AM1184" s="77"/>
      <c r="AN1184" s="77"/>
      <c r="AO1184" s="77"/>
      <c r="AP1184" s="77"/>
      <c r="AQ1184" s="77"/>
      <c r="AR1184" s="77"/>
      <c r="AS1184" s="77"/>
      <c r="AT1184" s="77"/>
      <c r="AU1184" s="77"/>
      <c r="AV1184" s="80" t="str">
        <f>HYPERLINK("https://pbs.twimg.com/profile_images/833576943677214720/5ZyUgpEJ_normal.jpg")</f>
        <v>https://pbs.twimg.com/profile_images/833576943677214720/5ZyUgpEJ_normal.jpg</v>
      </c>
      <c r="AW1184" s="81" t="s">
        <v>5527</v>
      </c>
      <c r="AX1184" s="81" t="s">
        <v>5339</v>
      </c>
      <c r="AY1184" s="81" t="s">
        <v>5721</v>
      </c>
      <c r="AZ1184" s="81" t="s">
        <v>5528</v>
      </c>
      <c r="BA1184" s="81" t="s">
        <v>5773</v>
      </c>
      <c r="BB1184" s="81" t="s">
        <v>5773</v>
      </c>
      <c r="BC1184" s="81" t="s">
        <v>5528</v>
      </c>
      <c r="BD1184" s="77">
        <v>297885438</v>
      </c>
      <c r="BE1184" s="77"/>
      <c r="BF1184" s="77"/>
      <c r="BG1184" s="77"/>
      <c r="BH1184" s="77"/>
      <c r="BI1184" s="77"/>
    </row>
    <row r="1185" spans="1:61" ht="15">
      <c r="A1185" s="62" t="s">
        <v>299</v>
      </c>
      <c r="B1185" s="62" t="s">
        <v>299</v>
      </c>
      <c r="C1185" s="63"/>
      <c r="D1185" s="64"/>
      <c r="E1185" s="65"/>
      <c r="F1185" s="66"/>
      <c r="G1185" s="63"/>
      <c r="H1185" s="67"/>
      <c r="I1185" s="68"/>
      <c r="J1185" s="68"/>
      <c r="K1185" s="32" t="s">
        <v>65</v>
      </c>
      <c r="L1185" s="75">
        <v>1185</v>
      </c>
      <c r="M1185" s="75"/>
      <c r="N1185" s="70"/>
      <c r="O1185" s="77" t="s">
        <v>572</v>
      </c>
      <c r="P1185" s="79">
        <v>45271.34158564815</v>
      </c>
      <c r="Q1185" s="77" t="s">
        <v>1564</v>
      </c>
      <c r="R1185" s="77">
        <v>0</v>
      </c>
      <c r="S1185" s="77">
        <v>0</v>
      </c>
      <c r="T1185" s="77">
        <v>1</v>
      </c>
      <c r="U1185" s="77">
        <v>0</v>
      </c>
      <c r="V1185" s="77">
        <v>2</v>
      </c>
      <c r="W1185" s="81" t="s">
        <v>1880</v>
      </c>
      <c r="X1185" s="80" t="str">
        <f>HYPERLINK("https://www.inovies.com")</f>
        <v>https://www.inovies.com</v>
      </c>
      <c r="Y1185" s="77" t="s">
        <v>1982</v>
      </c>
      <c r="Z1185" s="77"/>
      <c r="AA1185" s="77"/>
      <c r="AB1185" s="77"/>
      <c r="AC1185" s="81" t="s">
        <v>2707</v>
      </c>
      <c r="AD1185" s="77" t="s">
        <v>2751</v>
      </c>
      <c r="AE1185" s="80" t="str">
        <f>HYPERLINK("https://twitter.com/inovies/status/1734123828895166680")</f>
        <v>https://twitter.com/inovies/status/1734123828895166680</v>
      </c>
      <c r="AF1185" s="79">
        <v>45271.34158564815</v>
      </c>
      <c r="AG1185" s="85">
        <v>45271</v>
      </c>
      <c r="AH1185" s="81" t="s">
        <v>3750</v>
      </c>
      <c r="AI1185" s="77" t="b">
        <v>0</v>
      </c>
      <c r="AJ1185" s="77"/>
      <c r="AK1185" s="77"/>
      <c r="AL1185" s="77"/>
      <c r="AM1185" s="77"/>
      <c r="AN1185" s="77"/>
      <c r="AO1185" s="77"/>
      <c r="AP1185" s="77"/>
      <c r="AQ1185" s="77"/>
      <c r="AR1185" s="77"/>
      <c r="AS1185" s="77"/>
      <c r="AT1185" s="77"/>
      <c r="AU1185" s="77"/>
      <c r="AV1185" s="80" t="str">
        <f>HYPERLINK("https://pbs.twimg.com/profile_images/833576943677214720/5ZyUgpEJ_normal.jpg")</f>
        <v>https://pbs.twimg.com/profile_images/833576943677214720/5ZyUgpEJ_normal.jpg</v>
      </c>
      <c r="AW1185" s="81" t="s">
        <v>5528</v>
      </c>
      <c r="AX1185" s="81" t="s">
        <v>5339</v>
      </c>
      <c r="AY1185" s="81" t="s">
        <v>5721</v>
      </c>
      <c r="AZ1185" s="81" t="s">
        <v>5529</v>
      </c>
      <c r="BA1185" s="81" t="s">
        <v>5773</v>
      </c>
      <c r="BB1185" s="81" t="s">
        <v>5773</v>
      </c>
      <c r="BC1185" s="81" t="s">
        <v>5529</v>
      </c>
      <c r="BD1185" s="77">
        <v>297885438</v>
      </c>
      <c r="BE1185" s="77"/>
      <c r="BF1185" s="77"/>
      <c r="BG1185" s="77"/>
      <c r="BH1185" s="77"/>
      <c r="BI1185" s="77"/>
    </row>
    <row r="1186" spans="1:61" ht="15">
      <c r="A1186" s="62" t="s">
        <v>299</v>
      </c>
      <c r="B1186" s="62" t="s">
        <v>299</v>
      </c>
      <c r="C1186" s="63"/>
      <c r="D1186" s="64"/>
      <c r="E1186" s="65"/>
      <c r="F1186" s="66"/>
      <c r="G1186" s="63"/>
      <c r="H1186" s="67"/>
      <c r="I1186" s="68"/>
      <c r="J1186" s="68"/>
      <c r="K1186" s="32" t="s">
        <v>65</v>
      </c>
      <c r="L1186" s="75">
        <v>1186</v>
      </c>
      <c r="M1186" s="75"/>
      <c r="N1186" s="70"/>
      <c r="O1186" s="77" t="s">
        <v>572</v>
      </c>
      <c r="P1186" s="79">
        <v>45271.34158564815</v>
      </c>
      <c r="Q1186" s="77" t="s">
        <v>1565</v>
      </c>
      <c r="R1186" s="77">
        <v>0</v>
      </c>
      <c r="S1186" s="77">
        <v>0</v>
      </c>
      <c r="T1186" s="77">
        <v>1</v>
      </c>
      <c r="U1186" s="77">
        <v>0</v>
      </c>
      <c r="V1186" s="77">
        <v>2</v>
      </c>
      <c r="W1186" s="81" t="s">
        <v>1880</v>
      </c>
      <c r="X1186" s="80" t="str">
        <f>HYPERLINK("https://www.inovies.com")</f>
        <v>https://www.inovies.com</v>
      </c>
      <c r="Y1186" s="77" t="s">
        <v>1982</v>
      </c>
      <c r="Z1186" s="77"/>
      <c r="AA1186" s="77"/>
      <c r="AB1186" s="77"/>
      <c r="AC1186" s="81" t="s">
        <v>2707</v>
      </c>
      <c r="AD1186" s="77" t="s">
        <v>2751</v>
      </c>
      <c r="AE1186" s="80" t="str">
        <f>HYPERLINK("https://twitter.com/inovies/status/1734123826789621796")</f>
        <v>https://twitter.com/inovies/status/1734123826789621796</v>
      </c>
      <c r="AF1186" s="79">
        <v>45271.34158564815</v>
      </c>
      <c r="AG1186" s="85">
        <v>45271</v>
      </c>
      <c r="AH1186" s="81" t="s">
        <v>3750</v>
      </c>
      <c r="AI1186" s="77" t="b">
        <v>0</v>
      </c>
      <c r="AJ1186" s="77"/>
      <c r="AK1186" s="77"/>
      <c r="AL1186" s="77"/>
      <c r="AM1186" s="77"/>
      <c r="AN1186" s="77"/>
      <c r="AO1186" s="77"/>
      <c r="AP1186" s="77"/>
      <c r="AQ1186" s="77"/>
      <c r="AR1186" s="77"/>
      <c r="AS1186" s="77"/>
      <c r="AT1186" s="77"/>
      <c r="AU1186" s="77"/>
      <c r="AV1186" s="80" t="str">
        <f>HYPERLINK("https://pbs.twimg.com/profile_images/833576943677214720/5ZyUgpEJ_normal.jpg")</f>
        <v>https://pbs.twimg.com/profile_images/833576943677214720/5ZyUgpEJ_normal.jpg</v>
      </c>
      <c r="AW1186" s="81" t="s">
        <v>5529</v>
      </c>
      <c r="AX1186" s="81" t="s">
        <v>5339</v>
      </c>
      <c r="AY1186" s="81" t="s">
        <v>5721</v>
      </c>
      <c r="AZ1186" s="81" t="s">
        <v>5270</v>
      </c>
      <c r="BA1186" s="81" t="s">
        <v>5773</v>
      </c>
      <c r="BB1186" s="81" t="s">
        <v>5773</v>
      </c>
      <c r="BC1186" s="81" t="s">
        <v>5270</v>
      </c>
      <c r="BD1186" s="77">
        <v>297885438</v>
      </c>
      <c r="BE1186" s="77"/>
      <c r="BF1186" s="77"/>
      <c r="BG1186" s="77"/>
      <c r="BH1186" s="77"/>
      <c r="BI1186" s="77"/>
    </row>
    <row r="1187" spans="1:61" ht="15">
      <c r="A1187" s="62" t="s">
        <v>299</v>
      </c>
      <c r="B1187" s="62" t="s">
        <v>299</v>
      </c>
      <c r="C1187" s="63"/>
      <c r="D1187" s="64"/>
      <c r="E1187" s="65"/>
      <c r="F1187" s="66"/>
      <c r="G1187" s="63"/>
      <c r="H1187" s="67"/>
      <c r="I1187" s="68"/>
      <c r="J1187" s="68"/>
      <c r="K1187" s="32" t="s">
        <v>65</v>
      </c>
      <c r="L1187" s="75">
        <v>1187</v>
      </c>
      <c r="M1187" s="75"/>
      <c r="N1187" s="70"/>
      <c r="O1187" s="77" t="s">
        <v>572</v>
      </c>
      <c r="P1187" s="79">
        <v>45271.32525462963</v>
      </c>
      <c r="Q1187" s="77" t="s">
        <v>1566</v>
      </c>
      <c r="R1187" s="77">
        <v>0</v>
      </c>
      <c r="S1187" s="77">
        <v>0</v>
      </c>
      <c r="T1187" s="77">
        <v>1</v>
      </c>
      <c r="U1187" s="77">
        <v>0</v>
      </c>
      <c r="V1187" s="77">
        <v>3</v>
      </c>
      <c r="W1187" s="81" t="s">
        <v>1880</v>
      </c>
      <c r="X1187" s="80" t="str">
        <f>HYPERLINK("https://inovies.com")</f>
        <v>https://inovies.com</v>
      </c>
      <c r="Y1187" s="77" t="s">
        <v>1982</v>
      </c>
      <c r="Z1187" s="77"/>
      <c r="AA1187" s="77"/>
      <c r="AB1187" s="77"/>
      <c r="AC1187" s="81" t="s">
        <v>2707</v>
      </c>
      <c r="AD1187" s="77" t="s">
        <v>2751</v>
      </c>
      <c r="AE1187" s="80" t="str">
        <f>HYPERLINK("https://twitter.com/inovies/status/1734117908987449433")</f>
        <v>https://twitter.com/inovies/status/1734117908987449433</v>
      </c>
      <c r="AF1187" s="79">
        <v>45271.32525462963</v>
      </c>
      <c r="AG1187" s="85">
        <v>45271</v>
      </c>
      <c r="AH1187" s="81" t="s">
        <v>3751</v>
      </c>
      <c r="AI1187" s="77" t="b">
        <v>0</v>
      </c>
      <c r="AJ1187" s="77"/>
      <c r="AK1187" s="77"/>
      <c r="AL1187" s="77"/>
      <c r="AM1187" s="77"/>
      <c r="AN1187" s="77"/>
      <c r="AO1187" s="77"/>
      <c r="AP1187" s="77"/>
      <c r="AQ1187" s="77"/>
      <c r="AR1187" s="77"/>
      <c r="AS1187" s="77"/>
      <c r="AT1187" s="77"/>
      <c r="AU1187" s="77"/>
      <c r="AV1187" s="80" t="str">
        <f>HYPERLINK("https://pbs.twimg.com/profile_images/833576943677214720/5ZyUgpEJ_normal.jpg")</f>
        <v>https://pbs.twimg.com/profile_images/833576943677214720/5ZyUgpEJ_normal.jpg</v>
      </c>
      <c r="AW1187" s="81" t="s">
        <v>5530</v>
      </c>
      <c r="AX1187" s="81" t="s">
        <v>5534</v>
      </c>
      <c r="AY1187" s="81" t="s">
        <v>5721</v>
      </c>
      <c r="AZ1187" s="81" t="s">
        <v>5531</v>
      </c>
      <c r="BA1187" s="81" t="s">
        <v>5773</v>
      </c>
      <c r="BB1187" s="81" t="s">
        <v>5773</v>
      </c>
      <c r="BC1187" s="81" t="s">
        <v>5531</v>
      </c>
      <c r="BD1187" s="77">
        <v>297885438</v>
      </c>
      <c r="BE1187" s="77"/>
      <c r="BF1187" s="77"/>
      <c r="BG1187" s="77"/>
      <c r="BH1187" s="77"/>
      <c r="BI1187" s="77"/>
    </row>
    <row r="1188" spans="1:61" ht="15">
      <c r="A1188" s="62" t="s">
        <v>299</v>
      </c>
      <c r="B1188" s="62" t="s">
        <v>299</v>
      </c>
      <c r="C1188" s="63"/>
      <c r="D1188" s="64"/>
      <c r="E1188" s="65"/>
      <c r="F1188" s="66"/>
      <c r="G1188" s="63"/>
      <c r="H1188" s="67"/>
      <c r="I1188" s="68"/>
      <c r="J1188" s="68"/>
      <c r="K1188" s="32" t="s">
        <v>65</v>
      </c>
      <c r="L1188" s="75">
        <v>1188</v>
      </c>
      <c r="M1188" s="75"/>
      <c r="N1188" s="70"/>
      <c r="O1188" s="77" t="s">
        <v>572</v>
      </c>
      <c r="P1188" s="79">
        <v>45271.32524305556</v>
      </c>
      <c r="Q1188" s="77" t="s">
        <v>1567</v>
      </c>
      <c r="R1188" s="77">
        <v>0</v>
      </c>
      <c r="S1188" s="77">
        <v>0</v>
      </c>
      <c r="T1188" s="77">
        <v>1</v>
      </c>
      <c r="U1188" s="77">
        <v>0</v>
      </c>
      <c r="V1188" s="77">
        <v>3</v>
      </c>
      <c r="W1188" s="81" t="s">
        <v>1880</v>
      </c>
      <c r="X1188" s="80" t="str">
        <f>HYPERLINK("https://inovies.com")</f>
        <v>https://inovies.com</v>
      </c>
      <c r="Y1188" s="77" t="s">
        <v>1982</v>
      </c>
      <c r="Z1188" s="77"/>
      <c r="AA1188" s="77"/>
      <c r="AB1188" s="77"/>
      <c r="AC1188" s="81" t="s">
        <v>2707</v>
      </c>
      <c r="AD1188" s="77" t="s">
        <v>2751</v>
      </c>
      <c r="AE1188" s="80" t="str">
        <f>HYPERLINK("https://twitter.com/inovies/status/1734117906537914407")</f>
        <v>https://twitter.com/inovies/status/1734117906537914407</v>
      </c>
      <c r="AF1188" s="79">
        <v>45271.32524305556</v>
      </c>
      <c r="AG1188" s="85">
        <v>45271</v>
      </c>
      <c r="AH1188" s="81" t="s">
        <v>3752</v>
      </c>
      <c r="AI1188" s="77" t="b">
        <v>0</v>
      </c>
      <c r="AJ1188" s="77"/>
      <c r="AK1188" s="77"/>
      <c r="AL1188" s="77"/>
      <c r="AM1188" s="77"/>
      <c r="AN1188" s="77"/>
      <c r="AO1188" s="77"/>
      <c r="AP1188" s="77"/>
      <c r="AQ1188" s="77"/>
      <c r="AR1188" s="77"/>
      <c r="AS1188" s="77"/>
      <c r="AT1188" s="77"/>
      <c r="AU1188" s="77"/>
      <c r="AV1188" s="80" t="str">
        <f>HYPERLINK("https://pbs.twimg.com/profile_images/833576943677214720/5ZyUgpEJ_normal.jpg")</f>
        <v>https://pbs.twimg.com/profile_images/833576943677214720/5ZyUgpEJ_normal.jpg</v>
      </c>
      <c r="AW1188" s="81" t="s">
        <v>5531</v>
      </c>
      <c r="AX1188" s="81" t="s">
        <v>5534</v>
      </c>
      <c r="AY1188" s="81" t="s">
        <v>5721</v>
      </c>
      <c r="AZ1188" s="81" t="s">
        <v>5532</v>
      </c>
      <c r="BA1188" s="81" t="s">
        <v>5773</v>
      </c>
      <c r="BB1188" s="81" t="s">
        <v>5773</v>
      </c>
      <c r="BC1188" s="81" t="s">
        <v>5532</v>
      </c>
      <c r="BD1188" s="77">
        <v>297885438</v>
      </c>
      <c r="BE1188" s="77"/>
      <c r="BF1188" s="77"/>
      <c r="BG1188" s="77"/>
      <c r="BH1188" s="77"/>
      <c r="BI1188" s="77"/>
    </row>
    <row r="1189" spans="1:61" ht="15">
      <c r="A1189" s="62" t="s">
        <v>299</v>
      </c>
      <c r="B1189" s="62" t="s">
        <v>299</v>
      </c>
      <c r="C1189" s="63"/>
      <c r="D1189" s="64"/>
      <c r="E1189" s="65"/>
      <c r="F1189" s="66"/>
      <c r="G1189" s="63"/>
      <c r="H1189" s="67"/>
      <c r="I1189" s="68"/>
      <c r="J1189" s="68"/>
      <c r="K1189" s="32" t="s">
        <v>65</v>
      </c>
      <c r="L1189" s="75">
        <v>1189</v>
      </c>
      <c r="M1189" s="75"/>
      <c r="N1189" s="70"/>
      <c r="O1189" s="77" t="s">
        <v>572</v>
      </c>
      <c r="P1189" s="79">
        <v>45271.32524305556</v>
      </c>
      <c r="Q1189" s="77" t="s">
        <v>1568</v>
      </c>
      <c r="R1189" s="77">
        <v>0</v>
      </c>
      <c r="S1189" s="77">
        <v>0</v>
      </c>
      <c r="T1189" s="77">
        <v>1</v>
      </c>
      <c r="U1189" s="77">
        <v>0</v>
      </c>
      <c r="V1189" s="77">
        <v>6</v>
      </c>
      <c r="W1189" s="81" t="s">
        <v>1880</v>
      </c>
      <c r="X1189" s="80" t="str">
        <f>HYPERLINK("https://inovies.com")</f>
        <v>https://inovies.com</v>
      </c>
      <c r="Y1189" s="77" t="s">
        <v>1982</v>
      </c>
      <c r="Z1189" s="77"/>
      <c r="AA1189" s="77"/>
      <c r="AB1189" s="77"/>
      <c r="AC1189" s="81" t="s">
        <v>2707</v>
      </c>
      <c r="AD1189" s="77" t="s">
        <v>2751</v>
      </c>
      <c r="AE1189" s="80" t="str">
        <f>HYPERLINK("https://twitter.com/inovies/status/1734117904256213379")</f>
        <v>https://twitter.com/inovies/status/1734117904256213379</v>
      </c>
      <c r="AF1189" s="79">
        <v>45271.32524305556</v>
      </c>
      <c r="AG1189" s="85">
        <v>45271</v>
      </c>
      <c r="AH1189" s="81" t="s">
        <v>3752</v>
      </c>
      <c r="AI1189" s="77" t="b">
        <v>0</v>
      </c>
      <c r="AJ1189" s="77"/>
      <c r="AK1189" s="77"/>
      <c r="AL1189" s="77"/>
      <c r="AM1189" s="77"/>
      <c r="AN1189" s="77"/>
      <c r="AO1189" s="77"/>
      <c r="AP1189" s="77"/>
      <c r="AQ1189" s="77"/>
      <c r="AR1189" s="77"/>
      <c r="AS1189" s="77"/>
      <c r="AT1189" s="77"/>
      <c r="AU1189" s="77"/>
      <c r="AV1189" s="80" t="str">
        <f>HYPERLINK("https://pbs.twimg.com/profile_images/833576943677214720/5ZyUgpEJ_normal.jpg")</f>
        <v>https://pbs.twimg.com/profile_images/833576943677214720/5ZyUgpEJ_normal.jpg</v>
      </c>
      <c r="AW1189" s="81" t="s">
        <v>5532</v>
      </c>
      <c r="AX1189" s="81" t="s">
        <v>5534</v>
      </c>
      <c r="AY1189" s="81" t="s">
        <v>5721</v>
      </c>
      <c r="AZ1189" s="81" t="s">
        <v>5533</v>
      </c>
      <c r="BA1189" s="81" t="s">
        <v>5773</v>
      </c>
      <c r="BB1189" s="81" t="s">
        <v>5773</v>
      </c>
      <c r="BC1189" s="81" t="s">
        <v>5533</v>
      </c>
      <c r="BD1189" s="77">
        <v>297885438</v>
      </c>
      <c r="BE1189" s="77"/>
      <c r="BF1189" s="77"/>
      <c r="BG1189" s="77"/>
      <c r="BH1189" s="77"/>
      <c r="BI1189" s="77"/>
    </row>
    <row r="1190" spans="1:61" ht="15">
      <c r="A1190" s="62" t="s">
        <v>299</v>
      </c>
      <c r="B1190" s="62" t="s">
        <v>299</v>
      </c>
      <c r="C1190" s="63"/>
      <c r="D1190" s="64"/>
      <c r="E1190" s="65"/>
      <c r="F1190" s="66"/>
      <c r="G1190" s="63"/>
      <c r="H1190" s="67"/>
      <c r="I1190" s="68"/>
      <c r="J1190" s="68"/>
      <c r="K1190" s="32" t="s">
        <v>65</v>
      </c>
      <c r="L1190" s="75">
        <v>1190</v>
      </c>
      <c r="M1190" s="75"/>
      <c r="N1190" s="70"/>
      <c r="O1190" s="77" t="s">
        <v>572</v>
      </c>
      <c r="P1190" s="79">
        <v>45271.32523148148</v>
      </c>
      <c r="Q1190" s="77" t="s">
        <v>1569</v>
      </c>
      <c r="R1190" s="77">
        <v>0</v>
      </c>
      <c r="S1190" s="77">
        <v>0</v>
      </c>
      <c r="T1190" s="77">
        <v>1</v>
      </c>
      <c r="U1190" s="77">
        <v>0</v>
      </c>
      <c r="V1190" s="77">
        <v>2</v>
      </c>
      <c r="W1190" s="81" t="s">
        <v>1880</v>
      </c>
      <c r="X1190" s="80" t="str">
        <f>HYPERLINK("https://inovies.com")</f>
        <v>https://inovies.com</v>
      </c>
      <c r="Y1190" s="77" t="s">
        <v>1982</v>
      </c>
      <c r="Z1190" s="77"/>
      <c r="AA1190" s="77"/>
      <c r="AB1190" s="77"/>
      <c r="AC1190" s="81" t="s">
        <v>2707</v>
      </c>
      <c r="AD1190" s="77" t="s">
        <v>2751</v>
      </c>
      <c r="AE1190" s="80" t="str">
        <f>HYPERLINK("https://twitter.com/inovies/status/1734117901852926016")</f>
        <v>https://twitter.com/inovies/status/1734117901852926016</v>
      </c>
      <c r="AF1190" s="79">
        <v>45271.32523148148</v>
      </c>
      <c r="AG1190" s="85">
        <v>45271</v>
      </c>
      <c r="AH1190" s="81" t="s">
        <v>3753</v>
      </c>
      <c r="AI1190" s="77" t="b">
        <v>0</v>
      </c>
      <c r="AJ1190" s="77"/>
      <c r="AK1190" s="77"/>
      <c r="AL1190" s="77"/>
      <c r="AM1190" s="77"/>
      <c r="AN1190" s="77"/>
      <c r="AO1190" s="77"/>
      <c r="AP1190" s="77"/>
      <c r="AQ1190" s="77"/>
      <c r="AR1190" s="77"/>
      <c r="AS1190" s="77"/>
      <c r="AT1190" s="77"/>
      <c r="AU1190" s="77"/>
      <c r="AV1190" s="80" t="str">
        <f>HYPERLINK("https://pbs.twimg.com/profile_images/833576943677214720/5ZyUgpEJ_normal.jpg")</f>
        <v>https://pbs.twimg.com/profile_images/833576943677214720/5ZyUgpEJ_normal.jpg</v>
      </c>
      <c r="AW1190" s="81" t="s">
        <v>5533</v>
      </c>
      <c r="AX1190" s="81" t="s">
        <v>5534</v>
      </c>
      <c r="AY1190" s="81" t="s">
        <v>5721</v>
      </c>
      <c r="AZ1190" s="81" t="s">
        <v>5534</v>
      </c>
      <c r="BA1190" s="81" t="s">
        <v>5773</v>
      </c>
      <c r="BB1190" s="81" t="s">
        <v>5773</v>
      </c>
      <c r="BC1190" s="81" t="s">
        <v>5534</v>
      </c>
      <c r="BD1190" s="77">
        <v>297885438</v>
      </c>
      <c r="BE1190" s="77"/>
      <c r="BF1190" s="77"/>
      <c r="BG1190" s="77"/>
      <c r="BH1190" s="77"/>
      <c r="BI1190" s="77"/>
    </row>
    <row r="1191" spans="1:61" ht="15">
      <c r="A1191" s="62" t="s">
        <v>299</v>
      </c>
      <c r="B1191" s="62" t="s">
        <v>299</v>
      </c>
      <c r="C1191" s="63"/>
      <c r="D1191" s="64"/>
      <c r="E1191" s="65"/>
      <c r="F1191" s="66"/>
      <c r="G1191" s="63"/>
      <c r="H1191" s="67"/>
      <c r="I1191" s="68"/>
      <c r="J1191" s="68"/>
      <c r="K1191" s="32" t="s">
        <v>65</v>
      </c>
      <c r="L1191" s="75">
        <v>1191</v>
      </c>
      <c r="M1191" s="75"/>
      <c r="N1191" s="70"/>
      <c r="O1191" s="77" t="s">
        <v>179</v>
      </c>
      <c r="P1191" s="79">
        <v>45271.32523148148</v>
      </c>
      <c r="Q1191" s="77" t="s">
        <v>1570</v>
      </c>
      <c r="R1191" s="77">
        <v>0</v>
      </c>
      <c r="S1191" s="77">
        <v>0</v>
      </c>
      <c r="T1191" s="77">
        <v>1</v>
      </c>
      <c r="U1191" s="77">
        <v>0</v>
      </c>
      <c r="V1191" s="77">
        <v>16</v>
      </c>
      <c r="W1191" s="81" t="s">
        <v>1880</v>
      </c>
      <c r="X1191" s="80" t="str">
        <f>HYPERLINK("https://inovies.com")</f>
        <v>https://inovies.com</v>
      </c>
      <c r="Y1191" s="77" t="s">
        <v>1982</v>
      </c>
      <c r="Z1191" s="77"/>
      <c r="AA1191" s="77"/>
      <c r="AB1191" s="77"/>
      <c r="AC1191" s="81" t="s">
        <v>2707</v>
      </c>
      <c r="AD1191" s="77" t="s">
        <v>2751</v>
      </c>
      <c r="AE1191" s="80" t="str">
        <f>HYPERLINK("https://twitter.com/inovies/status/1734117899520872542")</f>
        <v>https://twitter.com/inovies/status/1734117899520872542</v>
      </c>
      <c r="AF1191" s="79">
        <v>45271.32523148148</v>
      </c>
      <c r="AG1191" s="85">
        <v>45271</v>
      </c>
      <c r="AH1191" s="81" t="s">
        <v>3753</v>
      </c>
      <c r="AI1191" s="77" t="b">
        <v>0</v>
      </c>
      <c r="AJ1191" s="77"/>
      <c r="AK1191" s="77"/>
      <c r="AL1191" s="77"/>
      <c r="AM1191" s="77"/>
      <c r="AN1191" s="77"/>
      <c r="AO1191" s="77"/>
      <c r="AP1191" s="77"/>
      <c r="AQ1191" s="77"/>
      <c r="AR1191" s="77"/>
      <c r="AS1191" s="77"/>
      <c r="AT1191" s="77"/>
      <c r="AU1191" s="77"/>
      <c r="AV1191" s="80" t="str">
        <f>HYPERLINK("https://pbs.twimg.com/profile_images/833576943677214720/5ZyUgpEJ_normal.jpg")</f>
        <v>https://pbs.twimg.com/profile_images/833576943677214720/5ZyUgpEJ_normal.jpg</v>
      </c>
      <c r="AW1191" s="81" t="s">
        <v>5534</v>
      </c>
      <c r="AX1191" s="81" t="s">
        <v>5534</v>
      </c>
      <c r="AY1191" s="77"/>
      <c r="AZ1191" s="81" t="s">
        <v>5773</v>
      </c>
      <c r="BA1191" s="81" t="s">
        <v>5773</v>
      </c>
      <c r="BB1191" s="81" t="s">
        <v>5773</v>
      </c>
      <c r="BC1191" s="81" t="s">
        <v>5534</v>
      </c>
      <c r="BD1191" s="77">
        <v>297885438</v>
      </c>
      <c r="BE1191" s="77"/>
      <c r="BF1191" s="77"/>
      <c r="BG1191" s="77"/>
      <c r="BH1191" s="77"/>
      <c r="BI1191" s="77"/>
    </row>
    <row r="1192" spans="1:61" ht="15">
      <c r="A1192" s="62" t="s">
        <v>299</v>
      </c>
      <c r="B1192" s="62" t="s">
        <v>299</v>
      </c>
      <c r="C1192" s="63"/>
      <c r="D1192" s="64"/>
      <c r="E1192" s="65"/>
      <c r="F1192" s="66"/>
      <c r="G1192" s="63"/>
      <c r="H1192" s="67"/>
      <c r="I1192" s="68"/>
      <c r="J1192" s="68"/>
      <c r="K1192" s="32" t="s">
        <v>65</v>
      </c>
      <c r="L1192" s="75">
        <v>1192</v>
      </c>
      <c r="M1192" s="75"/>
      <c r="N1192" s="70"/>
      <c r="O1192" s="77" t="s">
        <v>572</v>
      </c>
      <c r="P1192" s="79">
        <v>45271.31947916667</v>
      </c>
      <c r="Q1192" s="77" t="s">
        <v>1571</v>
      </c>
      <c r="R1192" s="77">
        <v>0</v>
      </c>
      <c r="S1192" s="77">
        <v>0</v>
      </c>
      <c r="T1192" s="77">
        <v>0</v>
      </c>
      <c r="U1192" s="77">
        <v>0</v>
      </c>
      <c r="V1192" s="77">
        <v>10</v>
      </c>
      <c r="W1192" s="81" t="s">
        <v>1880</v>
      </c>
      <c r="X1192" s="80" t="str">
        <f>HYPERLINK("https://www.inovies.com")</f>
        <v>https://www.inovies.com</v>
      </c>
      <c r="Y1192" s="77" t="s">
        <v>1982</v>
      </c>
      <c r="Z1192" s="77"/>
      <c r="AA1192" s="77"/>
      <c r="AB1192" s="77"/>
      <c r="AC1192" s="81" t="s">
        <v>2707</v>
      </c>
      <c r="AD1192" s="77" t="s">
        <v>2751</v>
      </c>
      <c r="AE1192" s="80" t="str">
        <f>HYPERLINK("https://twitter.com/inovies/status/1734115816012927398")</f>
        <v>https://twitter.com/inovies/status/1734115816012927398</v>
      </c>
      <c r="AF1192" s="79">
        <v>45271.31947916667</v>
      </c>
      <c r="AG1192" s="85">
        <v>45271</v>
      </c>
      <c r="AH1192" s="81" t="s">
        <v>3754</v>
      </c>
      <c r="AI1192" s="77" t="b">
        <v>0</v>
      </c>
      <c r="AJ1192" s="77"/>
      <c r="AK1192" s="77"/>
      <c r="AL1192" s="77"/>
      <c r="AM1192" s="77"/>
      <c r="AN1192" s="77"/>
      <c r="AO1192" s="77"/>
      <c r="AP1192" s="77"/>
      <c r="AQ1192" s="77"/>
      <c r="AR1192" s="77"/>
      <c r="AS1192" s="77"/>
      <c r="AT1192" s="77"/>
      <c r="AU1192" s="77"/>
      <c r="AV1192" s="80" t="str">
        <f>HYPERLINK("https://pbs.twimg.com/profile_images/833576943677214720/5ZyUgpEJ_normal.jpg")</f>
        <v>https://pbs.twimg.com/profile_images/833576943677214720/5ZyUgpEJ_normal.jpg</v>
      </c>
      <c r="AW1192" s="81" t="s">
        <v>5535</v>
      </c>
      <c r="AX1192" s="81" t="s">
        <v>5610</v>
      </c>
      <c r="AY1192" s="81" t="s">
        <v>5721</v>
      </c>
      <c r="AZ1192" s="81" t="s">
        <v>5536</v>
      </c>
      <c r="BA1192" s="81" t="s">
        <v>5773</v>
      </c>
      <c r="BB1192" s="81" t="s">
        <v>5773</v>
      </c>
      <c r="BC1192" s="81" t="s">
        <v>5536</v>
      </c>
      <c r="BD1192" s="77">
        <v>297885438</v>
      </c>
      <c r="BE1192" s="77"/>
      <c r="BF1192" s="77"/>
      <c r="BG1192" s="77"/>
      <c r="BH1192" s="77"/>
      <c r="BI1192" s="77"/>
    </row>
    <row r="1193" spans="1:61" ht="15">
      <c r="A1193" s="62" t="s">
        <v>299</v>
      </c>
      <c r="B1193" s="62" t="s">
        <v>299</v>
      </c>
      <c r="C1193" s="63"/>
      <c r="D1193" s="64"/>
      <c r="E1193" s="65"/>
      <c r="F1193" s="66"/>
      <c r="G1193" s="63"/>
      <c r="H1193" s="67"/>
      <c r="I1193" s="68"/>
      <c r="J1193" s="68"/>
      <c r="K1193" s="32" t="s">
        <v>65</v>
      </c>
      <c r="L1193" s="75">
        <v>1193</v>
      </c>
      <c r="M1193" s="75"/>
      <c r="N1193" s="70"/>
      <c r="O1193" s="77" t="s">
        <v>572</v>
      </c>
      <c r="P1193" s="79">
        <v>45271.31946759259</v>
      </c>
      <c r="Q1193" s="77" t="s">
        <v>1572</v>
      </c>
      <c r="R1193" s="77">
        <v>0</v>
      </c>
      <c r="S1193" s="77">
        <v>0</v>
      </c>
      <c r="T1193" s="77">
        <v>1</v>
      </c>
      <c r="U1193" s="77">
        <v>0</v>
      </c>
      <c r="V1193" s="77">
        <v>10</v>
      </c>
      <c r="W1193" s="81" t="s">
        <v>1880</v>
      </c>
      <c r="X1193" s="80" t="str">
        <f>HYPERLINK("https://www.inovies.com")</f>
        <v>https://www.inovies.com</v>
      </c>
      <c r="Y1193" s="77" t="s">
        <v>1982</v>
      </c>
      <c r="Z1193" s="77"/>
      <c r="AA1193" s="77"/>
      <c r="AB1193" s="77"/>
      <c r="AC1193" s="81" t="s">
        <v>2707</v>
      </c>
      <c r="AD1193" s="77" t="s">
        <v>2751</v>
      </c>
      <c r="AE1193" s="80" t="str">
        <f>HYPERLINK("https://twitter.com/inovies/status/1734115813416657285")</f>
        <v>https://twitter.com/inovies/status/1734115813416657285</v>
      </c>
      <c r="AF1193" s="79">
        <v>45271.31946759259</v>
      </c>
      <c r="AG1193" s="85">
        <v>45271</v>
      </c>
      <c r="AH1193" s="81" t="s">
        <v>3755</v>
      </c>
      <c r="AI1193" s="77" t="b">
        <v>0</v>
      </c>
      <c r="AJ1193" s="77"/>
      <c r="AK1193" s="77"/>
      <c r="AL1193" s="77"/>
      <c r="AM1193" s="77"/>
      <c r="AN1193" s="77"/>
      <c r="AO1193" s="77"/>
      <c r="AP1193" s="77"/>
      <c r="AQ1193" s="77"/>
      <c r="AR1193" s="77"/>
      <c r="AS1193" s="77"/>
      <c r="AT1193" s="77"/>
      <c r="AU1193" s="77"/>
      <c r="AV1193" s="80" t="str">
        <f>HYPERLINK("https://pbs.twimg.com/profile_images/833576943677214720/5ZyUgpEJ_normal.jpg")</f>
        <v>https://pbs.twimg.com/profile_images/833576943677214720/5ZyUgpEJ_normal.jpg</v>
      </c>
      <c r="AW1193" s="81" t="s">
        <v>5536</v>
      </c>
      <c r="AX1193" s="81" t="s">
        <v>5610</v>
      </c>
      <c r="AY1193" s="81" t="s">
        <v>5721</v>
      </c>
      <c r="AZ1193" s="81" t="s">
        <v>5537</v>
      </c>
      <c r="BA1193" s="81" t="s">
        <v>5773</v>
      </c>
      <c r="BB1193" s="81" t="s">
        <v>5773</v>
      </c>
      <c r="BC1193" s="81" t="s">
        <v>5537</v>
      </c>
      <c r="BD1193" s="77">
        <v>297885438</v>
      </c>
      <c r="BE1193" s="77"/>
      <c r="BF1193" s="77"/>
      <c r="BG1193" s="77"/>
      <c r="BH1193" s="77"/>
      <c r="BI1193" s="77"/>
    </row>
    <row r="1194" spans="1:61" ht="15">
      <c r="A1194" s="62" t="s">
        <v>299</v>
      </c>
      <c r="B1194" s="62" t="s">
        <v>299</v>
      </c>
      <c r="C1194" s="63"/>
      <c r="D1194" s="64"/>
      <c r="E1194" s="65"/>
      <c r="F1194" s="66"/>
      <c r="G1194" s="63"/>
      <c r="H1194" s="67"/>
      <c r="I1194" s="68"/>
      <c r="J1194" s="68"/>
      <c r="K1194" s="32" t="s">
        <v>65</v>
      </c>
      <c r="L1194" s="75">
        <v>1194</v>
      </c>
      <c r="M1194" s="75"/>
      <c r="N1194" s="70"/>
      <c r="O1194" s="77" t="s">
        <v>572</v>
      </c>
      <c r="P1194" s="79">
        <v>45271.31946759259</v>
      </c>
      <c r="Q1194" s="77" t="s">
        <v>1573</v>
      </c>
      <c r="R1194" s="77">
        <v>0</v>
      </c>
      <c r="S1194" s="77">
        <v>0</v>
      </c>
      <c r="T1194" s="77">
        <v>1</v>
      </c>
      <c r="U1194" s="77">
        <v>0</v>
      </c>
      <c r="V1194" s="77">
        <v>11</v>
      </c>
      <c r="W1194" s="81" t="s">
        <v>1880</v>
      </c>
      <c r="X1194" s="80" t="str">
        <f>HYPERLINK("https://www.inovies.com")</f>
        <v>https://www.inovies.com</v>
      </c>
      <c r="Y1194" s="77" t="s">
        <v>1982</v>
      </c>
      <c r="Z1194" s="77"/>
      <c r="AA1194" s="77"/>
      <c r="AB1194" s="77"/>
      <c r="AC1194" s="81" t="s">
        <v>2707</v>
      </c>
      <c r="AD1194" s="77" t="s">
        <v>2751</v>
      </c>
      <c r="AE1194" s="80" t="str">
        <f>HYPERLINK("https://twitter.com/inovies/status/1734115810887512399")</f>
        <v>https://twitter.com/inovies/status/1734115810887512399</v>
      </c>
      <c r="AF1194" s="79">
        <v>45271.31946759259</v>
      </c>
      <c r="AG1194" s="85">
        <v>45271</v>
      </c>
      <c r="AH1194" s="81" t="s">
        <v>3755</v>
      </c>
      <c r="AI1194" s="77" t="b">
        <v>0</v>
      </c>
      <c r="AJ1194" s="77"/>
      <c r="AK1194" s="77"/>
      <c r="AL1194" s="77"/>
      <c r="AM1194" s="77"/>
      <c r="AN1194" s="77"/>
      <c r="AO1194" s="77"/>
      <c r="AP1194" s="77"/>
      <c r="AQ1194" s="77"/>
      <c r="AR1194" s="77"/>
      <c r="AS1194" s="77"/>
      <c r="AT1194" s="77"/>
      <c r="AU1194" s="77"/>
      <c r="AV1194" s="80" t="str">
        <f>HYPERLINK("https://pbs.twimg.com/profile_images/833576943677214720/5ZyUgpEJ_normal.jpg")</f>
        <v>https://pbs.twimg.com/profile_images/833576943677214720/5ZyUgpEJ_normal.jpg</v>
      </c>
      <c r="AW1194" s="81" t="s">
        <v>5537</v>
      </c>
      <c r="AX1194" s="81" t="s">
        <v>5610</v>
      </c>
      <c r="AY1194" s="81" t="s">
        <v>5721</v>
      </c>
      <c r="AZ1194" s="81" t="s">
        <v>5538</v>
      </c>
      <c r="BA1194" s="81" t="s">
        <v>5773</v>
      </c>
      <c r="BB1194" s="81" t="s">
        <v>5773</v>
      </c>
      <c r="BC1194" s="81" t="s">
        <v>5538</v>
      </c>
      <c r="BD1194" s="77">
        <v>297885438</v>
      </c>
      <c r="BE1194" s="77"/>
      <c r="BF1194" s="77"/>
      <c r="BG1194" s="77"/>
      <c r="BH1194" s="77"/>
      <c r="BI1194" s="77"/>
    </row>
    <row r="1195" spans="1:61" ht="15">
      <c r="A1195" s="62" t="s">
        <v>299</v>
      </c>
      <c r="B1195" s="62" t="s">
        <v>299</v>
      </c>
      <c r="C1195" s="63"/>
      <c r="D1195" s="64"/>
      <c r="E1195" s="65"/>
      <c r="F1195" s="66"/>
      <c r="G1195" s="63"/>
      <c r="H1195" s="67"/>
      <c r="I1195" s="68"/>
      <c r="J1195" s="68"/>
      <c r="K1195" s="32" t="s">
        <v>65</v>
      </c>
      <c r="L1195" s="75">
        <v>1195</v>
      </c>
      <c r="M1195" s="75"/>
      <c r="N1195" s="70"/>
      <c r="O1195" s="77" t="s">
        <v>572</v>
      </c>
      <c r="P1195" s="79">
        <v>45271.31945601852</v>
      </c>
      <c r="Q1195" s="77" t="s">
        <v>1574</v>
      </c>
      <c r="R1195" s="77">
        <v>0</v>
      </c>
      <c r="S1195" s="77">
        <v>0</v>
      </c>
      <c r="T1195" s="77">
        <v>1</v>
      </c>
      <c r="U1195" s="77">
        <v>0</v>
      </c>
      <c r="V1195" s="77">
        <v>9</v>
      </c>
      <c r="W1195" s="81" t="s">
        <v>1880</v>
      </c>
      <c r="X1195" s="80" t="str">
        <f>HYPERLINK("https://www.inovies.com")</f>
        <v>https://www.inovies.com</v>
      </c>
      <c r="Y1195" s="77" t="s">
        <v>1982</v>
      </c>
      <c r="Z1195" s="77"/>
      <c r="AA1195" s="77"/>
      <c r="AB1195" s="77"/>
      <c r="AC1195" s="81" t="s">
        <v>2707</v>
      </c>
      <c r="AD1195" s="77" t="s">
        <v>2751</v>
      </c>
      <c r="AE1195" s="80" t="str">
        <f>HYPERLINK("https://twitter.com/inovies/status/1734115808291205196")</f>
        <v>https://twitter.com/inovies/status/1734115808291205196</v>
      </c>
      <c r="AF1195" s="79">
        <v>45271.31945601852</v>
      </c>
      <c r="AG1195" s="85">
        <v>45271</v>
      </c>
      <c r="AH1195" s="81" t="s">
        <v>3756</v>
      </c>
      <c r="AI1195" s="77" t="b">
        <v>0</v>
      </c>
      <c r="AJ1195" s="77"/>
      <c r="AK1195" s="77"/>
      <c r="AL1195" s="77"/>
      <c r="AM1195" s="77"/>
      <c r="AN1195" s="77"/>
      <c r="AO1195" s="77"/>
      <c r="AP1195" s="77"/>
      <c r="AQ1195" s="77"/>
      <c r="AR1195" s="77"/>
      <c r="AS1195" s="77"/>
      <c r="AT1195" s="77"/>
      <c r="AU1195" s="77"/>
      <c r="AV1195" s="80" t="str">
        <f>HYPERLINK("https://pbs.twimg.com/profile_images/833576943677214720/5ZyUgpEJ_normal.jpg")</f>
        <v>https://pbs.twimg.com/profile_images/833576943677214720/5ZyUgpEJ_normal.jpg</v>
      </c>
      <c r="AW1195" s="81" t="s">
        <v>5538</v>
      </c>
      <c r="AX1195" s="81" t="s">
        <v>5610</v>
      </c>
      <c r="AY1195" s="81" t="s">
        <v>5721</v>
      </c>
      <c r="AZ1195" s="81" t="s">
        <v>5539</v>
      </c>
      <c r="BA1195" s="81" t="s">
        <v>5773</v>
      </c>
      <c r="BB1195" s="81" t="s">
        <v>5773</v>
      </c>
      <c r="BC1195" s="81" t="s">
        <v>5539</v>
      </c>
      <c r="BD1195" s="77">
        <v>297885438</v>
      </c>
      <c r="BE1195" s="77"/>
      <c r="BF1195" s="77"/>
      <c r="BG1195" s="77"/>
      <c r="BH1195" s="77"/>
      <c r="BI1195" s="77"/>
    </row>
    <row r="1196" spans="1:61" ht="15">
      <c r="A1196" s="62" t="s">
        <v>299</v>
      </c>
      <c r="B1196" s="62" t="s">
        <v>299</v>
      </c>
      <c r="C1196" s="63"/>
      <c r="D1196" s="64"/>
      <c r="E1196" s="65"/>
      <c r="F1196" s="66"/>
      <c r="G1196" s="63"/>
      <c r="H1196" s="67"/>
      <c r="I1196" s="68"/>
      <c r="J1196" s="68"/>
      <c r="K1196" s="32" t="s">
        <v>65</v>
      </c>
      <c r="L1196" s="75">
        <v>1196</v>
      </c>
      <c r="M1196" s="75"/>
      <c r="N1196" s="70"/>
      <c r="O1196" s="77" t="s">
        <v>572</v>
      </c>
      <c r="P1196" s="79">
        <v>45271.31945601852</v>
      </c>
      <c r="Q1196" s="77" t="s">
        <v>1575</v>
      </c>
      <c r="R1196" s="77">
        <v>0</v>
      </c>
      <c r="S1196" s="77">
        <v>0</v>
      </c>
      <c r="T1196" s="77">
        <v>1</v>
      </c>
      <c r="U1196" s="77">
        <v>0</v>
      </c>
      <c r="V1196" s="77">
        <v>9</v>
      </c>
      <c r="W1196" s="81" t="s">
        <v>1880</v>
      </c>
      <c r="X1196" s="80" t="str">
        <f>HYPERLINK("https://www.inovies.com")</f>
        <v>https://www.inovies.com</v>
      </c>
      <c r="Y1196" s="77" t="s">
        <v>1982</v>
      </c>
      <c r="Z1196" s="77"/>
      <c r="AA1196" s="77"/>
      <c r="AB1196" s="77"/>
      <c r="AC1196" s="81" t="s">
        <v>2707</v>
      </c>
      <c r="AD1196" s="77" t="s">
        <v>2751</v>
      </c>
      <c r="AE1196" s="80" t="str">
        <f>HYPERLINK("https://twitter.com/inovies/status/1734115806110257514")</f>
        <v>https://twitter.com/inovies/status/1734115806110257514</v>
      </c>
      <c r="AF1196" s="79">
        <v>45271.31945601852</v>
      </c>
      <c r="AG1196" s="85">
        <v>45271</v>
      </c>
      <c r="AH1196" s="81" t="s">
        <v>3756</v>
      </c>
      <c r="AI1196" s="77" t="b">
        <v>0</v>
      </c>
      <c r="AJ1196" s="77"/>
      <c r="AK1196" s="77"/>
      <c r="AL1196" s="77"/>
      <c r="AM1196" s="77"/>
      <c r="AN1196" s="77"/>
      <c r="AO1196" s="77"/>
      <c r="AP1196" s="77"/>
      <c r="AQ1196" s="77"/>
      <c r="AR1196" s="77"/>
      <c r="AS1196" s="77"/>
      <c r="AT1196" s="77"/>
      <c r="AU1196" s="77"/>
      <c r="AV1196" s="80" t="str">
        <f>HYPERLINK("https://pbs.twimg.com/profile_images/833576943677214720/5ZyUgpEJ_normal.jpg")</f>
        <v>https://pbs.twimg.com/profile_images/833576943677214720/5ZyUgpEJ_normal.jpg</v>
      </c>
      <c r="AW1196" s="81" t="s">
        <v>5539</v>
      </c>
      <c r="AX1196" s="81" t="s">
        <v>5610</v>
      </c>
      <c r="AY1196" s="81" t="s">
        <v>5721</v>
      </c>
      <c r="AZ1196" s="81" t="s">
        <v>5540</v>
      </c>
      <c r="BA1196" s="81" t="s">
        <v>5773</v>
      </c>
      <c r="BB1196" s="81" t="s">
        <v>5773</v>
      </c>
      <c r="BC1196" s="81" t="s">
        <v>5540</v>
      </c>
      <c r="BD1196" s="77">
        <v>297885438</v>
      </c>
      <c r="BE1196" s="77"/>
      <c r="BF1196" s="77"/>
      <c r="BG1196" s="77"/>
      <c r="BH1196" s="77"/>
      <c r="BI1196" s="77"/>
    </row>
    <row r="1197" spans="1:61" ht="15">
      <c r="A1197" s="62" t="s">
        <v>299</v>
      </c>
      <c r="B1197" s="62" t="s">
        <v>299</v>
      </c>
      <c r="C1197" s="63"/>
      <c r="D1197" s="64"/>
      <c r="E1197" s="65"/>
      <c r="F1197" s="66"/>
      <c r="G1197" s="63"/>
      <c r="H1197" s="67"/>
      <c r="I1197" s="68"/>
      <c r="J1197" s="68"/>
      <c r="K1197" s="32" t="s">
        <v>65</v>
      </c>
      <c r="L1197" s="75">
        <v>1197</v>
      </c>
      <c r="M1197" s="75"/>
      <c r="N1197" s="70"/>
      <c r="O1197" s="77" t="s">
        <v>572</v>
      </c>
      <c r="P1197" s="79">
        <v>45271.319444444445</v>
      </c>
      <c r="Q1197" s="77" t="s">
        <v>1576</v>
      </c>
      <c r="R1197" s="77">
        <v>0</v>
      </c>
      <c r="S1197" s="77">
        <v>0</v>
      </c>
      <c r="T1197" s="77">
        <v>1</v>
      </c>
      <c r="U1197" s="77">
        <v>0</v>
      </c>
      <c r="V1197" s="77">
        <v>10</v>
      </c>
      <c r="W1197" s="81" t="s">
        <v>1880</v>
      </c>
      <c r="X1197" s="80" t="str">
        <f>HYPERLINK("https://www.inovies.com")</f>
        <v>https://www.inovies.com</v>
      </c>
      <c r="Y1197" s="77" t="s">
        <v>1982</v>
      </c>
      <c r="Z1197" s="77"/>
      <c r="AA1197" s="77"/>
      <c r="AB1197" s="77"/>
      <c r="AC1197" s="81" t="s">
        <v>2707</v>
      </c>
      <c r="AD1197" s="77" t="s">
        <v>2751</v>
      </c>
      <c r="AE1197" s="80" t="str">
        <f>HYPERLINK("https://twitter.com/inovies/status/1734115803539165198")</f>
        <v>https://twitter.com/inovies/status/1734115803539165198</v>
      </c>
      <c r="AF1197" s="79">
        <v>45271.319444444445</v>
      </c>
      <c r="AG1197" s="85">
        <v>45271</v>
      </c>
      <c r="AH1197" s="81" t="s">
        <v>3757</v>
      </c>
      <c r="AI1197" s="77" t="b">
        <v>0</v>
      </c>
      <c r="AJ1197" s="77"/>
      <c r="AK1197" s="77"/>
      <c r="AL1197" s="77"/>
      <c r="AM1197" s="77"/>
      <c r="AN1197" s="77"/>
      <c r="AO1197" s="77"/>
      <c r="AP1197" s="77"/>
      <c r="AQ1197" s="77"/>
      <c r="AR1197" s="77"/>
      <c r="AS1197" s="77"/>
      <c r="AT1197" s="77"/>
      <c r="AU1197" s="77"/>
      <c r="AV1197" s="80" t="str">
        <f>HYPERLINK("https://pbs.twimg.com/profile_images/833576943677214720/5ZyUgpEJ_normal.jpg")</f>
        <v>https://pbs.twimg.com/profile_images/833576943677214720/5ZyUgpEJ_normal.jpg</v>
      </c>
      <c r="AW1197" s="81" t="s">
        <v>5540</v>
      </c>
      <c r="AX1197" s="81" t="s">
        <v>5610</v>
      </c>
      <c r="AY1197" s="81" t="s">
        <v>5721</v>
      </c>
      <c r="AZ1197" s="81" t="s">
        <v>5541</v>
      </c>
      <c r="BA1197" s="81" t="s">
        <v>5773</v>
      </c>
      <c r="BB1197" s="81" t="s">
        <v>5773</v>
      </c>
      <c r="BC1197" s="81" t="s">
        <v>5541</v>
      </c>
      <c r="BD1197" s="77">
        <v>297885438</v>
      </c>
      <c r="BE1197" s="77"/>
      <c r="BF1197" s="77"/>
      <c r="BG1197" s="77"/>
      <c r="BH1197" s="77"/>
      <c r="BI1197" s="77"/>
    </row>
    <row r="1198" spans="1:61" ht="15">
      <c r="A1198" s="62" t="s">
        <v>299</v>
      </c>
      <c r="B1198" s="62" t="s">
        <v>299</v>
      </c>
      <c r="C1198" s="63"/>
      <c r="D1198" s="64"/>
      <c r="E1198" s="65"/>
      <c r="F1198" s="66"/>
      <c r="G1198" s="63"/>
      <c r="H1198" s="67"/>
      <c r="I1198" s="68"/>
      <c r="J1198" s="68"/>
      <c r="K1198" s="32" t="s">
        <v>65</v>
      </c>
      <c r="L1198" s="75">
        <v>1198</v>
      </c>
      <c r="M1198" s="75"/>
      <c r="N1198" s="70"/>
      <c r="O1198" s="77" t="s">
        <v>572</v>
      </c>
      <c r="P1198" s="79">
        <v>45271.319444444445</v>
      </c>
      <c r="Q1198" s="77" t="s">
        <v>1577</v>
      </c>
      <c r="R1198" s="77">
        <v>0</v>
      </c>
      <c r="S1198" s="77">
        <v>0</v>
      </c>
      <c r="T1198" s="77">
        <v>1</v>
      </c>
      <c r="U1198" s="77">
        <v>0</v>
      </c>
      <c r="V1198" s="77">
        <v>9</v>
      </c>
      <c r="W1198" s="81" t="s">
        <v>1880</v>
      </c>
      <c r="X1198" s="80" t="str">
        <f>HYPERLINK("https://www.inovies.com")</f>
        <v>https://www.inovies.com</v>
      </c>
      <c r="Y1198" s="77" t="s">
        <v>1982</v>
      </c>
      <c r="Z1198" s="77"/>
      <c r="AA1198" s="77"/>
      <c r="AB1198" s="77"/>
      <c r="AC1198" s="81" t="s">
        <v>2707</v>
      </c>
      <c r="AD1198" s="77" t="s">
        <v>2751</v>
      </c>
      <c r="AE1198" s="80" t="str">
        <f>HYPERLINK("https://twitter.com/inovies/status/1734115801399980367")</f>
        <v>https://twitter.com/inovies/status/1734115801399980367</v>
      </c>
      <c r="AF1198" s="79">
        <v>45271.319444444445</v>
      </c>
      <c r="AG1198" s="85">
        <v>45271</v>
      </c>
      <c r="AH1198" s="81" t="s">
        <v>3757</v>
      </c>
      <c r="AI1198" s="77" t="b">
        <v>0</v>
      </c>
      <c r="AJ1198" s="77"/>
      <c r="AK1198" s="77"/>
      <c r="AL1198" s="77"/>
      <c r="AM1198" s="77"/>
      <c r="AN1198" s="77"/>
      <c r="AO1198" s="77"/>
      <c r="AP1198" s="77"/>
      <c r="AQ1198" s="77"/>
      <c r="AR1198" s="77"/>
      <c r="AS1198" s="77"/>
      <c r="AT1198" s="77"/>
      <c r="AU1198" s="77"/>
      <c r="AV1198" s="80" t="str">
        <f>HYPERLINK("https://pbs.twimg.com/profile_images/833576943677214720/5ZyUgpEJ_normal.jpg")</f>
        <v>https://pbs.twimg.com/profile_images/833576943677214720/5ZyUgpEJ_normal.jpg</v>
      </c>
      <c r="AW1198" s="81" t="s">
        <v>5541</v>
      </c>
      <c r="AX1198" s="81" t="s">
        <v>5610</v>
      </c>
      <c r="AY1198" s="81" t="s">
        <v>5721</v>
      </c>
      <c r="AZ1198" s="81" t="s">
        <v>5542</v>
      </c>
      <c r="BA1198" s="81" t="s">
        <v>5773</v>
      </c>
      <c r="BB1198" s="81" t="s">
        <v>5773</v>
      </c>
      <c r="BC1198" s="81" t="s">
        <v>5542</v>
      </c>
      <c r="BD1198" s="77">
        <v>297885438</v>
      </c>
      <c r="BE1198" s="77"/>
      <c r="BF1198" s="77"/>
      <c r="BG1198" s="77"/>
      <c r="BH1198" s="77"/>
      <c r="BI1198" s="77"/>
    </row>
    <row r="1199" spans="1:61" ht="15">
      <c r="A1199" s="62" t="s">
        <v>299</v>
      </c>
      <c r="B1199" s="62" t="s">
        <v>299</v>
      </c>
      <c r="C1199" s="63"/>
      <c r="D1199" s="64"/>
      <c r="E1199" s="65"/>
      <c r="F1199" s="66"/>
      <c r="G1199" s="63"/>
      <c r="H1199" s="67"/>
      <c r="I1199" s="68"/>
      <c r="J1199" s="68"/>
      <c r="K1199" s="32" t="s">
        <v>65</v>
      </c>
      <c r="L1199" s="75">
        <v>1199</v>
      </c>
      <c r="M1199" s="75"/>
      <c r="N1199" s="70"/>
      <c r="O1199" s="77" t="s">
        <v>572</v>
      </c>
      <c r="P1199" s="79">
        <v>45271.31943287037</v>
      </c>
      <c r="Q1199" s="77" t="s">
        <v>1578</v>
      </c>
      <c r="R1199" s="77">
        <v>0</v>
      </c>
      <c r="S1199" s="77">
        <v>0</v>
      </c>
      <c r="T1199" s="77">
        <v>1</v>
      </c>
      <c r="U1199" s="77">
        <v>0</v>
      </c>
      <c r="V1199" s="77">
        <v>8</v>
      </c>
      <c r="W1199" s="81" t="s">
        <v>1880</v>
      </c>
      <c r="X1199" s="80" t="str">
        <f>HYPERLINK("https://www.inovies.com")</f>
        <v>https://www.inovies.com</v>
      </c>
      <c r="Y1199" s="77" t="s">
        <v>1982</v>
      </c>
      <c r="Z1199" s="77"/>
      <c r="AA1199" s="77"/>
      <c r="AB1199" s="77"/>
      <c r="AC1199" s="81" t="s">
        <v>2707</v>
      </c>
      <c r="AD1199" s="77" t="s">
        <v>2751</v>
      </c>
      <c r="AE1199" s="80" t="str">
        <f>HYPERLINK("https://twitter.com/inovies/status/1734115798828904630")</f>
        <v>https://twitter.com/inovies/status/1734115798828904630</v>
      </c>
      <c r="AF1199" s="79">
        <v>45271.31943287037</v>
      </c>
      <c r="AG1199" s="85">
        <v>45271</v>
      </c>
      <c r="AH1199" s="81" t="s">
        <v>3758</v>
      </c>
      <c r="AI1199" s="77" t="b">
        <v>0</v>
      </c>
      <c r="AJ1199" s="77"/>
      <c r="AK1199" s="77"/>
      <c r="AL1199" s="77"/>
      <c r="AM1199" s="77"/>
      <c r="AN1199" s="77"/>
      <c r="AO1199" s="77"/>
      <c r="AP1199" s="77"/>
      <c r="AQ1199" s="77"/>
      <c r="AR1199" s="77"/>
      <c r="AS1199" s="77"/>
      <c r="AT1199" s="77"/>
      <c r="AU1199" s="77"/>
      <c r="AV1199" s="80" t="str">
        <f>HYPERLINK("https://pbs.twimg.com/profile_images/833576943677214720/5ZyUgpEJ_normal.jpg")</f>
        <v>https://pbs.twimg.com/profile_images/833576943677214720/5ZyUgpEJ_normal.jpg</v>
      </c>
      <c r="AW1199" s="81" t="s">
        <v>5542</v>
      </c>
      <c r="AX1199" s="81" t="s">
        <v>5610</v>
      </c>
      <c r="AY1199" s="81" t="s">
        <v>5721</v>
      </c>
      <c r="AZ1199" s="81" t="s">
        <v>5543</v>
      </c>
      <c r="BA1199" s="81" t="s">
        <v>5773</v>
      </c>
      <c r="BB1199" s="81" t="s">
        <v>5773</v>
      </c>
      <c r="BC1199" s="81" t="s">
        <v>5543</v>
      </c>
      <c r="BD1199" s="77">
        <v>297885438</v>
      </c>
      <c r="BE1199" s="77"/>
      <c r="BF1199" s="77"/>
      <c r="BG1199" s="77"/>
      <c r="BH1199" s="77"/>
      <c r="BI1199" s="77"/>
    </row>
    <row r="1200" spans="1:61" ht="15">
      <c r="A1200" s="62" t="s">
        <v>299</v>
      </c>
      <c r="B1200" s="62" t="s">
        <v>299</v>
      </c>
      <c r="C1200" s="63"/>
      <c r="D1200" s="64"/>
      <c r="E1200" s="65"/>
      <c r="F1200" s="66"/>
      <c r="G1200" s="63"/>
      <c r="H1200" s="67"/>
      <c r="I1200" s="68"/>
      <c r="J1200" s="68"/>
      <c r="K1200" s="32" t="s">
        <v>65</v>
      </c>
      <c r="L1200" s="75">
        <v>1200</v>
      </c>
      <c r="M1200" s="75"/>
      <c r="N1200" s="70"/>
      <c r="O1200" s="77" t="s">
        <v>572</v>
      </c>
      <c r="P1200" s="79">
        <v>45271.3194212963</v>
      </c>
      <c r="Q1200" s="77" t="s">
        <v>1579</v>
      </c>
      <c r="R1200" s="77">
        <v>0</v>
      </c>
      <c r="S1200" s="77">
        <v>0</v>
      </c>
      <c r="T1200" s="77">
        <v>1</v>
      </c>
      <c r="U1200" s="77">
        <v>0</v>
      </c>
      <c r="V1200" s="77">
        <v>1</v>
      </c>
      <c r="W1200" s="81" t="s">
        <v>1880</v>
      </c>
      <c r="X1200" s="80" t="str">
        <f>HYPERLINK("https://www.inovies.com")</f>
        <v>https://www.inovies.com</v>
      </c>
      <c r="Y1200" s="77" t="s">
        <v>1982</v>
      </c>
      <c r="Z1200" s="77"/>
      <c r="AA1200" s="77"/>
      <c r="AB1200" s="77"/>
      <c r="AC1200" s="81" t="s">
        <v>2707</v>
      </c>
      <c r="AD1200" s="77" t="s">
        <v>2751</v>
      </c>
      <c r="AE1200" s="80" t="str">
        <f>HYPERLINK("https://twitter.com/inovies/status/1734115796295581973")</f>
        <v>https://twitter.com/inovies/status/1734115796295581973</v>
      </c>
      <c r="AF1200" s="79">
        <v>45271.3194212963</v>
      </c>
      <c r="AG1200" s="85">
        <v>45271</v>
      </c>
      <c r="AH1200" s="81" t="s">
        <v>3759</v>
      </c>
      <c r="AI1200" s="77" t="b">
        <v>0</v>
      </c>
      <c r="AJ1200" s="77"/>
      <c r="AK1200" s="77"/>
      <c r="AL1200" s="77"/>
      <c r="AM1200" s="77"/>
      <c r="AN1200" s="77"/>
      <c r="AO1200" s="77"/>
      <c r="AP1200" s="77"/>
      <c r="AQ1200" s="77"/>
      <c r="AR1200" s="77"/>
      <c r="AS1200" s="77"/>
      <c r="AT1200" s="77"/>
      <c r="AU1200" s="77"/>
      <c r="AV1200" s="80" t="str">
        <f>HYPERLINK("https://pbs.twimg.com/profile_images/833576943677214720/5ZyUgpEJ_normal.jpg")</f>
        <v>https://pbs.twimg.com/profile_images/833576943677214720/5ZyUgpEJ_normal.jpg</v>
      </c>
      <c r="AW1200" s="81" t="s">
        <v>5543</v>
      </c>
      <c r="AX1200" s="81" t="s">
        <v>5610</v>
      </c>
      <c r="AY1200" s="81" t="s">
        <v>5721</v>
      </c>
      <c r="AZ1200" s="81" t="s">
        <v>5544</v>
      </c>
      <c r="BA1200" s="81" t="s">
        <v>5773</v>
      </c>
      <c r="BB1200" s="81" t="s">
        <v>5773</v>
      </c>
      <c r="BC1200" s="81" t="s">
        <v>5544</v>
      </c>
      <c r="BD1200" s="77">
        <v>297885438</v>
      </c>
      <c r="BE1200" s="77"/>
      <c r="BF1200" s="77"/>
      <c r="BG1200" s="77"/>
      <c r="BH1200" s="77"/>
      <c r="BI1200" s="77"/>
    </row>
    <row r="1201" spans="1:61" ht="15">
      <c r="A1201" s="62" t="s">
        <v>299</v>
      </c>
      <c r="B1201" s="62" t="s">
        <v>299</v>
      </c>
      <c r="C1201" s="63"/>
      <c r="D1201" s="64"/>
      <c r="E1201" s="65"/>
      <c r="F1201" s="66"/>
      <c r="G1201" s="63"/>
      <c r="H1201" s="67"/>
      <c r="I1201" s="68"/>
      <c r="J1201" s="68"/>
      <c r="K1201" s="32" t="s">
        <v>65</v>
      </c>
      <c r="L1201" s="75">
        <v>1201</v>
      </c>
      <c r="M1201" s="75"/>
      <c r="N1201" s="70"/>
      <c r="O1201" s="77" t="s">
        <v>572</v>
      </c>
      <c r="P1201" s="79">
        <v>45271.3194212963</v>
      </c>
      <c r="Q1201" s="77" t="s">
        <v>1580</v>
      </c>
      <c r="R1201" s="77">
        <v>0</v>
      </c>
      <c r="S1201" s="77">
        <v>0</v>
      </c>
      <c r="T1201" s="77">
        <v>1</v>
      </c>
      <c r="U1201" s="77">
        <v>0</v>
      </c>
      <c r="V1201" s="77">
        <v>4</v>
      </c>
      <c r="W1201" s="81" t="s">
        <v>1880</v>
      </c>
      <c r="X1201" s="80" t="str">
        <f>HYPERLINK("https://www.inovies.com")</f>
        <v>https://www.inovies.com</v>
      </c>
      <c r="Y1201" s="77" t="s">
        <v>1982</v>
      </c>
      <c r="Z1201" s="77"/>
      <c r="AA1201" s="77"/>
      <c r="AB1201" s="77"/>
      <c r="AC1201" s="81" t="s">
        <v>2707</v>
      </c>
      <c r="AD1201" s="77" t="s">
        <v>2751</v>
      </c>
      <c r="AE1201" s="80" t="str">
        <f>HYPERLINK("https://twitter.com/inovies/status/1734115793690915240")</f>
        <v>https://twitter.com/inovies/status/1734115793690915240</v>
      </c>
      <c r="AF1201" s="79">
        <v>45271.3194212963</v>
      </c>
      <c r="AG1201" s="85">
        <v>45271</v>
      </c>
      <c r="AH1201" s="81" t="s">
        <v>3759</v>
      </c>
      <c r="AI1201" s="77" t="b">
        <v>0</v>
      </c>
      <c r="AJ1201" s="77"/>
      <c r="AK1201" s="77"/>
      <c r="AL1201" s="77"/>
      <c r="AM1201" s="77"/>
      <c r="AN1201" s="77"/>
      <c r="AO1201" s="77"/>
      <c r="AP1201" s="77"/>
      <c r="AQ1201" s="77"/>
      <c r="AR1201" s="77"/>
      <c r="AS1201" s="77"/>
      <c r="AT1201" s="77"/>
      <c r="AU1201" s="77"/>
      <c r="AV1201" s="80" t="str">
        <f>HYPERLINK("https://pbs.twimg.com/profile_images/833576943677214720/5ZyUgpEJ_normal.jpg")</f>
        <v>https://pbs.twimg.com/profile_images/833576943677214720/5ZyUgpEJ_normal.jpg</v>
      </c>
      <c r="AW1201" s="81" t="s">
        <v>5544</v>
      </c>
      <c r="AX1201" s="81" t="s">
        <v>5610</v>
      </c>
      <c r="AY1201" s="81" t="s">
        <v>5721</v>
      </c>
      <c r="AZ1201" s="81" t="s">
        <v>5545</v>
      </c>
      <c r="BA1201" s="81" t="s">
        <v>5773</v>
      </c>
      <c r="BB1201" s="81" t="s">
        <v>5773</v>
      </c>
      <c r="BC1201" s="81" t="s">
        <v>5545</v>
      </c>
      <c r="BD1201" s="77">
        <v>297885438</v>
      </c>
      <c r="BE1201" s="77"/>
      <c r="BF1201" s="77"/>
      <c r="BG1201" s="77"/>
      <c r="BH1201" s="77"/>
      <c r="BI1201" s="77"/>
    </row>
    <row r="1202" spans="1:61" ht="15">
      <c r="A1202" s="62" t="s">
        <v>299</v>
      </c>
      <c r="B1202" s="62" t="s">
        <v>299</v>
      </c>
      <c r="C1202" s="63"/>
      <c r="D1202" s="64"/>
      <c r="E1202" s="65"/>
      <c r="F1202" s="66"/>
      <c r="G1202" s="63"/>
      <c r="H1202" s="67"/>
      <c r="I1202" s="68"/>
      <c r="J1202" s="68"/>
      <c r="K1202" s="32" t="s">
        <v>65</v>
      </c>
      <c r="L1202" s="75">
        <v>1202</v>
      </c>
      <c r="M1202" s="75"/>
      <c r="N1202" s="70"/>
      <c r="O1202" s="77" t="s">
        <v>572</v>
      </c>
      <c r="P1202" s="79">
        <v>45271.31940972222</v>
      </c>
      <c r="Q1202" s="77" t="s">
        <v>1581</v>
      </c>
      <c r="R1202" s="77">
        <v>0</v>
      </c>
      <c r="S1202" s="77">
        <v>0</v>
      </c>
      <c r="T1202" s="77">
        <v>1</v>
      </c>
      <c r="U1202" s="77">
        <v>0</v>
      </c>
      <c r="V1202" s="77">
        <v>1</v>
      </c>
      <c r="W1202" s="81" t="s">
        <v>1880</v>
      </c>
      <c r="X1202" s="80" t="str">
        <f>HYPERLINK("https://www.inovies.com")</f>
        <v>https://www.inovies.com</v>
      </c>
      <c r="Y1202" s="77" t="s">
        <v>1982</v>
      </c>
      <c r="Z1202" s="77"/>
      <c r="AA1202" s="77"/>
      <c r="AB1202" s="77"/>
      <c r="AC1202" s="81" t="s">
        <v>2707</v>
      </c>
      <c r="AD1202" s="77" t="s">
        <v>2751</v>
      </c>
      <c r="AE1202" s="80" t="str">
        <f>HYPERLINK("https://twitter.com/inovies/status/1734115791220461769")</f>
        <v>https://twitter.com/inovies/status/1734115791220461769</v>
      </c>
      <c r="AF1202" s="79">
        <v>45271.31940972222</v>
      </c>
      <c r="AG1202" s="85">
        <v>45271</v>
      </c>
      <c r="AH1202" s="81" t="s">
        <v>3608</v>
      </c>
      <c r="AI1202" s="77" t="b">
        <v>0</v>
      </c>
      <c r="AJ1202" s="77"/>
      <c r="AK1202" s="77"/>
      <c r="AL1202" s="77"/>
      <c r="AM1202" s="77"/>
      <c r="AN1202" s="77"/>
      <c r="AO1202" s="77"/>
      <c r="AP1202" s="77"/>
      <c r="AQ1202" s="77"/>
      <c r="AR1202" s="77"/>
      <c r="AS1202" s="77"/>
      <c r="AT1202" s="77"/>
      <c r="AU1202" s="77"/>
      <c r="AV1202" s="80" t="str">
        <f>HYPERLINK("https://pbs.twimg.com/profile_images/833576943677214720/5ZyUgpEJ_normal.jpg")</f>
        <v>https://pbs.twimg.com/profile_images/833576943677214720/5ZyUgpEJ_normal.jpg</v>
      </c>
      <c r="AW1202" s="81" t="s">
        <v>5545</v>
      </c>
      <c r="AX1202" s="81" t="s">
        <v>5610</v>
      </c>
      <c r="AY1202" s="81" t="s">
        <v>5721</v>
      </c>
      <c r="AZ1202" s="81" t="s">
        <v>5377</v>
      </c>
      <c r="BA1202" s="81" t="s">
        <v>5773</v>
      </c>
      <c r="BB1202" s="81" t="s">
        <v>5773</v>
      </c>
      <c r="BC1202" s="81" t="s">
        <v>5377</v>
      </c>
      <c r="BD1202" s="77">
        <v>297885438</v>
      </c>
      <c r="BE1202" s="77"/>
      <c r="BF1202" s="77"/>
      <c r="BG1202" s="77"/>
      <c r="BH1202" s="77"/>
      <c r="BI1202" s="77"/>
    </row>
    <row r="1203" spans="1:61" ht="15">
      <c r="A1203" s="62" t="s">
        <v>299</v>
      </c>
      <c r="B1203" s="62" t="s">
        <v>299</v>
      </c>
      <c r="C1203" s="63"/>
      <c r="D1203" s="64"/>
      <c r="E1203" s="65"/>
      <c r="F1203" s="66"/>
      <c r="G1203" s="63"/>
      <c r="H1203" s="67"/>
      <c r="I1203" s="68"/>
      <c r="J1203" s="68"/>
      <c r="K1203" s="32" t="s">
        <v>65</v>
      </c>
      <c r="L1203" s="75">
        <v>1203</v>
      </c>
      <c r="M1203" s="75"/>
      <c r="N1203" s="70"/>
      <c r="O1203" s="77" t="s">
        <v>572</v>
      </c>
      <c r="P1203" s="79">
        <v>45268.32246527778</v>
      </c>
      <c r="Q1203" s="77" t="s">
        <v>1582</v>
      </c>
      <c r="R1203" s="77">
        <v>0</v>
      </c>
      <c r="S1203" s="77">
        <v>0</v>
      </c>
      <c r="T1203" s="77">
        <v>0</v>
      </c>
      <c r="U1203" s="77">
        <v>0</v>
      </c>
      <c r="V1203" s="77">
        <v>8</v>
      </c>
      <c r="W1203" s="81" t="s">
        <v>1871</v>
      </c>
      <c r="X1203" s="80" t="str">
        <f>HYPERLINK("https://inovies.com")</f>
        <v>https://inovies.com</v>
      </c>
      <c r="Y1203" s="77" t="s">
        <v>1982</v>
      </c>
      <c r="Z1203" s="77"/>
      <c r="AA1203" s="77" t="s">
        <v>2597</v>
      </c>
      <c r="AB1203" s="77" t="s">
        <v>2696</v>
      </c>
      <c r="AC1203" s="81" t="s">
        <v>2707</v>
      </c>
      <c r="AD1203" s="77" t="s">
        <v>2752</v>
      </c>
      <c r="AE1203" s="80" t="str">
        <f>HYPERLINK("https://twitter.com/inovies/status/1733029736559816891")</f>
        <v>https://twitter.com/inovies/status/1733029736559816891</v>
      </c>
      <c r="AF1203" s="79">
        <v>45268.32246527778</v>
      </c>
      <c r="AG1203" s="85">
        <v>45268</v>
      </c>
      <c r="AH1203" s="81" t="s">
        <v>3760</v>
      </c>
      <c r="AI1203" s="77" t="b">
        <v>0</v>
      </c>
      <c r="AJ1203" s="77"/>
      <c r="AK1203" s="77"/>
      <c r="AL1203" s="77"/>
      <c r="AM1203" s="77"/>
      <c r="AN1203" s="77"/>
      <c r="AO1203" s="77"/>
      <c r="AP1203" s="77"/>
      <c r="AQ1203" s="77" t="s">
        <v>4411</v>
      </c>
      <c r="AR1203" s="77"/>
      <c r="AS1203" s="77"/>
      <c r="AT1203" s="77"/>
      <c r="AU1203" s="77"/>
      <c r="AV1203" s="80" t="str">
        <f>HYPERLINK("https://pbs.twimg.com/media/GAz1Ww_WwAAASMX.jpg")</f>
        <v>https://pbs.twimg.com/media/GAz1Ww_WwAAASMX.jpg</v>
      </c>
      <c r="AW1203" s="81" t="s">
        <v>5546</v>
      </c>
      <c r="AX1203" s="81" t="s">
        <v>5557</v>
      </c>
      <c r="AY1203" s="81" t="s">
        <v>5721</v>
      </c>
      <c r="AZ1203" s="81" t="s">
        <v>5557</v>
      </c>
      <c r="BA1203" s="81" t="s">
        <v>5773</v>
      </c>
      <c r="BB1203" s="81" t="s">
        <v>5773</v>
      </c>
      <c r="BC1203" s="81" t="s">
        <v>5557</v>
      </c>
      <c r="BD1203" s="77">
        <v>297885438</v>
      </c>
      <c r="BE1203" s="77"/>
      <c r="BF1203" s="77"/>
      <c r="BG1203" s="77"/>
      <c r="BH1203" s="77"/>
      <c r="BI1203" s="77"/>
    </row>
    <row r="1204" spans="1:61" ht="15">
      <c r="A1204" s="62" t="s">
        <v>299</v>
      </c>
      <c r="B1204" s="62" t="s">
        <v>299</v>
      </c>
      <c r="C1204" s="63"/>
      <c r="D1204" s="64"/>
      <c r="E1204" s="65"/>
      <c r="F1204" s="66"/>
      <c r="G1204" s="63"/>
      <c r="H1204" s="67"/>
      <c r="I1204" s="68"/>
      <c r="J1204" s="68"/>
      <c r="K1204" s="32" t="s">
        <v>65</v>
      </c>
      <c r="L1204" s="75">
        <v>1204</v>
      </c>
      <c r="M1204" s="75"/>
      <c r="N1204" s="70"/>
      <c r="O1204" s="77" t="s">
        <v>572</v>
      </c>
      <c r="P1204" s="79">
        <v>45268.32202546296</v>
      </c>
      <c r="Q1204" s="77" t="s">
        <v>1583</v>
      </c>
      <c r="R1204" s="77">
        <v>0</v>
      </c>
      <c r="S1204" s="77">
        <v>0</v>
      </c>
      <c r="T1204" s="77">
        <v>0</v>
      </c>
      <c r="U1204" s="77">
        <v>0</v>
      </c>
      <c r="V1204" s="77">
        <v>8</v>
      </c>
      <c r="W1204" s="81" t="s">
        <v>1871</v>
      </c>
      <c r="X1204" s="80" t="str">
        <f>HYPERLINK("https://inovies.com")</f>
        <v>https://inovies.com</v>
      </c>
      <c r="Y1204" s="77" t="s">
        <v>1982</v>
      </c>
      <c r="Z1204" s="77"/>
      <c r="AA1204" s="77" t="s">
        <v>2598</v>
      </c>
      <c r="AB1204" s="77" t="s">
        <v>2696</v>
      </c>
      <c r="AC1204" s="81" t="s">
        <v>2707</v>
      </c>
      <c r="AD1204" s="77" t="s">
        <v>2752</v>
      </c>
      <c r="AE1204" s="80" t="str">
        <f>HYPERLINK("https://twitter.com/inovies/status/1733029575813116396")</f>
        <v>https://twitter.com/inovies/status/1733029575813116396</v>
      </c>
      <c r="AF1204" s="79">
        <v>45268.32202546296</v>
      </c>
      <c r="AG1204" s="85">
        <v>45268</v>
      </c>
      <c r="AH1204" s="81" t="s">
        <v>3761</v>
      </c>
      <c r="AI1204" s="77" t="b">
        <v>0</v>
      </c>
      <c r="AJ1204" s="77"/>
      <c r="AK1204" s="77"/>
      <c r="AL1204" s="77"/>
      <c r="AM1204" s="77"/>
      <c r="AN1204" s="77"/>
      <c r="AO1204" s="77"/>
      <c r="AP1204" s="77"/>
      <c r="AQ1204" s="77" t="s">
        <v>4412</v>
      </c>
      <c r="AR1204" s="77"/>
      <c r="AS1204" s="77"/>
      <c r="AT1204" s="77"/>
      <c r="AU1204" s="77"/>
      <c r="AV1204" s="80" t="str">
        <f>HYPERLINK("https://pbs.twimg.com/media/GAz1NgyXkAA5cvy.jpg")</f>
        <v>https://pbs.twimg.com/media/GAz1NgyXkAA5cvy.jpg</v>
      </c>
      <c r="AW1204" s="81" t="s">
        <v>5547</v>
      </c>
      <c r="AX1204" s="81" t="s">
        <v>5557</v>
      </c>
      <c r="AY1204" s="81" t="s">
        <v>5721</v>
      </c>
      <c r="AZ1204" s="81" t="s">
        <v>5557</v>
      </c>
      <c r="BA1204" s="81" t="s">
        <v>5773</v>
      </c>
      <c r="BB1204" s="81" t="s">
        <v>5773</v>
      </c>
      <c r="BC1204" s="81" t="s">
        <v>5557</v>
      </c>
      <c r="BD1204" s="77">
        <v>297885438</v>
      </c>
      <c r="BE1204" s="77"/>
      <c r="BF1204" s="77"/>
      <c r="BG1204" s="77"/>
      <c r="BH1204" s="77"/>
      <c r="BI1204" s="77"/>
    </row>
    <row r="1205" spans="1:61" ht="15">
      <c r="A1205" s="62" t="s">
        <v>299</v>
      </c>
      <c r="B1205" s="62" t="s">
        <v>299</v>
      </c>
      <c r="C1205" s="63"/>
      <c r="D1205" s="64"/>
      <c r="E1205" s="65"/>
      <c r="F1205" s="66"/>
      <c r="G1205" s="63"/>
      <c r="H1205" s="67"/>
      <c r="I1205" s="68"/>
      <c r="J1205" s="68"/>
      <c r="K1205" s="32" t="s">
        <v>65</v>
      </c>
      <c r="L1205" s="75">
        <v>1205</v>
      </c>
      <c r="M1205" s="75"/>
      <c r="N1205" s="70"/>
      <c r="O1205" s="77" t="s">
        <v>572</v>
      </c>
      <c r="P1205" s="79">
        <v>45268.32136574074</v>
      </c>
      <c r="Q1205" s="77" t="s">
        <v>1584</v>
      </c>
      <c r="R1205" s="77">
        <v>0</v>
      </c>
      <c r="S1205" s="77">
        <v>0</v>
      </c>
      <c r="T1205" s="77">
        <v>0</v>
      </c>
      <c r="U1205" s="77">
        <v>0</v>
      </c>
      <c r="V1205" s="77">
        <v>8</v>
      </c>
      <c r="W1205" s="81" t="s">
        <v>1871</v>
      </c>
      <c r="X1205" s="80" t="str">
        <f>HYPERLINK("https://inovies.com")</f>
        <v>https://inovies.com</v>
      </c>
      <c r="Y1205" s="77" t="s">
        <v>1982</v>
      </c>
      <c r="Z1205" s="77"/>
      <c r="AA1205" s="77" t="s">
        <v>2599</v>
      </c>
      <c r="AB1205" s="77" t="s">
        <v>2696</v>
      </c>
      <c r="AC1205" s="81" t="s">
        <v>2707</v>
      </c>
      <c r="AD1205" s="77" t="s">
        <v>2752</v>
      </c>
      <c r="AE1205" s="80" t="str">
        <f>HYPERLINK("https://twitter.com/inovies/status/1733029335022383268")</f>
        <v>https://twitter.com/inovies/status/1733029335022383268</v>
      </c>
      <c r="AF1205" s="79">
        <v>45268.32136574074</v>
      </c>
      <c r="AG1205" s="85">
        <v>45268</v>
      </c>
      <c r="AH1205" s="81" t="s">
        <v>3762</v>
      </c>
      <c r="AI1205" s="77" t="b">
        <v>0</v>
      </c>
      <c r="AJ1205" s="77"/>
      <c r="AK1205" s="77"/>
      <c r="AL1205" s="77"/>
      <c r="AM1205" s="77"/>
      <c r="AN1205" s="77"/>
      <c r="AO1205" s="77"/>
      <c r="AP1205" s="77"/>
      <c r="AQ1205" s="77" t="s">
        <v>4413</v>
      </c>
      <c r="AR1205" s="77"/>
      <c r="AS1205" s="77"/>
      <c r="AT1205" s="77"/>
      <c r="AU1205" s="77"/>
      <c r="AV1205" s="80" t="str">
        <f>HYPERLINK("https://pbs.twimg.com/media/GAz0-0jXMAA-B-Z.jpg")</f>
        <v>https://pbs.twimg.com/media/GAz0-0jXMAA-B-Z.jpg</v>
      </c>
      <c r="AW1205" s="81" t="s">
        <v>5548</v>
      </c>
      <c r="AX1205" s="81" t="s">
        <v>5557</v>
      </c>
      <c r="AY1205" s="81" t="s">
        <v>5721</v>
      </c>
      <c r="AZ1205" s="81" t="s">
        <v>5557</v>
      </c>
      <c r="BA1205" s="81" t="s">
        <v>5773</v>
      </c>
      <c r="BB1205" s="81" t="s">
        <v>5773</v>
      </c>
      <c r="BC1205" s="81" t="s">
        <v>5557</v>
      </c>
      <c r="BD1205" s="77">
        <v>297885438</v>
      </c>
      <c r="BE1205" s="77"/>
      <c r="BF1205" s="77"/>
      <c r="BG1205" s="77"/>
      <c r="BH1205" s="77"/>
      <c r="BI1205" s="77"/>
    </row>
    <row r="1206" spans="1:61" ht="15">
      <c r="A1206" s="62" t="s">
        <v>299</v>
      </c>
      <c r="B1206" s="62" t="s">
        <v>299</v>
      </c>
      <c r="C1206" s="63"/>
      <c r="D1206" s="64"/>
      <c r="E1206" s="65"/>
      <c r="F1206" s="66"/>
      <c r="G1206" s="63"/>
      <c r="H1206" s="67"/>
      <c r="I1206" s="68"/>
      <c r="J1206" s="68"/>
      <c r="K1206" s="32" t="s">
        <v>65</v>
      </c>
      <c r="L1206" s="75">
        <v>1206</v>
      </c>
      <c r="M1206" s="75"/>
      <c r="N1206" s="70"/>
      <c r="O1206" s="77" t="s">
        <v>572</v>
      </c>
      <c r="P1206" s="79">
        <v>45268.320868055554</v>
      </c>
      <c r="Q1206" s="77" t="s">
        <v>1585</v>
      </c>
      <c r="R1206" s="77">
        <v>0</v>
      </c>
      <c r="S1206" s="77">
        <v>0</v>
      </c>
      <c r="T1206" s="77">
        <v>0</v>
      </c>
      <c r="U1206" s="77">
        <v>0</v>
      </c>
      <c r="V1206" s="77">
        <v>8</v>
      </c>
      <c r="W1206" s="81" t="s">
        <v>1871</v>
      </c>
      <c r="X1206" s="80" t="str">
        <f>HYPERLINK("https://inovies.com")</f>
        <v>https://inovies.com</v>
      </c>
      <c r="Y1206" s="77" t="s">
        <v>1982</v>
      </c>
      <c r="Z1206" s="77"/>
      <c r="AA1206" s="77" t="s">
        <v>2600</v>
      </c>
      <c r="AB1206" s="77" t="s">
        <v>2696</v>
      </c>
      <c r="AC1206" s="81" t="s">
        <v>2707</v>
      </c>
      <c r="AD1206" s="77" t="s">
        <v>2752</v>
      </c>
      <c r="AE1206" s="80" t="str">
        <f>HYPERLINK("https://twitter.com/inovies/status/1733029155464163448")</f>
        <v>https://twitter.com/inovies/status/1733029155464163448</v>
      </c>
      <c r="AF1206" s="79">
        <v>45268.320868055554</v>
      </c>
      <c r="AG1206" s="85">
        <v>45268</v>
      </c>
      <c r="AH1206" s="81" t="s">
        <v>3763</v>
      </c>
      <c r="AI1206" s="77" t="b">
        <v>0</v>
      </c>
      <c r="AJ1206" s="77"/>
      <c r="AK1206" s="77"/>
      <c r="AL1206" s="77"/>
      <c r="AM1206" s="77"/>
      <c r="AN1206" s="77"/>
      <c r="AO1206" s="77"/>
      <c r="AP1206" s="77"/>
      <c r="AQ1206" s="77" t="s">
        <v>4414</v>
      </c>
      <c r="AR1206" s="77"/>
      <c r="AS1206" s="77"/>
      <c r="AT1206" s="77"/>
      <c r="AU1206" s="77"/>
      <c r="AV1206" s="80" t="str">
        <f>HYPERLINK("https://pbs.twimg.com/media/GAz01DTXkAA9JdQ.jpg")</f>
        <v>https://pbs.twimg.com/media/GAz01DTXkAA9JdQ.jpg</v>
      </c>
      <c r="AW1206" s="81" t="s">
        <v>5549</v>
      </c>
      <c r="AX1206" s="81" t="s">
        <v>5557</v>
      </c>
      <c r="AY1206" s="81" t="s">
        <v>5721</v>
      </c>
      <c r="AZ1206" s="81" t="s">
        <v>5557</v>
      </c>
      <c r="BA1206" s="81" t="s">
        <v>5773</v>
      </c>
      <c r="BB1206" s="81" t="s">
        <v>5773</v>
      </c>
      <c r="BC1206" s="81" t="s">
        <v>5557</v>
      </c>
      <c r="BD1206" s="77">
        <v>297885438</v>
      </c>
      <c r="BE1206" s="77"/>
      <c r="BF1206" s="77"/>
      <c r="BG1206" s="77"/>
      <c r="BH1206" s="77"/>
      <c r="BI1206" s="77"/>
    </row>
    <row r="1207" spans="1:61" ht="15">
      <c r="A1207" s="62" t="s">
        <v>299</v>
      </c>
      <c r="B1207" s="62" t="s">
        <v>299</v>
      </c>
      <c r="C1207" s="63"/>
      <c r="D1207" s="64"/>
      <c r="E1207" s="65"/>
      <c r="F1207" s="66"/>
      <c r="G1207" s="63"/>
      <c r="H1207" s="67"/>
      <c r="I1207" s="68"/>
      <c r="J1207" s="68"/>
      <c r="K1207" s="32" t="s">
        <v>65</v>
      </c>
      <c r="L1207" s="75">
        <v>1207</v>
      </c>
      <c r="M1207" s="75"/>
      <c r="N1207" s="70"/>
      <c r="O1207" s="77" t="s">
        <v>572</v>
      </c>
      <c r="P1207" s="79">
        <v>45268.320393518516</v>
      </c>
      <c r="Q1207" s="77" t="s">
        <v>1586</v>
      </c>
      <c r="R1207" s="77">
        <v>0</v>
      </c>
      <c r="S1207" s="77">
        <v>0</v>
      </c>
      <c r="T1207" s="77">
        <v>0</v>
      </c>
      <c r="U1207" s="77">
        <v>0</v>
      </c>
      <c r="V1207" s="77">
        <v>7</v>
      </c>
      <c r="W1207" s="81" t="s">
        <v>1871</v>
      </c>
      <c r="X1207" s="80" t="str">
        <f>HYPERLINK("https://inovies.com")</f>
        <v>https://inovies.com</v>
      </c>
      <c r="Y1207" s="77" t="s">
        <v>1982</v>
      </c>
      <c r="Z1207" s="77"/>
      <c r="AA1207" s="77" t="s">
        <v>2601</v>
      </c>
      <c r="AB1207" s="77" t="s">
        <v>2696</v>
      </c>
      <c r="AC1207" s="81" t="s">
        <v>2707</v>
      </c>
      <c r="AD1207" s="77" t="s">
        <v>2752</v>
      </c>
      <c r="AE1207" s="80" t="str">
        <f>HYPERLINK("https://twitter.com/inovies/status/1733028984185585999")</f>
        <v>https://twitter.com/inovies/status/1733028984185585999</v>
      </c>
      <c r="AF1207" s="79">
        <v>45268.320393518516</v>
      </c>
      <c r="AG1207" s="85">
        <v>45268</v>
      </c>
      <c r="AH1207" s="81" t="s">
        <v>3764</v>
      </c>
      <c r="AI1207" s="77" t="b">
        <v>0</v>
      </c>
      <c r="AJ1207" s="77"/>
      <c r="AK1207" s="77"/>
      <c r="AL1207" s="77"/>
      <c r="AM1207" s="77"/>
      <c r="AN1207" s="77"/>
      <c r="AO1207" s="77"/>
      <c r="AP1207" s="77"/>
      <c r="AQ1207" s="77" t="s">
        <v>4415</v>
      </c>
      <c r="AR1207" s="77"/>
      <c r="AS1207" s="77"/>
      <c r="AT1207" s="77"/>
      <c r="AU1207" s="77"/>
      <c r="AV1207" s="80" t="str">
        <f>HYPERLINK("https://pbs.twimg.com/media/GAz0rD0XEAApYjH.jpg")</f>
        <v>https://pbs.twimg.com/media/GAz0rD0XEAApYjH.jpg</v>
      </c>
      <c r="AW1207" s="81" t="s">
        <v>5550</v>
      </c>
      <c r="AX1207" s="81" t="s">
        <v>5557</v>
      </c>
      <c r="AY1207" s="81" t="s">
        <v>5721</v>
      </c>
      <c r="AZ1207" s="81" t="s">
        <v>5557</v>
      </c>
      <c r="BA1207" s="81" t="s">
        <v>5773</v>
      </c>
      <c r="BB1207" s="81" t="s">
        <v>5773</v>
      </c>
      <c r="BC1207" s="81" t="s">
        <v>5557</v>
      </c>
      <c r="BD1207" s="77">
        <v>297885438</v>
      </c>
      <c r="BE1207" s="77"/>
      <c r="BF1207" s="77"/>
      <c r="BG1207" s="77"/>
      <c r="BH1207" s="77"/>
      <c r="BI1207" s="77"/>
    </row>
    <row r="1208" spans="1:61" ht="15">
      <c r="A1208" s="62" t="s">
        <v>299</v>
      </c>
      <c r="B1208" s="62" t="s">
        <v>299</v>
      </c>
      <c r="C1208" s="63"/>
      <c r="D1208" s="64"/>
      <c r="E1208" s="65"/>
      <c r="F1208" s="66"/>
      <c r="G1208" s="63"/>
      <c r="H1208" s="67"/>
      <c r="I1208" s="68"/>
      <c r="J1208" s="68"/>
      <c r="K1208" s="32" t="s">
        <v>65</v>
      </c>
      <c r="L1208" s="75">
        <v>1208</v>
      </c>
      <c r="M1208" s="75"/>
      <c r="N1208" s="70"/>
      <c r="O1208" s="77" t="s">
        <v>572</v>
      </c>
      <c r="P1208" s="79">
        <v>45268.31995370371</v>
      </c>
      <c r="Q1208" s="77" t="s">
        <v>1587</v>
      </c>
      <c r="R1208" s="77">
        <v>0</v>
      </c>
      <c r="S1208" s="77">
        <v>0</v>
      </c>
      <c r="T1208" s="77">
        <v>0</v>
      </c>
      <c r="U1208" s="77">
        <v>0</v>
      </c>
      <c r="V1208" s="77">
        <v>6</v>
      </c>
      <c r="W1208" s="81" t="s">
        <v>1871</v>
      </c>
      <c r="X1208" s="80" t="str">
        <f>HYPERLINK("https://inovies.com")</f>
        <v>https://inovies.com</v>
      </c>
      <c r="Y1208" s="77" t="s">
        <v>1982</v>
      </c>
      <c r="Z1208" s="77"/>
      <c r="AA1208" s="77" t="s">
        <v>2602</v>
      </c>
      <c r="AB1208" s="77" t="s">
        <v>2696</v>
      </c>
      <c r="AC1208" s="81" t="s">
        <v>2707</v>
      </c>
      <c r="AD1208" s="77" t="s">
        <v>2752</v>
      </c>
      <c r="AE1208" s="80" t="str">
        <f>HYPERLINK("https://twitter.com/inovies/status/1733028825091514457")</f>
        <v>https://twitter.com/inovies/status/1733028825091514457</v>
      </c>
      <c r="AF1208" s="79">
        <v>45268.31995370371</v>
      </c>
      <c r="AG1208" s="85">
        <v>45268</v>
      </c>
      <c r="AH1208" s="81" t="s">
        <v>3765</v>
      </c>
      <c r="AI1208" s="77" t="b">
        <v>0</v>
      </c>
      <c r="AJ1208" s="77"/>
      <c r="AK1208" s="77"/>
      <c r="AL1208" s="77"/>
      <c r="AM1208" s="77"/>
      <c r="AN1208" s="77"/>
      <c r="AO1208" s="77"/>
      <c r="AP1208" s="77"/>
      <c r="AQ1208" s="77" t="s">
        <v>4416</v>
      </c>
      <c r="AR1208" s="77"/>
      <c r="AS1208" s="77"/>
      <c r="AT1208" s="77"/>
      <c r="AU1208" s="77"/>
      <c r="AV1208" s="80" t="str">
        <f>HYPERLINK("https://pbs.twimg.com/media/GAz0hw-XcAAPJqH.jpg")</f>
        <v>https://pbs.twimg.com/media/GAz0hw-XcAAPJqH.jpg</v>
      </c>
      <c r="AW1208" s="81" t="s">
        <v>5551</v>
      </c>
      <c r="AX1208" s="81" t="s">
        <v>5557</v>
      </c>
      <c r="AY1208" s="81" t="s">
        <v>5721</v>
      </c>
      <c r="AZ1208" s="81" t="s">
        <v>5557</v>
      </c>
      <c r="BA1208" s="81" t="s">
        <v>5773</v>
      </c>
      <c r="BB1208" s="81" t="s">
        <v>5773</v>
      </c>
      <c r="BC1208" s="81" t="s">
        <v>5557</v>
      </c>
      <c r="BD1208" s="77">
        <v>297885438</v>
      </c>
      <c r="BE1208" s="77"/>
      <c r="BF1208" s="77"/>
      <c r="BG1208" s="77"/>
      <c r="BH1208" s="77"/>
      <c r="BI1208" s="77"/>
    </row>
    <row r="1209" spans="1:61" ht="15">
      <c r="A1209" s="62" t="s">
        <v>299</v>
      </c>
      <c r="B1209" s="62" t="s">
        <v>299</v>
      </c>
      <c r="C1209" s="63"/>
      <c r="D1209" s="64"/>
      <c r="E1209" s="65"/>
      <c r="F1209" s="66"/>
      <c r="G1209" s="63"/>
      <c r="H1209" s="67"/>
      <c r="I1209" s="68"/>
      <c r="J1209" s="68"/>
      <c r="K1209" s="32" t="s">
        <v>65</v>
      </c>
      <c r="L1209" s="75">
        <v>1209</v>
      </c>
      <c r="M1209" s="75"/>
      <c r="N1209" s="70"/>
      <c r="O1209" s="77" t="s">
        <v>572</v>
      </c>
      <c r="P1209" s="79">
        <v>45268.31899305555</v>
      </c>
      <c r="Q1209" s="77" t="s">
        <v>1588</v>
      </c>
      <c r="R1209" s="77">
        <v>0</v>
      </c>
      <c r="S1209" s="77">
        <v>0</v>
      </c>
      <c r="T1209" s="77">
        <v>0</v>
      </c>
      <c r="U1209" s="77">
        <v>0</v>
      </c>
      <c r="V1209" s="77">
        <v>6</v>
      </c>
      <c r="W1209" s="81" t="s">
        <v>1871</v>
      </c>
      <c r="X1209" s="80" t="str">
        <f>HYPERLINK("https://inovies.com")</f>
        <v>https://inovies.com</v>
      </c>
      <c r="Y1209" s="77" t="s">
        <v>1982</v>
      </c>
      <c r="Z1209" s="77"/>
      <c r="AA1209" s="77" t="s">
        <v>2603</v>
      </c>
      <c r="AB1209" s="77" t="s">
        <v>2696</v>
      </c>
      <c r="AC1209" s="81" t="s">
        <v>2707</v>
      </c>
      <c r="AD1209" s="77" t="s">
        <v>2752</v>
      </c>
      <c r="AE1209" s="80" t="str">
        <f>HYPERLINK("https://twitter.com/inovies/status/1733028476276330947")</f>
        <v>https://twitter.com/inovies/status/1733028476276330947</v>
      </c>
      <c r="AF1209" s="79">
        <v>45268.31899305555</v>
      </c>
      <c r="AG1209" s="85">
        <v>45268</v>
      </c>
      <c r="AH1209" s="81" t="s">
        <v>3363</v>
      </c>
      <c r="AI1209" s="77" t="b">
        <v>0</v>
      </c>
      <c r="AJ1209" s="77"/>
      <c r="AK1209" s="77"/>
      <c r="AL1209" s="77"/>
      <c r="AM1209" s="77"/>
      <c r="AN1209" s="77"/>
      <c r="AO1209" s="77"/>
      <c r="AP1209" s="77"/>
      <c r="AQ1209" s="77" t="s">
        <v>4417</v>
      </c>
      <c r="AR1209" s="77"/>
      <c r="AS1209" s="77"/>
      <c r="AT1209" s="77"/>
      <c r="AU1209" s="77"/>
      <c r="AV1209" s="80" t="str">
        <f>HYPERLINK("https://pbs.twimg.com/media/GAz0NgDWAAA0zXB.jpg")</f>
        <v>https://pbs.twimg.com/media/GAz0NgDWAAA0zXB.jpg</v>
      </c>
      <c r="AW1209" s="81" t="s">
        <v>5552</v>
      </c>
      <c r="AX1209" s="81" t="s">
        <v>5557</v>
      </c>
      <c r="AY1209" s="81" t="s">
        <v>5721</v>
      </c>
      <c r="AZ1209" s="81" t="s">
        <v>5557</v>
      </c>
      <c r="BA1209" s="81" t="s">
        <v>5773</v>
      </c>
      <c r="BB1209" s="81" t="s">
        <v>5773</v>
      </c>
      <c r="BC1209" s="81" t="s">
        <v>5557</v>
      </c>
      <c r="BD1209" s="77">
        <v>297885438</v>
      </c>
      <c r="BE1209" s="77"/>
      <c r="BF1209" s="77"/>
      <c r="BG1209" s="77"/>
      <c r="BH1209" s="77"/>
      <c r="BI1209" s="77"/>
    </row>
    <row r="1210" spans="1:61" ht="15">
      <c r="A1210" s="62" t="s">
        <v>299</v>
      </c>
      <c r="B1210" s="62" t="s">
        <v>299</v>
      </c>
      <c r="C1210" s="63"/>
      <c r="D1210" s="64"/>
      <c r="E1210" s="65"/>
      <c r="F1210" s="66"/>
      <c r="G1210" s="63"/>
      <c r="H1210" s="67"/>
      <c r="I1210" s="68"/>
      <c r="J1210" s="68"/>
      <c r="K1210" s="32" t="s">
        <v>65</v>
      </c>
      <c r="L1210" s="75">
        <v>1210</v>
      </c>
      <c r="M1210" s="75"/>
      <c r="N1210" s="70"/>
      <c r="O1210" s="77" t="s">
        <v>572</v>
      </c>
      <c r="P1210" s="79">
        <v>45268.318506944444</v>
      </c>
      <c r="Q1210" s="77" t="s">
        <v>1589</v>
      </c>
      <c r="R1210" s="77">
        <v>0</v>
      </c>
      <c r="S1210" s="77">
        <v>0</v>
      </c>
      <c r="T1210" s="77">
        <v>0</v>
      </c>
      <c r="U1210" s="77">
        <v>0</v>
      </c>
      <c r="V1210" s="77">
        <v>6</v>
      </c>
      <c r="W1210" s="81" t="s">
        <v>1871</v>
      </c>
      <c r="X1210" s="80" t="str">
        <f>HYPERLINK("https://inovies.com")</f>
        <v>https://inovies.com</v>
      </c>
      <c r="Y1210" s="77" t="s">
        <v>1982</v>
      </c>
      <c r="Z1210" s="77"/>
      <c r="AA1210" s="77" t="s">
        <v>2604</v>
      </c>
      <c r="AB1210" s="77" t="s">
        <v>2696</v>
      </c>
      <c r="AC1210" s="81" t="s">
        <v>2707</v>
      </c>
      <c r="AD1210" s="77" t="s">
        <v>2752</v>
      </c>
      <c r="AE1210" s="80" t="str">
        <f>HYPERLINK("https://twitter.com/inovies/status/1733028298572132795")</f>
        <v>https://twitter.com/inovies/status/1733028298572132795</v>
      </c>
      <c r="AF1210" s="79">
        <v>45268.318506944444</v>
      </c>
      <c r="AG1210" s="85">
        <v>45268</v>
      </c>
      <c r="AH1210" s="81" t="s">
        <v>3766</v>
      </c>
      <c r="AI1210" s="77" t="b">
        <v>0</v>
      </c>
      <c r="AJ1210" s="77"/>
      <c r="AK1210" s="77"/>
      <c r="AL1210" s="77"/>
      <c r="AM1210" s="77"/>
      <c r="AN1210" s="77"/>
      <c r="AO1210" s="77"/>
      <c r="AP1210" s="77"/>
      <c r="AQ1210" s="77" t="s">
        <v>4418</v>
      </c>
      <c r="AR1210" s="77"/>
      <c r="AS1210" s="77"/>
      <c r="AT1210" s="77"/>
      <c r="AU1210" s="77"/>
      <c r="AV1210" s="80" t="str">
        <f>HYPERLINK("https://pbs.twimg.com/media/GAz0DFLWwAArj0H.jpg")</f>
        <v>https://pbs.twimg.com/media/GAz0DFLWwAArj0H.jpg</v>
      </c>
      <c r="AW1210" s="81" t="s">
        <v>5553</v>
      </c>
      <c r="AX1210" s="81" t="s">
        <v>5557</v>
      </c>
      <c r="AY1210" s="81" t="s">
        <v>5721</v>
      </c>
      <c r="AZ1210" s="81" t="s">
        <v>5557</v>
      </c>
      <c r="BA1210" s="81" t="s">
        <v>5773</v>
      </c>
      <c r="BB1210" s="81" t="s">
        <v>5773</v>
      </c>
      <c r="BC1210" s="81" t="s">
        <v>5557</v>
      </c>
      <c r="BD1210" s="77">
        <v>297885438</v>
      </c>
      <c r="BE1210" s="77"/>
      <c r="BF1210" s="77"/>
      <c r="BG1210" s="77"/>
      <c r="BH1210" s="77"/>
      <c r="BI1210" s="77"/>
    </row>
    <row r="1211" spans="1:61" ht="15">
      <c r="A1211" s="62" t="s">
        <v>299</v>
      </c>
      <c r="B1211" s="62" t="s">
        <v>299</v>
      </c>
      <c r="C1211" s="63"/>
      <c r="D1211" s="64"/>
      <c r="E1211" s="65"/>
      <c r="F1211" s="66"/>
      <c r="G1211" s="63"/>
      <c r="H1211" s="67"/>
      <c r="I1211" s="68"/>
      <c r="J1211" s="68"/>
      <c r="K1211" s="32" t="s">
        <v>65</v>
      </c>
      <c r="L1211" s="75">
        <v>1211</v>
      </c>
      <c r="M1211" s="75"/>
      <c r="N1211" s="70"/>
      <c r="O1211" s="77" t="s">
        <v>572</v>
      </c>
      <c r="P1211" s="79">
        <v>45268.31789351852</v>
      </c>
      <c r="Q1211" s="77" t="s">
        <v>1590</v>
      </c>
      <c r="R1211" s="77">
        <v>0</v>
      </c>
      <c r="S1211" s="77">
        <v>0</v>
      </c>
      <c r="T1211" s="77">
        <v>0</v>
      </c>
      <c r="U1211" s="77">
        <v>0</v>
      </c>
      <c r="V1211" s="77">
        <v>6</v>
      </c>
      <c r="W1211" s="81" t="s">
        <v>1871</v>
      </c>
      <c r="X1211" s="80" t="str">
        <f>HYPERLINK("https://inovies.com")</f>
        <v>https://inovies.com</v>
      </c>
      <c r="Y1211" s="77" t="s">
        <v>1982</v>
      </c>
      <c r="Z1211" s="77"/>
      <c r="AA1211" s="77" t="s">
        <v>2605</v>
      </c>
      <c r="AB1211" s="77" t="s">
        <v>2696</v>
      </c>
      <c r="AC1211" s="81" t="s">
        <v>2707</v>
      </c>
      <c r="AD1211" s="77" t="s">
        <v>2752</v>
      </c>
      <c r="AE1211" s="80" t="str">
        <f>HYPERLINK("https://twitter.com/inovies/status/1733028079855890540")</f>
        <v>https://twitter.com/inovies/status/1733028079855890540</v>
      </c>
      <c r="AF1211" s="79">
        <v>45268.31789351852</v>
      </c>
      <c r="AG1211" s="85">
        <v>45268</v>
      </c>
      <c r="AH1211" s="81" t="s">
        <v>3767</v>
      </c>
      <c r="AI1211" s="77" t="b">
        <v>0</v>
      </c>
      <c r="AJ1211" s="77"/>
      <c r="AK1211" s="77"/>
      <c r="AL1211" s="77"/>
      <c r="AM1211" s="77"/>
      <c r="AN1211" s="77"/>
      <c r="AO1211" s="77"/>
      <c r="AP1211" s="77"/>
      <c r="AQ1211" s="77" t="s">
        <v>4419</v>
      </c>
      <c r="AR1211" s="77"/>
      <c r="AS1211" s="77"/>
      <c r="AT1211" s="77"/>
      <c r="AU1211" s="77"/>
      <c r="AV1211" s="80" t="str">
        <f>HYPERLINK("https://pbs.twimg.com/media/GAzz2TcXkAA6rsS.jpg")</f>
        <v>https://pbs.twimg.com/media/GAzz2TcXkAA6rsS.jpg</v>
      </c>
      <c r="AW1211" s="81" t="s">
        <v>5554</v>
      </c>
      <c r="AX1211" s="81" t="s">
        <v>5557</v>
      </c>
      <c r="AY1211" s="81" t="s">
        <v>5721</v>
      </c>
      <c r="AZ1211" s="81" t="s">
        <v>5557</v>
      </c>
      <c r="BA1211" s="81" t="s">
        <v>5773</v>
      </c>
      <c r="BB1211" s="81" t="s">
        <v>5773</v>
      </c>
      <c r="BC1211" s="81" t="s">
        <v>5557</v>
      </c>
      <c r="BD1211" s="77">
        <v>297885438</v>
      </c>
      <c r="BE1211" s="77"/>
      <c r="BF1211" s="77"/>
      <c r="BG1211" s="77"/>
      <c r="BH1211" s="77"/>
      <c r="BI1211" s="77"/>
    </row>
    <row r="1212" spans="1:61" ht="15">
      <c r="A1212" s="62" t="s">
        <v>299</v>
      </c>
      <c r="B1212" s="62" t="s">
        <v>299</v>
      </c>
      <c r="C1212" s="63"/>
      <c r="D1212" s="64"/>
      <c r="E1212" s="65"/>
      <c r="F1212" s="66"/>
      <c r="G1212" s="63"/>
      <c r="H1212" s="67"/>
      <c r="I1212" s="68"/>
      <c r="J1212" s="68"/>
      <c r="K1212" s="32" t="s">
        <v>65</v>
      </c>
      <c r="L1212" s="75">
        <v>1212</v>
      </c>
      <c r="M1212" s="75"/>
      <c r="N1212" s="70"/>
      <c r="O1212" s="77" t="s">
        <v>572</v>
      </c>
      <c r="P1212" s="79">
        <v>45268.31700231481</v>
      </c>
      <c r="Q1212" s="77" t="s">
        <v>1591</v>
      </c>
      <c r="R1212" s="77">
        <v>0</v>
      </c>
      <c r="S1212" s="77">
        <v>0</v>
      </c>
      <c r="T1212" s="77">
        <v>0</v>
      </c>
      <c r="U1212" s="77">
        <v>0</v>
      </c>
      <c r="V1212" s="77">
        <v>6</v>
      </c>
      <c r="W1212" s="81" t="s">
        <v>1871</v>
      </c>
      <c r="X1212" s="80" t="str">
        <f>HYPERLINK("https://inovies.com")</f>
        <v>https://inovies.com</v>
      </c>
      <c r="Y1212" s="77" t="s">
        <v>1982</v>
      </c>
      <c r="Z1212" s="77"/>
      <c r="AA1212" s="77" t="s">
        <v>2606</v>
      </c>
      <c r="AB1212" s="77" t="s">
        <v>2696</v>
      </c>
      <c r="AC1212" s="81" t="s">
        <v>2707</v>
      </c>
      <c r="AD1212" s="77" t="s">
        <v>2752</v>
      </c>
      <c r="AE1212" s="80" t="str">
        <f>HYPERLINK("https://twitter.com/inovies/status/1733027756508635536")</f>
        <v>https://twitter.com/inovies/status/1733027756508635536</v>
      </c>
      <c r="AF1212" s="79">
        <v>45268.31700231481</v>
      </c>
      <c r="AG1212" s="85">
        <v>45268</v>
      </c>
      <c r="AH1212" s="81" t="s">
        <v>3768</v>
      </c>
      <c r="AI1212" s="77" t="b">
        <v>0</v>
      </c>
      <c r="AJ1212" s="77"/>
      <c r="AK1212" s="77"/>
      <c r="AL1212" s="77"/>
      <c r="AM1212" s="77"/>
      <c r="AN1212" s="77"/>
      <c r="AO1212" s="77"/>
      <c r="AP1212" s="77"/>
      <c r="AQ1212" s="77" t="s">
        <v>4420</v>
      </c>
      <c r="AR1212" s="77"/>
      <c r="AS1212" s="77"/>
      <c r="AT1212" s="77"/>
      <c r="AU1212" s="77"/>
      <c r="AV1212" s="80" t="str">
        <f>HYPERLINK("https://pbs.twimg.com/media/GAzzjTaXgAAgZEY.jpg")</f>
        <v>https://pbs.twimg.com/media/GAzzjTaXgAAgZEY.jpg</v>
      </c>
      <c r="AW1212" s="81" t="s">
        <v>5555</v>
      </c>
      <c r="AX1212" s="81" t="s">
        <v>5557</v>
      </c>
      <c r="AY1212" s="81" t="s">
        <v>5721</v>
      </c>
      <c r="AZ1212" s="81" t="s">
        <v>5557</v>
      </c>
      <c r="BA1212" s="81" t="s">
        <v>5773</v>
      </c>
      <c r="BB1212" s="81" t="s">
        <v>5773</v>
      </c>
      <c r="BC1212" s="81" t="s">
        <v>5557</v>
      </c>
      <c r="BD1212" s="77">
        <v>297885438</v>
      </c>
      <c r="BE1212" s="77"/>
      <c r="BF1212" s="77"/>
      <c r="BG1212" s="77"/>
      <c r="BH1212" s="77"/>
      <c r="BI1212" s="77"/>
    </row>
    <row r="1213" spans="1:61" ht="15">
      <c r="A1213" s="62" t="s">
        <v>299</v>
      </c>
      <c r="B1213" s="62" t="s">
        <v>299</v>
      </c>
      <c r="C1213" s="63"/>
      <c r="D1213" s="64"/>
      <c r="E1213" s="65"/>
      <c r="F1213" s="66"/>
      <c r="G1213" s="63"/>
      <c r="H1213" s="67"/>
      <c r="I1213" s="68"/>
      <c r="J1213" s="68"/>
      <c r="K1213" s="32" t="s">
        <v>65</v>
      </c>
      <c r="L1213" s="75">
        <v>1213</v>
      </c>
      <c r="M1213" s="75"/>
      <c r="N1213" s="70"/>
      <c r="O1213" s="77" t="s">
        <v>572</v>
      </c>
      <c r="P1213" s="79">
        <v>45268.31422453704</v>
      </c>
      <c r="Q1213" s="77" t="s">
        <v>1592</v>
      </c>
      <c r="R1213" s="77">
        <v>0</v>
      </c>
      <c r="S1213" s="77">
        <v>0</v>
      </c>
      <c r="T1213" s="77">
        <v>0</v>
      </c>
      <c r="U1213" s="77">
        <v>0</v>
      </c>
      <c r="V1213" s="77">
        <v>7</v>
      </c>
      <c r="W1213" s="81" t="s">
        <v>1871</v>
      </c>
      <c r="X1213" s="80" t="str">
        <f>HYPERLINK("https://inovies.com")</f>
        <v>https://inovies.com</v>
      </c>
      <c r="Y1213" s="77" t="s">
        <v>1982</v>
      </c>
      <c r="Z1213" s="77"/>
      <c r="AA1213" s="77" t="s">
        <v>2607</v>
      </c>
      <c r="AB1213" s="77" t="s">
        <v>2696</v>
      </c>
      <c r="AC1213" s="81" t="s">
        <v>2707</v>
      </c>
      <c r="AD1213" s="77" t="s">
        <v>2752</v>
      </c>
      <c r="AE1213" s="80" t="str">
        <f>HYPERLINK("https://twitter.com/inovies/status/1733026748843839811")</f>
        <v>https://twitter.com/inovies/status/1733026748843839811</v>
      </c>
      <c r="AF1213" s="79">
        <v>45268.31422453704</v>
      </c>
      <c r="AG1213" s="85">
        <v>45268</v>
      </c>
      <c r="AH1213" s="81" t="s">
        <v>3769</v>
      </c>
      <c r="AI1213" s="77" t="b">
        <v>0</v>
      </c>
      <c r="AJ1213" s="77"/>
      <c r="AK1213" s="77"/>
      <c r="AL1213" s="77"/>
      <c r="AM1213" s="77"/>
      <c r="AN1213" s="77"/>
      <c r="AO1213" s="77"/>
      <c r="AP1213" s="77"/>
      <c r="AQ1213" s="77" t="s">
        <v>4421</v>
      </c>
      <c r="AR1213" s="77"/>
      <c r="AS1213" s="77"/>
      <c r="AT1213" s="77"/>
      <c r="AU1213" s="77"/>
      <c r="AV1213" s="80" t="str">
        <f>HYPERLINK("https://pbs.twimg.com/media/GAzyovwX0AAhzLl.jpg")</f>
        <v>https://pbs.twimg.com/media/GAzyovwX0AAhzLl.jpg</v>
      </c>
      <c r="AW1213" s="81" t="s">
        <v>5556</v>
      </c>
      <c r="AX1213" s="81" t="s">
        <v>5557</v>
      </c>
      <c r="AY1213" s="81" t="s">
        <v>5721</v>
      </c>
      <c r="AZ1213" s="81" t="s">
        <v>5557</v>
      </c>
      <c r="BA1213" s="81" t="s">
        <v>5773</v>
      </c>
      <c r="BB1213" s="81" t="s">
        <v>5773</v>
      </c>
      <c r="BC1213" s="81" t="s">
        <v>5557</v>
      </c>
      <c r="BD1213" s="77">
        <v>297885438</v>
      </c>
      <c r="BE1213" s="77"/>
      <c r="BF1213" s="77"/>
      <c r="BG1213" s="77"/>
      <c r="BH1213" s="77"/>
      <c r="BI1213" s="77"/>
    </row>
    <row r="1214" spans="1:61" ht="15">
      <c r="A1214" s="62" t="s">
        <v>299</v>
      </c>
      <c r="B1214" s="62" t="s">
        <v>299</v>
      </c>
      <c r="C1214" s="63"/>
      <c r="D1214" s="64"/>
      <c r="E1214" s="65"/>
      <c r="F1214" s="66"/>
      <c r="G1214" s="63"/>
      <c r="H1214" s="67"/>
      <c r="I1214" s="68"/>
      <c r="J1214" s="68"/>
      <c r="K1214" s="32" t="s">
        <v>65</v>
      </c>
      <c r="L1214" s="75">
        <v>1214</v>
      </c>
      <c r="M1214" s="75"/>
      <c r="N1214" s="70"/>
      <c r="O1214" s="77" t="s">
        <v>179</v>
      </c>
      <c r="P1214" s="79">
        <v>45268.30804398148</v>
      </c>
      <c r="Q1214" s="77" t="s">
        <v>1593</v>
      </c>
      <c r="R1214" s="77">
        <v>0</v>
      </c>
      <c r="S1214" s="77">
        <v>0</v>
      </c>
      <c r="T1214" s="77">
        <v>23</v>
      </c>
      <c r="U1214" s="77">
        <v>0</v>
      </c>
      <c r="V1214" s="77">
        <v>28</v>
      </c>
      <c r="W1214" s="81" t="s">
        <v>1871</v>
      </c>
      <c r="X1214" s="80" t="str">
        <f>HYPERLINK("https://inovies.com")</f>
        <v>https://inovies.com</v>
      </c>
      <c r="Y1214" s="77" t="s">
        <v>1982</v>
      </c>
      <c r="Z1214" s="77"/>
      <c r="AA1214" s="77" t="s">
        <v>2608</v>
      </c>
      <c r="AB1214" s="77" t="s">
        <v>2696</v>
      </c>
      <c r="AC1214" s="81" t="s">
        <v>2707</v>
      </c>
      <c r="AD1214" s="77" t="s">
        <v>2752</v>
      </c>
      <c r="AE1214" s="80" t="str">
        <f>HYPERLINK("https://twitter.com/inovies/status/1733024507864953074")</f>
        <v>https://twitter.com/inovies/status/1733024507864953074</v>
      </c>
      <c r="AF1214" s="79">
        <v>45268.30804398148</v>
      </c>
      <c r="AG1214" s="85">
        <v>45268</v>
      </c>
      <c r="AH1214" s="81" t="s">
        <v>3770</v>
      </c>
      <c r="AI1214" s="77" t="b">
        <v>0</v>
      </c>
      <c r="AJ1214" s="77"/>
      <c r="AK1214" s="77"/>
      <c r="AL1214" s="77"/>
      <c r="AM1214" s="77"/>
      <c r="AN1214" s="77"/>
      <c r="AO1214" s="77"/>
      <c r="AP1214" s="77"/>
      <c r="AQ1214" s="77" t="s">
        <v>4422</v>
      </c>
      <c r="AR1214" s="77"/>
      <c r="AS1214" s="77"/>
      <c r="AT1214" s="77"/>
      <c r="AU1214" s="77"/>
      <c r="AV1214" s="80" t="str">
        <f>HYPERLINK("https://pbs.twimg.com/media/GAzwjUaXoAAKZ3t.jpg")</f>
        <v>https://pbs.twimg.com/media/GAzwjUaXoAAKZ3t.jpg</v>
      </c>
      <c r="AW1214" s="81" t="s">
        <v>5557</v>
      </c>
      <c r="AX1214" s="81" t="s">
        <v>5557</v>
      </c>
      <c r="AY1214" s="77"/>
      <c r="AZ1214" s="81" t="s">
        <v>5773</v>
      </c>
      <c r="BA1214" s="81" t="s">
        <v>5773</v>
      </c>
      <c r="BB1214" s="81" t="s">
        <v>5773</v>
      </c>
      <c r="BC1214" s="81" t="s">
        <v>5557</v>
      </c>
      <c r="BD1214" s="77">
        <v>297885438</v>
      </c>
      <c r="BE1214" s="77"/>
      <c r="BF1214" s="77"/>
      <c r="BG1214" s="77"/>
      <c r="BH1214" s="77"/>
      <c r="BI1214" s="77"/>
    </row>
    <row r="1215" spans="1:61" ht="15">
      <c r="A1215" s="62" t="s">
        <v>299</v>
      </c>
      <c r="B1215" s="62" t="s">
        <v>299</v>
      </c>
      <c r="C1215" s="63"/>
      <c r="D1215" s="64"/>
      <c r="E1215" s="65"/>
      <c r="F1215" s="66"/>
      <c r="G1215" s="63"/>
      <c r="H1215" s="67"/>
      <c r="I1215" s="68"/>
      <c r="J1215" s="68"/>
      <c r="K1215" s="32" t="s">
        <v>65</v>
      </c>
      <c r="L1215" s="75">
        <v>1215</v>
      </c>
      <c r="M1215" s="75"/>
      <c r="N1215" s="70"/>
      <c r="O1215" s="77" t="s">
        <v>179</v>
      </c>
      <c r="P1215" s="79">
        <v>45267.86268518519</v>
      </c>
      <c r="Q1215" s="77" t="s">
        <v>1594</v>
      </c>
      <c r="R1215" s="77">
        <v>0</v>
      </c>
      <c r="S1215" s="77">
        <v>0</v>
      </c>
      <c r="T1215" s="77">
        <v>0</v>
      </c>
      <c r="U1215" s="77">
        <v>0</v>
      </c>
      <c r="V1215" s="77">
        <v>18</v>
      </c>
      <c r="W1215" s="81" t="s">
        <v>1871</v>
      </c>
      <c r="X1215" s="80" t="str">
        <f>HYPERLINK("https://inovies.com")</f>
        <v>https://inovies.com</v>
      </c>
      <c r="Y1215" s="77" t="s">
        <v>1982</v>
      </c>
      <c r="Z1215" s="77"/>
      <c r="AA1215" s="77" t="s">
        <v>2609</v>
      </c>
      <c r="AB1215" s="77" t="s">
        <v>2696</v>
      </c>
      <c r="AC1215" s="81" t="s">
        <v>2707</v>
      </c>
      <c r="AD1215" s="77" t="s">
        <v>2752</v>
      </c>
      <c r="AE1215" s="80" t="str">
        <f>HYPERLINK("https://twitter.com/inovies/status/1732863117250441417")</f>
        <v>https://twitter.com/inovies/status/1732863117250441417</v>
      </c>
      <c r="AF1215" s="79">
        <v>45267.86268518519</v>
      </c>
      <c r="AG1215" s="85">
        <v>45267</v>
      </c>
      <c r="AH1215" s="81" t="s">
        <v>3771</v>
      </c>
      <c r="AI1215" s="77" t="b">
        <v>0</v>
      </c>
      <c r="AJ1215" s="77"/>
      <c r="AK1215" s="77"/>
      <c r="AL1215" s="77"/>
      <c r="AM1215" s="77"/>
      <c r="AN1215" s="77"/>
      <c r="AO1215" s="77"/>
      <c r="AP1215" s="77"/>
      <c r="AQ1215" s="77" t="s">
        <v>4423</v>
      </c>
      <c r="AR1215" s="77"/>
      <c r="AS1215" s="77"/>
      <c r="AT1215" s="77"/>
      <c r="AU1215" s="77"/>
      <c r="AV1215" s="80" t="str">
        <f>HYPERLINK("https://pbs.twimg.com/media/GAxdzr7WsAAvbfa.jpg")</f>
        <v>https://pbs.twimg.com/media/GAxdzr7WsAAvbfa.jpg</v>
      </c>
      <c r="AW1215" s="81" t="s">
        <v>5558</v>
      </c>
      <c r="AX1215" s="81" t="s">
        <v>5558</v>
      </c>
      <c r="AY1215" s="77"/>
      <c r="AZ1215" s="81" t="s">
        <v>5773</v>
      </c>
      <c r="BA1215" s="81" t="s">
        <v>5773</v>
      </c>
      <c r="BB1215" s="81" t="s">
        <v>5773</v>
      </c>
      <c r="BC1215" s="81" t="s">
        <v>5558</v>
      </c>
      <c r="BD1215" s="77">
        <v>297885438</v>
      </c>
      <c r="BE1215" s="77"/>
      <c r="BF1215" s="77"/>
      <c r="BG1215" s="77"/>
      <c r="BH1215" s="77"/>
      <c r="BI1215" s="77"/>
    </row>
    <row r="1216" spans="1:61" ht="15">
      <c r="A1216" s="62" t="s">
        <v>299</v>
      </c>
      <c r="B1216" s="62" t="s">
        <v>299</v>
      </c>
      <c r="C1216" s="63"/>
      <c r="D1216" s="64"/>
      <c r="E1216" s="65"/>
      <c r="F1216" s="66"/>
      <c r="G1216" s="63"/>
      <c r="H1216" s="67"/>
      <c r="I1216" s="68"/>
      <c r="J1216" s="68"/>
      <c r="K1216" s="32" t="s">
        <v>65</v>
      </c>
      <c r="L1216" s="75">
        <v>1216</v>
      </c>
      <c r="M1216" s="75"/>
      <c r="N1216" s="70"/>
      <c r="O1216" s="77" t="s">
        <v>179</v>
      </c>
      <c r="P1216" s="79">
        <v>45267.8618287037</v>
      </c>
      <c r="Q1216" s="77" t="s">
        <v>1595</v>
      </c>
      <c r="R1216" s="77">
        <v>0</v>
      </c>
      <c r="S1216" s="77">
        <v>0</v>
      </c>
      <c r="T1216" s="77">
        <v>0</v>
      </c>
      <c r="U1216" s="77">
        <v>0</v>
      </c>
      <c r="V1216" s="77">
        <v>12</v>
      </c>
      <c r="W1216" s="81" t="s">
        <v>1871</v>
      </c>
      <c r="X1216" s="80" t="str">
        <f>HYPERLINK("https://inovies.com")</f>
        <v>https://inovies.com</v>
      </c>
      <c r="Y1216" s="77" t="s">
        <v>1982</v>
      </c>
      <c r="Z1216" s="77"/>
      <c r="AA1216" s="77" t="s">
        <v>2610</v>
      </c>
      <c r="AB1216" s="77" t="s">
        <v>2696</v>
      </c>
      <c r="AC1216" s="81" t="s">
        <v>2707</v>
      </c>
      <c r="AD1216" s="77" t="s">
        <v>2752</v>
      </c>
      <c r="AE1216" s="80" t="str">
        <f>HYPERLINK("https://twitter.com/inovies/status/1732862803541700728")</f>
        <v>https://twitter.com/inovies/status/1732862803541700728</v>
      </c>
      <c r="AF1216" s="79">
        <v>45267.8618287037</v>
      </c>
      <c r="AG1216" s="85">
        <v>45267</v>
      </c>
      <c r="AH1216" s="81" t="s">
        <v>3772</v>
      </c>
      <c r="AI1216" s="77" t="b">
        <v>0</v>
      </c>
      <c r="AJ1216" s="77"/>
      <c r="AK1216" s="77"/>
      <c r="AL1216" s="77"/>
      <c r="AM1216" s="77"/>
      <c r="AN1216" s="77"/>
      <c r="AO1216" s="77"/>
      <c r="AP1216" s="77"/>
      <c r="AQ1216" s="77" t="s">
        <v>4424</v>
      </c>
      <c r="AR1216" s="77"/>
      <c r="AS1216" s="77"/>
      <c r="AT1216" s="77"/>
      <c r="AU1216" s="77"/>
      <c r="AV1216" s="80" t="str">
        <f>HYPERLINK("https://pbs.twimg.com/media/GAxdhtSW8AACWtQ.jpg")</f>
        <v>https://pbs.twimg.com/media/GAxdhtSW8AACWtQ.jpg</v>
      </c>
      <c r="AW1216" s="81" t="s">
        <v>5559</v>
      </c>
      <c r="AX1216" s="81" t="s">
        <v>5559</v>
      </c>
      <c r="AY1216" s="77"/>
      <c r="AZ1216" s="81" t="s">
        <v>5773</v>
      </c>
      <c r="BA1216" s="81" t="s">
        <v>5773</v>
      </c>
      <c r="BB1216" s="81" t="s">
        <v>5773</v>
      </c>
      <c r="BC1216" s="81" t="s">
        <v>5559</v>
      </c>
      <c r="BD1216" s="77">
        <v>297885438</v>
      </c>
      <c r="BE1216" s="77"/>
      <c r="BF1216" s="77"/>
      <c r="BG1216" s="77"/>
      <c r="BH1216" s="77"/>
      <c r="BI1216" s="77"/>
    </row>
    <row r="1217" spans="1:61" ht="15">
      <c r="A1217" s="62" t="s">
        <v>299</v>
      </c>
      <c r="B1217" s="62" t="s">
        <v>299</v>
      </c>
      <c r="C1217" s="63"/>
      <c r="D1217" s="64"/>
      <c r="E1217" s="65"/>
      <c r="F1217" s="66"/>
      <c r="G1217" s="63"/>
      <c r="H1217" s="67"/>
      <c r="I1217" s="68"/>
      <c r="J1217" s="68"/>
      <c r="K1217" s="32" t="s">
        <v>65</v>
      </c>
      <c r="L1217" s="75">
        <v>1217</v>
      </c>
      <c r="M1217" s="75"/>
      <c r="N1217" s="70"/>
      <c r="O1217" s="77" t="s">
        <v>179</v>
      </c>
      <c r="P1217" s="79">
        <v>45267.86137731482</v>
      </c>
      <c r="Q1217" s="77" t="s">
        <v>1596</v>
      </c>
      <c r="R1217" s="77">
        <v>0</v>
      </c>
      <c r="S1217" s="77">
        <v>0</v>
      </c>
      <c r="T1217" s="77">
        <v>0</v>
      </c>
      <c r="U1217" s="77">
        <v>0</v>
      </c>
      <c r="V1217" s="77">
        <v>9</v>
      </c>
      <c r="W1217" s="81" t="s">
        <v>1871</v>
      </c>
      <c r="X1217" s="80" t="str">
        <f>HYPERLINK("https://inovies.com")</f>
        <v>https://inovies.com</v>
      </c>
      <c r="Y1217" s="77" t="s">
        <v>1982</v>
      </c>
      <c r="Z1217" s="77"/>
      <c r="AA1217" s="77" t="s">
        <v>2611</v>
      </c>
      <c r="AB1217" s="77" t="s">
        <v>2696</v>
      </c>
      <c r="AC1217" s="81" t="s">
        <v>2707</v>
      </c>
      <c r="AD1217" s="77" t="s">
        <v>2752</v>
      </c>
      <c r="AE1217" s="80" t="str">
        <f>HYPERLINK("https://twitter.com/inovies/status/1732862641356276051")</f>
        <v>https://twitter.com/inovies/status/1732862641356276051</v>
      </c>
      <c r="AF1217" s="79">
        <v>45267.86137731482</v>
      </c>
      <c r="AG1217" s="85">
        <v>45267</v>
      </c>
      <c r="AH1217" s="81" t="s">
        <v>3773</v>
      </c>
      <c r="AI1217" s="77" t="b">
        <v>0</v>
      </c>
      <c r="AJ1217" s="77"/>
      <c r="AK1217" s="77"/>
      <c r="AL1217" s="77"/>
      <c r="AM1217" s="77"/>
      <c r="AN1217" s="77"/>
      <c r="AO1217" s="77"/>
      <c r="AP1217" s="77"/>
      <c r="AQ1217" s="77" t="s">
        <v>4425</v>
      </c>
      <c r="AR1217" s="77"/>
      <c r="AS1217" s="77"/>
      <c r="AT1217" s="77"/>
      <c r="AU1217" s="77"/>
      <c r="AV1217" s="80" t="str">
        <f>HYPERLINK("https://pbs.twimg.com/media/GAxdYXOWoAECpj-.jpg")</f>
        <v>https://pbs.twimg.com/media/GAxdYXOWoAECpj-.jpg</v>
      </c>
      <c r="AW1217" s="81" t="s">
        <v>5560</v>
      </c>
      <c r="AX1217" s="81" t="s">
        <v>5560</v>
      </c>
      <c r="AY1217" s="77"/>
      <c r="AZ1217" s="81" t="s">
        <v>5773</v>
      </c>
      <c r="BA1217" s="81" t="s">
        <v>5773</v>
      </c>
      <c r="BB1217" s="81" t="s">
        <v>5773</v>
      </c>
      <c r="BC1217" s="81" t="s">
        <v>5560</v>
      </c>
      <c r="BD1217" s="77">
        <v>297885438</v>
      </c>
      <c r="BE1217" s="77"/>
      <c r="BF1217" s="77"/>
      <c r="BG1217" s="77"/>
      <c r="BH1217" s="77"/>
      <c r="BI1217" s="77"/>
    </row>
    <row r="1218" spans="1:61" ht="15">
      <c r="A1218" s="62" t="s">
        <v>299</v>
      </c>
      <c r="B1218" s="62" t="s">
        <v>299</v>
      </c>
      <c r="C1218" s="63"/>
      <c r="D1218" s="64"/>
      <c r="E1218" s="65"/>
      <c r="F1218" s="66"/>
      <c r="G1218" s="63"/>
      <c r="H1218" s="67"/>
      <c r="I1218" s="68"/>
      <c r="J1218" s="68"/>
      <c r="K1218" s="32" t="s">
        <v>65</v>
      </c>
      <c r="L1218" s="75">
        <v>1218</v>
      </c>
      <c r="M1218" s="75"/>
      <c r="N1218" s="70"/>
      <c r="O1218" s="77" t="s">
        <v>179</v>
      </c>
      <c r="P1218" s="79">
        <v>45267.86090277778</v>
      </c>
      <c r="Q1218" s="77" t="s">
        <v>1597</v>
      </c>
      <c r="R1218" s="77">
        <v>0</v>
      </c>
      <c r="S1218" s="77">
        <v>0</v>
      </c>
      <c r="T1218" s="77">
        <v>0</v>
      </c>
      <c r="U1218" s="77">
        <v>0</v>
      </c>
      <c r="V1218" s="77">
        <v>10</v>
      </c>
      <c r="W1218" s="81" t="s">
        <v>1871</v>
      </c>
      <c r="X1218" s="80" t="str">
        <f>HYPERLINK("https://inovies.com")</f>
        <v>https://inovies.com</v>
      </c>
      <c r="Y1218" s="77" t="s">
        <v>1982</v>
      </c>
      <c r="Z1218" s="77"/>
      <c r="AA1218" s="77" t="s">
        <v>2612</v>
      </c>
      <c r="AB1218" s="77" t="s">
        <v>2696</v>
      </c>
      <c r="AC1218" s="81" t="s">
        <v>2707</v>
      </c>
      <c r="AD1218" s="77" t="s">
        <v>2752</v>
      </c>
      <c r="AE1218" s="80" t="str">
        <f>HYPERLINK("https://twitter.com/inovies/status/1732862468181909815")</f>
        <v>https://twitter.com/inovies/status/1732862468181909815</v>
      </c>
      <c r="AF1218" s="79">
        <v>45267.86090277778</v>
      </c>
      <c r="AG1218" s="85">
        <v>45267</v>
      </c>
      <c r="AH1218" s="81" t="s">
        <v>3774</v>
      </c>
      <c r="AI1218" s="77" t="b">
        <v>0</v>
      </c>
      <c r="AJ1218" s="77"/>
      <c r="AK1218" s="77"/>
      <c r="AL1218" s="77"/>
      <c r="AM1218" s="77"/>
      <c r="AN1218" s="77"/>
      <c r="AO1218" s="77"/>
      <c r="AP1218" s="77"/>
      <c r="AQ1218" s="77" t="s">
        <v>4426</v>
      </c>
      <c r="AR1218" s="77"/>
      <c r="AS1218" s="77"/>
      <c r="AT1218" s="77"/>
      <c r="AU1218" s="77"/>
      <c r="AV1218" s="80" t="str">
        <f>HYPERLINK("https://pbs.twimg.com/media/GAxdOP2WUAAe9c5.jpg")</f>
        <v>https://pbs.twimg.com/media/GAxdOP2WUAAe9c5.jpg</v>
      </c>
      <c r="AW1218" s="81" t="s">
        <v>5561</v>
      </c>
      <c r="AX1218" s="81" t="s">
        <v>5561</v>
      </c>
      <c r="AY1218" s="77"/>
      <c r="AZ1218" s="81" t="s">
        <v>5773</v>
      </c>
      <c r="BA1218" s="81" t="s">
        <v>5773</v>
      </c>
      <c r="BB1218" s="81" t="s">
        <v>5773</v>
      </c>
      <c r="BC1218" s="81" t="s">
        <v>5561</v>
      </c>
      <c r="BD1218" s="77">
        <v>297885438</v>
      </c>
      <c r="BE1218" s="77"/>
      <c r="BF1218" s="77"/>
      <c r="BG1218" s="77"/>
      <c r="BH1218" s="77"/>
      <c r="BI1218" s="77"/>
    </row>
    <row r="1219" spans="1:61" ht="15">
      <c r="A1219" s="62" t="s">
        <v>299</v>
      </c>
      <c r="B1219" s="62" t="s">
        <v>299</v>
      </c>
      <c r="C1219" s="63"/>
      <c r="D1219" s="64"/>
      <c r="E1219" s="65"/>
      <c r="F1219" s="66"/>
      <c r="G1219" s="63"/>
      <c r="H1219" s="67"/>
      <c r="I1219" s="68"/>
      <c r="J1219" s="68"/>
      <c r="K1219" s="32" t="s">
        <v>65</v>
      </c>
      <c r="L1219" s="75">
        <v>1219</v>
      </c>
      <c r="M1219" s="75"/>
      <c r="N1219" s="70"/>
      <c r="O1219" s="77" t="s">
        <v>179</v>
      </c>
      <c r="P1219" s="79">
        <v>45267.86050925926</v>
      </c>
      <c r="Q1219" s="77" t="s">
        <v>1598</v>
      </c>
      <c r="R1219" s="77">
        <v>0</v>
      </c>
      <c r="S1219" s="77">
        <v>0</v>
      </c>
      <c r="T1219" s="77">
        <v>0</v>
      </c>
      <c r="U1219" s="77">
        <v>0</v>
      </c>
      <c r="V1219" s="77">
        <v>10</v>
      </c>
      <c r="W1219" s="81" t="s">
        <v>1871</v>
      </c>
      <c r="X1219" s="80" t="str">
        <f>HYPERLINK("https://inovies.com")</f>
        <v>https://inovies.com</v>
      </c>
      <c r="Y1219" s="77" t="s">
        <v>1982</v>
      </c>
      <c r="Z1219" s="77"/>
      <c r="AA1219" s="77" t="s">
        <v>2613</v>
      </c>
      <c r="AB1219" s="77" t="s">
        <v>2696</v>
      </c>
      <c r="AC1219" s="81" t="s">
        <v>2707</v>
      </c>
      <c r="AD1219" s="77" t="s">
        <v>2752</v>
      </c>
      <c r="AE1219" s="80" t="str">
        <f>HYPERLINK("https://twitter.com/inovies/status/1732862325529395259")</f>
        <v>https://twitter.com/inovies/status/1732862325529395259</v>
      </c>
      <c r="AF1219" s="79">
        <v>45267.86050925926</v>
      </c>
      <c r="AG1219" s="85">
        <v>45267</v>
      </c>
      <c r="AH1219" s="81" t="s">
        <v>3775</v>
      </c>
      <c r="AI1219" s="77" t="b">
        <v>0</v>
      </c>
      <c r="AJ1219" s="77"/>
      <c r="AK1219" s="77"/>
      <c r="AL1219" s="77"/>
      <c r="AM1219" s="77"/>
      <c r="AN1219" s="77"/>
      <c r="AO1219" s="77"/>
      <c r="AP1219" s="77"/>
      <c r="AQ1219" s="77" t="s">
        <v>4427</v>
      </c>
      <c r="AR1219" s="77"/>
      <c r="AS1219" s="77"/>
      <c r="AT1219" s="77"/>
      <c r="AU1219" s="77"/>
      <c r="AV1219" s="80" t="str">
        <f>HYPERLINK("https://pbs.twimg.com/media/GAxdF52WgAAhxVb.jpg")</f>
        <v>https://pbs.twimg.com/media/GAxdF52WgAAhxVb.jpg</v>
      </c>
      <c r="AW1219" s="81" t="s">
        <v>5562</v>
      </c>
      <c r="AX1219" s="81" t="s">
        <v>5562</v>
      </c>
      <c r="AY1219" s="77"/>
      <c r="AZ1219" s="81" t="s">
        <v>5773</v>
      </c>
      <c r="BA1219" s="81" t="s">
        <v>5773</v>
      </c>
      <c r="BB1219" s="81" t="s">
        <v>5773</v>
      </c>
      <c r="BC1219" s="81" t="s">
        <v>5562</v>
      </c>
      <c r="BD1219" s="77">
        <v>297885438</v>
      </c>
      <c r="BE1219" s="77"/>
      <c r="BF1219" s="77"/>
      <c r="BG1219" s="77"/>
      <c r="BH1219" s="77"/>
      <c r="BI1219" s="77"/>
    </row>
    <row r="1220" spans="1:61" ht="15">
      <c r="A1220" s="62" t="s">
        <v>299</v>
      </c>
      <c r="B1220" s="62" t="s">
        <v>299</v>
      </c>
      <c r="C1220" s="63"/>
      <c r="D1220" s="64"/>
      <c r="E1220" s="65"/>
      <c r="F1220" s="66"/>
      <c r="G1220" s="63"/>
      <c r="H1220" s="67"/>
      <c r="I1220" s="68"/>
      <c r="J1220" s="68"/>
      <c r="K1220" s="32" t="s">
        <v>65</v>
      </c>
      <c r="L1220" s="75">
        <v>1220</v>
      </c>
      <c r="M1220" s="75"/>
      <c r="N1220" s="70"/>
      <c r="O1220" s="77" t="s">
        <v>179</v>
      </c>
      <c r="P1220" s="79">
        <v>45267.85986111111</v>
      </c>
      <c r="Q1220" s="77" t="s">
        <v>1599</v>
      </c>
      <c r="R1220" s="77">
        <v>0</v>
      </c>
      <c r="S1220" s="77">
        <v>0</v>
      </c>
      <c r="T1220" s="77">
        <v>0</v>
      </c>
      <c r="U1220" s="77">
        <v>0</v>
      </c>
      <c r="V1220" s="77">
        <v>9</v>
      </c>
      <c r="W1220" s="81" t="s">
        <v>1871</v>
      </c>
      <c r="X1220" s="80" t="str">
        <f>HYPERLINK("https://inovies.com")</f>
        <v>https://inovies.com</v>
      </c>
      <c r="Y1220" s="77" t="s">
        <v>1982</v>
      </c>
      <c r="Z1220" s="77"/>
      <c r="AA1220" s="77" t="s">
        <v>2614</v>
      </c>
      <c r="AB1220" s="77" t="s">
        <v>2696</v>
      </c>
      <c r="AC1220" s="81" t="s">
        <v>2707</v>
      </c>
      <c r="AD1220" s="77" t="s">
        <v>2752</v>
      </c>
      <c r="AE1220" s="80" t="str">
        <f>HYPERLINK("https://twitter.com/inovies/status/1732862092074442888")</f>
        <v>https://twitter.com/inovies/status/1732862092074442888</v>
      </c>
      <c r="AF1220" s="79">
        <v>45267.85986111111</v>
      </c>
      <c r="AG1220" s="85">
        <v>45267</v>
      </c>
      <c r="AH1220" s="81" t="s">
        <v>3776</v>
      </c>
      <c r="AI1220" s="77" t="b">
        <v>0</v>
      </c>
      <c r="AJ1220" s="77"/>
      <c r="AK1220" s="77"/>
      <c r="AL1220" s="77"/>
      <c r="AM1220" s="77"/>
      <c r="AN1220" s="77"/>
      <c r="AO1220" s="77"/>
      <c r="AP1220" s="77"/>
      <c r="AQ1220" s="77" t="s">
        <v>4428</v>
      </c>
      <c r="AR1220" s="77"/>
      <c r="AS1220" s="77"/>
      <c r="AT1220" s="77"/>
      <c r="AU1220" s="77"/>
      <c r="AV1220" s="80" t="str">
        <f>HYPERLINK("https://pbs.twimg.com/media/GAxc4KlWkAE__Wl.jpg")</f>
        <v>https://pbs.twimg.com/media/GAxc4KlWkAE__Wl.jpg</v>
      </c>
      <c r="AW1220" s="81" t="s">
        <v>5563</v>
      </c>
      <c r="AX1220" s="81" t="s">
        <v>5563</v>
      </c>
      <c r="AY1220" s="77"/>
      <c r="AZ1220" s="81" t="s">
        <v>5773</v>
      </c>
      <c r="BA1220" s="81" t="s">
        <v>5773</v>
      </c>
      <c r="BB1220" s="81" t="s">
        <v>5773</v>
      </c>
      <c r="BC1220" s="81" t="s">
        <v>5563</v>
      </c>
      <c r="BD1220" s="77">
        <v>297885438</v>
      </c>
      <c r="BE1220" s="77"/>
      <c r="BF1220" s="77"/>
      <c r="BG1220" s="77"/>
      <c r="BH1220" s="77"/>
      <c r="BI1220" s="77"/>
    </row>
    <row r="1221" spans="1:61" ht="15">
      <c r="A1221" s="62" t="s">
        <v>299</v>
      </c>
      <c r="B1221" s="62" t="s">
        <v>299</v>
      </c>
      <c r="C1221" s="63"/>
      <c r="D1221" s="64"/>
      <c r="E1221" s="65"/>
      <c r="F1221" s="66"/>
      <c r="G1221" s="63"/>
      <c r="H1221" s="67"/>
      <c r="I1221" s="68"/>
      <c r="J1221" s="68"/>
      <c r="K1221" s="32" t="s">
        <v>65</v>
      </c>
      <c r="L1221" s="75">
        <v>1221</v>
      </c>
      <c r="M1221" s="75"/>
      <c r="N1221" s="70"/>
      <c r="O1221" s="77" t="s">
        <v>179</v>
      </c>
      <c r="P1221" s="79">
        <v>45267.85925925926</v>
      </c>
      <c r="Q1221" s="77" t="s">
        <v>1600</v>
      </c>
      <c r="R1221" s="77">
        <v>0</v>
      </c>
      <c r="S1221" s="77">
        <v>0</v>
      </c>
      <c r="T1221" s="77">
        <v>0</v>
      </c>
      <c r="U1221" s="77">
        <v>0</v>
      </c>
      <c r="V1221" s="77">
        <v>9</v>
      </c>
      <c r="W1221" s="81" t="s">
        <v>1871</v>
      </c>
      <c r="X1221" s="80" t="str">
        <f>HYPERLINK("https://inovies.com")</f>
        <v>https://inovies.com</v>
      </c>
      <c r="Y1221" s="77" t="s">
        <v>1982</v>
      </c>
      <c r="Z1221" s="77"/>
      <c r="AA1221" s="77" t="s">
        <v>2615</v>
      </c>
      <c r="AB1221" s="77" t="s">
        <v>2696</v>
      </c>
      <c r="AC1221" s="81" t="s">
        <v>2707</v>
      </c>
      <c r="AD1221" s="77" t="s">
        <v>2752</v>
      </c>
      <c r="AE1221" s="80" t="str">
        <f>HYPERLINK("https://twitter.com/inovies/status/1732861872968220794")</f>
        <v>https://twitter.com/inovies/status/1732861872968220794</v>
      </c>
      <c r="AF1221" s="79">
        <v>45267.85925925926</v>
      </c>
      <c r="AG1221" s="85">
        <v>45267</v>
      </c>
      <c r="AH1221" s="81" t="s">
        <v>3777</v>
      </c>
      <c r="AI1221" s="77" t="b">
        <v>0</v>
      </c>
      <c r="AJ1221" s="77"/>
      <c r="AK1221" s="77"/>
      <c r="AL1221" s="77"/>
      <c r="AM1221" s="77"/>
      <c r="AN1221" s="77"/>
      <c r="AO1221" s="77"/>
      <c r="AP1221" s="77"/>
      <c r="AQ1221" s="77" t="s">
        <v>4429</v>
      </c>
      <c r="AR1221" s="77"/>
      <c r="AS1221" s="77"/>
      <c r="AT1221" s="77"/>
      <c r="AU1221" s="77"/>
      <c r="AV1221" s="80" t="str">
        <f>HYPERLINK("https://pbs.twimg.com/media/GAxcqDHXwAED50B.jpg")</f>
        <v>https://pbs.twimg.com/media/GAxcqDHXwAED50B.jpg</v>
      </c>
      <c r="AW1221" s="81" t="s">
        <v>5564</v>
      </c>
      <c r="AX1221" s="81" t="s">
        <v>5564</v>
      </c>
      <c r="AY1221" s="77"/>
      <c r="AZ1221" s="81" t="s">
        <v>5773</v>
      </c>
      <c r="BA1221" s="81" t="s">
        <v>5773</v>
      </c>
      <c r="BB1221" s="81" t="s">
        <v>5773</v>
      </c>
      <c r="BC1221" s="81" t="s">
        <v>5564</v>
      </c>
      <c r="BD1221" s="77">
        <v>297885438</v>
      </c>
      <c r="BE1221" s="77"/>
      <c r="BF1221" s="77"/>
      <c r="BG1221" s="77"/>
      <c r="BH1221" s="77"/>
      <c r="BI1221" s="77"/>
    </row>
    <row r="1222" spans="1:61" ht="15">
      <c r="A1222" s="62" t="s">
        <v>299</v>
      </c>
      <c r="B1222" s="62" t="s">
        <v>299</v>
      </c>
      <c r="C1222" s="63"/>
      <c r="D1222" s="64"/>
      <c r="E1222" s="65"/>
      <c r="F1222" s="66"/>
      <c r="G1222" s="63"/>
      <c r="H1222" s="67"/>
      <c r="I1222" s="68"/>
      <c r="J1222" s="68"/>
      <c r="K1222" s="32" t="s">
        <v>65</v>
      </c>
      <c r="L1222" s="75">
        <v>1222</v>
      </c>
      <c r="M1222" s="75"/>
      <c r="N1222" s="70"/>
      <c r="O1222" s="77" t="s">
        <v>179</v>
      </c>
      <c r="P1222" s="79">
        <v>45267.8584375</v>
      </c>
      <c r="Q1222" s="77" t="s">
        <v>1601</v>
      </c>
      <c r="R1222" s="77">
        <v>0</v>
      </c>
      <c r="S1222" s="77">
        <v>0</v>
      </c>
      <c r="T1222" s="77">
        <v>0</v>
      </c>
      <c r="U1222" s="77">
        <v>0</v>
      </c>
      <c r="V1222" s="77">
        <v>8</v>
      </c>
      <c r="W1222" s="81" t="s">
        <v>1871</v>
      </c>
      <c r="X1222" s="80" t="str">
        <f>HYPERLINK("https://inovies.com")</f>
        <v>https://inovies.com</v>
      </c>
      <c r="Y1222" s="77" t="s">
        <v>1982</v>
      </c>
      <c r="Z1222" s="77"/>
      <c r="AA1222" s="77" t="s">
        <v>2616</v>
      </c>
      <c r="AB1222" s="77" t="s">
        <v>2696</v>
      </c>
      <c r="AC1222" s="81" t="s">
        <v>2707</v>
      </c>
      <c r="AD1222" s="77" t="s">
        <v>2752</v>
      </c>
      <c r="AE1222" s="80" t="str">
        <f>HYPERLINK("https://twitter.com/inovies/status/1732861575835345321")</f>
        <v>https://twitter.com/inovies/status/1732861575835345321</v>
      </c>
      <c r="AF1222" s="79">
        <v>45267.8584375</v>
      </c>
      <c r="AG1222" s="85">
        <v>45267</v>
      </c>
      <c r="AH1222" s="81" t="s">
        <v>3778</v>
      </c>
      <c r="AI1222" s="77" t="b">
        <v>0</v>
      </c>
      <c r="AJ1222" s="77"/>
      <c r="AK1222" s="77"/>
      <c r="AL1222" s="77"/>
      <c r="AM1222" s="77"/>
      <c r="AN1222" s="77"/>
      <c r="AO1222" s="77"/>
      <c r="AP1222" s="77"/>
      <c r="AQ1222" s="77" t="s">
        <v>4430</v>
      </c>
      <c r="AR1222" s="77"/>
      <c r="AS1222" s="77"/>
      <c r="AT1222" s="77"/>
      <c r="AU1222" s="77"/>
      <c r="AV1222" s="80" t="str">
        <f>HYPERLINK("https://pbs.twimg.com/media/GAxcaaIWQAAXgIW.jpg")</f>
        <v>https://pbs.twimg.com/media/GAxcaaIWQAAXgIW.jpg</v>
      </c>
      <c r="AW1222" s="81" t="s">
        <v>5565</v>
      </c>
      <c r="AX1222" s="81" t="s">
        <v>5565</v>
      </c>
      <c r="AY1222" s="77"/>
      <c r="AZ1222" s="81" t="s">
        <v>5773</v>
      </c>
      <c r="BA1222" s="81" t="s">
        <v>5773</v>
      </c>
      <c r="BB1222" s="81" t="s">
        <v>5773</v>
      </c>
      <c r="BC1222" s="81" t="s">
        <v>5565</v>
      </c>
      <c r="BD1222" s="77">
        <v>297885438</v>
      </c>
      <c r="BE1222" s="77"/>
      <c r="BF1222" s="77"/>
      <c r="BG1222" s="77"/>
      <c r="BH1222" s="77"/>
      <c r="BI1222" s="77"/>
    </row>
    <row r="1223" spans="1:61" ht="15">
      <c r="A1223" s="62" t="s">
        <v>299</v>
      </c>
      <c r="B1223" s="62" t="s">
        <v>299</v>
      </c>
      <c r="C1223" s="63"/>
      <c r="D1223" s="64"/>
      <c r="E1223" s="65"/>
      <c r="F1223" s="66"/>
      <c r="G1223" s="63"/>
      <c r="H1223" s="67"/>
      <c r="I1223" s="68"/>
      <c r="J1223" s="68"/>
      <c r="K1223" s="32" t="s">
        <v>65</v>
      </c>
      <c r="L1223" s="75">
        <v>1223</v>
      </c>
      <c r="M1223" s="75"/>
      <c r="N1223" s="70"/>
      <c r="O1223" s="77" t="s">
        <v>179</v>
      </c>
      <c r="P1223" s="79">
        <v>45267.85674768518</v>
      </c>
      <c r="Q1223" s="77" t="s">
        <v>1602</v>
      </c>
      <c r="R1223" s="77">
        <v>0</v>
      </c>
      <c r="S1223" s="77">
        <v>0</v>
      </c>
      <c r="T1223" s="77">
        <v>0</v>
      </c>
      <c r="U1223" s="77">
        <v>0</v>
      </c>
      <c r="V1223" s="77">
        <v>8</v>
      </c>
      <c r="W1223" s="81" t="s">
        <v>1871</v>
      </c>
      <c r="X1223" s="80" t="str">
        <f>HYPERLINK("https://inovies.com")</f>
        <v>https://inovies.com</v>
      </c>
      <c r="Y1223" s="77" t="s">
        <v>1982</v>
      </c>
      <c r="Z1223" s="77"/>
      <c r="AA1223" s="77" t="s">
        <v>2617</v>
      </c>
      <c r="AB1223" s="77" t="s">
        <v>2696</v>
      </c>
      <c r="AC1223" s="81" t="s">
        <v>2707</v>
      </c>
      <c r="AD1223" s="77" t="s">
        <v>2752</v>
      </c>
      <c r="AE1223" s="80" t="str">
        <f>HYPERLINK("https://twitter.com/inovies/status/1732860965702529508")</f>
        <v>https://twitter.com/inovies/status/1732860965702529508</v>
      </c>
      <c r="AF1223" s="79">
        <v>45267.85674768518</v>
      </c>
      <c r="AG1223" s="85">
        <v>45267</v>
      </c>
      <c r="AH1223" s="81" t="s">
        <v>3779</v>
      </c>
      <c r="AI1223" s="77" t="b">
        <v>0</v>
      </c>
      <c r="AJ1223" s="77"/>
      <c r="AK1223" s="77"/>
      <c r="AL1223" s="77"/>
      <c r="AM1223" s="77"/>
      <c r="AN1223" s="77"/>
      <c r="AO1223" s="77"/>
      <c r="AP1223" s="77"/>
      <c r="AQ1223" s="77" t="s">
        <v>4431</v>
      </c>
      <c r="AR1223" s="77"/>
      <c r="AS1223" s="77"/>
      <c r="AT1223" s="77"/>
      <c r="AU1223" s="77"/>
      <c r="AV1223" s="80" t="str">
        <f>HYPERLINK("https://pbs.twimg.com/media/GAxb210XEAAab2M.jpg")</f>
        <v>https://pbs.twimg.com/media/GAxb210XEAAab2M.jpg</v>
      </c>
      <c r="AW1223" s="81" t="s">
        <v>5566</v>
      </c>
      <c r="AX1223" s="81" t="s">
        <v>5566</v>
      </c>
      <c r="AY1223" s="77"/>
      <c r="AZ1223" s="81" t="s">
        <v>5773</v>
      </c>
      <c r="BA1223" s="81" t="s">
        <v>5773</v>
      </c>
      <c r="BB1223" s="81" t="s">
        <v>5773</v>
      </c>
      <c r="BC1223" s="81" t="s">
        <v>5566</v>
      </c>
      <c r="BD1223" s="77">
        <v>297885438</v>
      </c>
      <c r="BE1223" s="77"/>
      <c r="BF1223" s="77"/>
      <c r="BG1223" s="77"/>
      <c r="BH1223" s="77"/>
      <c r="BI1223" s="77"/>
    </row>
    <row r="1224" spans="1:61" ht="15">
      <c r="A1224" s="62" t="s">
        <v>299</v>
      </c>
      <c r="B1224" s="62" t="s">
        <v>299</v>
      </c>
      <c r="C1224" s="63"/>
      <c r="D1224" s="64"/>
      <c r="E1224" s="65"/>
      <c r="F1224" s="66"/>
      <c r="G1224" s="63"/>
      <c r="H1224" s="67"/>
      <c r="I1224" s="68"/>
      <c r="J1224" s="68"/>
      <c r="K1224" s="32" t="s">
        <v>65</v>
      </c>
      <c r="L1224" s="75">
        <v>1224</v>
      </c>
      <c r="M1224" s="75"/>
      <c r="N1224" s="70"/>
      <c r="O1224" s="77" t="s">
        <v>179</v>
      </c>
      <c r="P1224" s="79">
        <v>45267.85594907407</v>
      </c>
      <c r="Q1224" s="77" t="s">
        <v>1603</v>
      </c>
      <c r="R1224" s="77">
        <v>0</v>
      </c>
      <c r="S1224" s="77">
        <v>0</v>
      </c>
      <c r="T1224" s="77">
        <v>0</v>
      </c>
      <c r="U1224" s="77">
        <v>0</v>
      </c>
      <c r="V1224" s="77">
        <v>8</v>
      </c>
      <c r="W1224" s="81" t="s">
        <v>1871</v>
      </c>
      <c r="X1224" s="80" t="str">
        <f>HYPERLINK("https://inovies.com")</f>
        <v>https://inovies.com</v>
      </c>
      <c r="Y1224" s="77" t="s">
        <v>1982</v>
      </c>
      <c r="Z1224" s="77"/>
      <c r="AA1224" s="77" t="s">
        <v>2618</v>
      </c>
      <c r="AB1224" s="77" t="s">
        <v>2696</v>
      </c>
      <c r="AC1224" s="81" t="s">
        <v>2707</v>
      </c>
      <c r="AD1224" s="77" t="s">
        <v>2752</v>
      </c>
      <c r="AE1224" s="80" t="str">
        <f>HYPERLINK("https://twitter.com/inovies/status/1732860674978578636")</f>
        <v>https://twitter.com/inovies/status/1732860674978578636</v>
      </c>
      <c r="AF1224" s="79">
        <v>45267.85594907407</v>
      </c>
      <c r="AG1224" s="85">
        <v>45267</v>
      </c>
      <c r="AH1224" s="81" t="s">
        <v>3780</v>
      </c>
      <c r="AI1224" s="77" t="b">
        <v>0</v>
      </c>
      <c r="AJ1224" s="77"/>
      <c r="AK1224" s="77"/>
      <c r="AL1224" s="77"/>
      <c r="AM1224" s="77"/>
      <c r="AN1224" s="77"/>
      <c r="AO1224" s="77"/>
      <c r="AP1224" s="77"/>
      <c r="AQ1224" s="77" t="s">
        <v>4432</v>
      </c>
      <c r="AR1224" s="77"/>
      <c r="AS1224" s="77"/>
      <c r="AT1224" s="77"/>
      <c r="AU1224" s="77"/>
      <c r="AV1224" s="80" t="str">
        <f>HYPERLINK("https://pbs.twimg.com/media/GAxbl48XAAAXFbD.jpg")</f>
        <v>https://pbs.twimg.com/media/GAxbl48XAAAXFbD.jpg</v>
      </c>
      <c r="AW1224" s="81" t="s">
        <v>5567</v>
      </c>
      <c r="AX1224" s="81" t="s">
        <v>5567</v>
      </c>
      <c r="AY1224" s="77"/>
      <c r="AZ1224" s="81" t="s">
        <v>5773</v>
      </c>
      <c r="BA1224" s="81" t="s">
        <v>5773</v>
      </c>
      <c r="BB1224" s="81" t="s">
        <v>5773</v>
      </c>
      <c r="BC1224" s="81" t="s">
        <v>5567</v>
      </c>
      <c r="BD1224" s="77">
        <v>297885438</v>
      </c>
      <c r="BE1224" s="77"/>
      <c r="BF1224" s="77"/>
      <c r="BG1224" s="77"/>
      <c r="BH1224" s="77"/>
      <c r="BI1224" s="77"/>
    </row>
    <row r="1225" spans="1:61" ht="15">
      <c r="A1225" s="62" t="s">
        <v>299</v>
      </c>
      <c r="B1225" s="62" t="s">
        <v>299</v>
      </c>
      <c r="C1225" s="63"/>
      <c r="D1225" s="64"/>
      <c r="E1225" s="65"/>
      <c r="F1225" s="66"/>
      <c r="G1225" s="63"/>
      <c r="H1225" s="67"/>
      <c r="I1225" s="68"/>
      <c r="J1225" s="68"/>
      <c r="K1225" s="32" t="s">
        <v>65</v>
      </c>
      <c r="L1225" s="75">
        <v>1225</v>
      </c>
      <c r="M1225" s="75"/>
      <c r="N1225" s="70"/>
      <c r="O1225" s="77" t="s">
        <v>179</v>
      </c>
      <c r="P1225" s="79">
        <v>45267.85550925926</v>
      </c>
      <c r="Q1225" s="77" t="s">
        <v>1604</v>
      </c>
      <c r="R1225" s="77">
        <v>0</v>
      </c>
      <c r="S1225" s="77">
        <v>0</v>
      </c>
      <c r="T1225" s="77">
        <v>0</v>
      </c>
      <c r="U1225" s="77">
        <v>0</v>
      </c>
      <c r="V1225" s="77">
        <v>8</v>
      </c>
      <c r="W1225" s="81" t="s">
        <v>1871</v>
      </c>
      <c r="X1225" s="80" t="str">
        <f>HYPERLINK("https://inovies.com")</f>
        <v>https://inovies.com</v>
      </c>
      <c r="Y1225" s="77" t="s">
        <v>1982</v>
      </c>
      <c r="Z1225" s="77"/>
      <c r="AA1225" s="77" t="s">
        <v>2619</v>
      </c>
      <c r="AB1225" s="77" t="s">
        <v>2696</v>
      </c>
      <c r="AC1225" s="81" t="s">
        <v>2707</v>
      </c>
      <c r="AD1225" s="77" t="s">
        <v>2752</v>
      </c>
      <c r="AE1225" s="80" t="str">
        <f>HYPERLINK("https://twitter.com/inovies/status/1732860515594989616")</f>
        <v>https://twitter.com/inovies/status/1732860515594989616</v>
      </c>
      <c r="AF1225" s="79">
        <v>45267.85550925926</v>
      </c>
      <c r="AG1225" s="85">
        <v>45267</v>
      </c>
      <c r="AH1225" s="81" t="s">
        <v>3781</v>
      </c>
      <c r="AI1225" s="77" t="b">
        <v>0</v>
      </c>
      <c r="AJ1225" s="77"/>
      <c r="AK1225" s="77"/>
      <c r="AL1225" s="77"/>
      <c r="AM1225" s="77"/>
      <c r="AN1225" s="77"/>
      <c r="AO1225" s="77"/>
      <c r="AP1225" s="77"/>
      <c r="AQ1225" s="77" t="s">
        <v>4433</v>
      </c>
      <c r="AR1225" s="77"/>
      <c r="AS1225" s="77"/>
      <c r="AT1225" s="77"/>
      <c r="AU1225" s="77"/>
      <c r="AV1225" s="80" t="str">
        <f>HYPERLINK("https://pbs.twimg.com/media/GAxbcmDWUAAA1Uq.jpg")</f>
        <v>https://pbs.twimg.com/media/GAxbcmDWUAAA1Uq.jpg</v>
      </c>
      <c r="AW1225" s="81" t="s">
        <v>5568</v>
      </c>
      <c r="AX1225" s="81" t="s">
        <v>5568</v>
      </c>
      <c r="AY1225" s="77"/>
      <c r="AZ1225" s="81" t="s">
        <v>5773</v>
      </c>
      <c r="BA1225" s="81" t="s">
        <v>5773</v>
      </c>
      <c r="BB1225" s="81" t="s">
        <v>5773</v>
      </c>
      <c r="BC1225" s="81" t="s">
        <v>5568</v>
      </c>
      <c r="BD1225" s="77">
        <v>297885438</v>
      </c>
      <c r="BE1225" s="77"/>
      <c r="BF1225" s="77"/>
      <c r="BG1225" s="77"/>
      <c r="BH1225" s="77"/>
      <c r="BI1225" s="77"/>
    </row>
    <row r="1226" spans="1:61" ht="15">
      <c r="A1226" s="62" t="s">
        <v>299</v>
      </c>
      <c r="B1226" s="62" t="s">
        <v>299</v>
      </c>
      <c r="C1226" s="63"/>
      <c r="D1226" s="64"/>
      <c r="E1226" s="65"/>
      <c r="F1226" s="66"/>
      <c r="G1226" s="63"/>
      <c r="H1226" s="67"/>
      <c r="I1226" s="68"/>
      <c r="J1226" s="68"/>
      <c r="K1226" s="32" t="s">
        <v>65</v>
      </c>
      <c r="L1226" s="75">
        <v>1226</v>
      </c>
      <c r="M1226" s="75"/>
      <c r="N1226" s="70"/>
      <c r="O1226" s="77" t="s">
        <v>179</v>
      </c>
      <c r="P1226" s="79">
        <v>45267.85493055556</v>
      </c>
      <c r="Q1226" s="77" t="s">
        <v>1605</v>
      </c>
      <c r="R1226" s="77">
        <v>0</v>
      </c>
      <c r="S1226" s="77">
        <v>0</v>
      </c>
      <c r="T1226" s="77">
        <v>0</v>
      </c>
      <c r="U1226" s="77">
        <v>0</v>
      </c>
      <c r="V1226" s="77">
        <v>8</v>
      </c>
      <c r="W1226" s="81" t="s">
        <v>1871</v>
      </c>
      <c r="X1226" s="80" t="str">
        <f>HYPERLINK("https://inovies.com")</f>
        <v>https://inovies.com</v>
      </c>
      <c r="Y1226" s="77" t="s">
        <v>1982</v>
      </c>
      <c r="Z1226" s="77"/>
      <c r="AA1226" s="77" t="s">
        <v>2620</v>
      </c>
      <c r="AB1226" s="77" t="s">
        <v>2696</v>
      </c>
      <c r="AC1226" s="81" t="s">
        <v>2707</v>
      </c>
      <c r="AD1226" s="77" t="s">
        <v>2752</v>
      </c>
      <c r="AE1226" s="80" t="str">
        <f>HYPERLINK("https://twitter.com/inovies/status/1732860307347804250")</f>
        <v>https://twitter.com/inovies/status/1732860307347804250</v>
      </c>
      <c r="AF1226" s="79">
        <v>45267.85493055556</v>
      </c>
      <c r="AG1226" s="85">
        <v>45267</v>
      </c>
      <c r="AH1226" s="81" t="s">
        <v>3782</v>
      </c>
      <c r="AI1226" s="77" t="b">
        <v>0</v>
      </c>
      <c r="AJ1226" s="77"/>
      <c r="AK1226" s="77"/>
      <c r="AL1226" s="77"/>
      <c r="AM1226" s="77"/>
      <c r="AN1226" s="77"/>
      <c r="AO1226" s="77"/>
      <c r="AP1226" s="77"/>
      <c r="AQ1226" s="77" t="s">
        <v>4434</v>
      </c>
      <c r="AR1226" s="77"/>
      <c r="AS1226" s="77"/>
      <c r="AT1226" s="77"/>
      <c r="AU1226" s="77"/>
      <c r="AV1226" s="80" t="str">
        <f>HYPERLINK("https://pbs.twimg.com/media/GAxbQTPXoAAUeHF.jpg")</f>
        <v>https://pbs.twimg.com/media/GAxbQTPXoAAUeHF.jpg</v>
      </c>
      <c r="AW1226" s="81" t="s">
        <v>5569</v>
      </c>
      <c r="AX1226" s="81" t="s">
        <v>5569</v>
      </c>
      <c r="AY1226" s="77"/>
      <c r="AZ1226" s="81" t="s">
        <v>5773</v>
      </c>
      <c r="BA1226" s="81" t="s">
        <v>5773</v>
      </c>
      <c r="BB1226" s="81" t="s">
        <v>5773</v>
      </c>
      <c r="BC1226" s="81" t="s">
        <v>5569</v>
      </c>
      <c r="BD1226" s="77">
        <v>297885438</v>
      </c>
      <c r="BE1226" s="77"/>
      <c r="BF1226" s="77"/>
      <c r="BG1226" s="77"/>
      <c r="BH1226" s="77"/>
      <c r="BI1226" s="77"/>
    </row>
    <row r="1227" spans="1:61" ht="15">
      <c r="A1227" s="62" t="s">
        <v>299</v>
      </c>
      <c r="B1227" s="62" t="s">
        <v>299</v>
      </c>
      <c r="C1227" s="63"/>
      <c r="D1227" s="64"/>
      <c r="E1227" s="65"/>
      <c r="F1227" s="66"/>
      <c r="G1227" s="63"/>
      <c r="H1227" s="67"/>
      <c r="I1227" s="68"/>
      <c r="J1227" s="68"/>
      <c r="K1227" s="32" t="s">
        <v>65</v>
      </c>
      <c r="L1227" s="75">
        <v>1227</v>
      </c>
      <c r="M1227" s="75"/>
      <c r="N1227" s="70"/>
      <c r="O1227" s="77" t="s">
        <v>179</v>
      </c>
      <c r="P1227" s="79">
        <v>45267.849814814814</v>
      </c>
      <c r="Q1227" s="77" t="s">
        <v>1606</v>
      </c>
      <c r="R1227" s="77">
        <v>0</v>
      </c>
      <c r="S1227" s="77">
        <v>0</v>
      </c>
      <c r="T1227" s="77">
        <v>0</v>
      </c>
      <c r="U1227" s="77">
        <v>0</v>
      </c>
      <c r="V1227" s="77">
        <v>9</v>
      </c>
      <c r="W1227" s="81" t="s">
        <v>1871</v>
      </c>
      <c r="X1227" s="80" t="str">
        <f>HYPERLINK("https://inovies.com")</f>
        <v>https://inovies.com</v>
      </c>
      <c r="Y1227" s="77" t="s">
        <v>1982</v>
      </c>
      <c r="Z1227" s="77"/>
      <c r="AA1227" s="77" t="s">
        <v>2621</v>
      </c>
      <c r="AB1227" s="77" t="s">
        <v>2696</v>
      </c>
      <c r="AC1227" s="81" t="s">
        <v>2707</v>
      </c>
      <c r="AD1227" s="77" t="s">
        <v>2752</v>
      </c>
      <c r="AE1227" s="80" t="str">
        <f>HYPERLINK("https://twitter.com/inovies/status/1732858449803784217")</f>
        <v>https://twitter.com/inovies/status/1732858449803784217</v>
      </c>
      <c r="AF1227" s="79">
        <v>45267.849814814814</v>
      </c>
      <c r="AG1227" s="85">
        <v>45267</v>
      </c>
      <c r="AH1227" s="81" t="s">
        <v>3783</v>
      </c>
      <c r="AI1227" s="77" t="b">
        <v>0</v>
      </c>
      <c r="AJ1227" s="77"/>
      <c r="AK1227" s="77"/>
      <c r="AL1227" s="77"/>
      <c r="AM1227" s="77"/>
      <c r="AN1227" s="77"/>
      <c r="AO1227" s="77"/>
      <c r="AP1227" s="77"/>
      <c r="AQ1227" s="77" t="s">
        <v>4435</v>
      </c>
      <c r="AR1227" s="77"/>
      <c r="AS1227" s="77"/>
      <c r="AT1227" s="77"/>
      <c r="AU1227" s="77"/>
      <c r="AV1227" s="80" t="str">
        <f>HYPERLINK("https://pbs.twimg.com/media/GAxZkPZW0AAlgar.jpg")</f>
        <v>https://pbs.twimg.com/media/GAxZkPZW0AAlgar.jpg</v>
      </c>
      <c r="AW1227" s="81" t="s">
        <v>5570</v>
      </c>
      <c r="AX1227" s="81" t="s">
        <v>5570</v>
      </c>
      <c r="AY1227" s="77"/>
      <c r="AZ1227" s="81" t="s">
        <v>5773</v>
      </c>
      <c r="BA1227" s="81" t="s">
        <v>5773</v>
      </c>
      <c r="BB1227" s="81" t="s">
        <v>5773</v>
      </c>
      <c r="BC1227" s="81" t="s">
        <v>5570</v>
      </c>
      <c r="BD1227" s="77">
        <v>297885438</v>
      </c>
      <c r="BE1227" s="77"/>
      <c r="BF1227" s="77"/>
      <c r="BG1227" s="77"/>
      <c r="BH1227" s="77"/>
      <c r="BI1227" s="77"/>
    </row>
    <row r="1228" spans="1:61" ht="15">
      <c r="A1228" s="62" t="s">
        <v>299</v>
      </c>
      <c r="B1228" s="62" t="s">
        <v>299</v>
      </c>
      <c r="C1228" s="63"/>
      <c r="D1228" s="64"/>
      <c r="E1228" s="65"/>
      <c r="F1228" s="66"/>
      <c r="G1228" s="63"/>
      <c r="H1228" s="67"/>
      <c r="I1228" s="68"/>
      <c r="J1228" s="68"/>
      <c r="K1228" s="32" t="s">
        <v>65</v>
      </c>
      <c r="L1228" s="75">
        <v>1228</v>
      </c>
      <c r="M1228" s="75"/>
      <c r="N1228" s="70"/>
      <c r="O1228" s="77" t="s">
        <v>179</v>
      </c>
      <c r="P1228" s="79">
        <v>45267.84923611111</v>
      </c>
      <c r="Q1228" s="77" t="s">
        <v>1607</v>
      </c>
      <c r="R1228" s="77">
        <v>0</v>
      </c>
      <c r="S1228" s="77">
        <v>0</v>
      </c>
      <c r="T1228" s="77">
        <v>0</v>
      </c>
      <c r="U1228" s="77">
        <v>0</v>
      </c>
      <c r="V1228" s="77">
        <v>10</v>
      </c>
      <c r="W1228" s="81" t="s">
        <v>1871</v>
      </c>
      <c r="X1228" s="80" t="str">
        <f>HYPERLINK("https://inovies.com")</f>
        <v>https://inovies.com</v>
      </c>
      <c r="Y1228" s="77" t="s">
        <v>1982</v>
      </c>
      <c r="Z1228" s="77"/>
      <c r="AA1228" s="77" t="s">
        <v>2622</v>
      </c>
      <c r="AB1228" s="77" t="s">
        <v>2696</v>
      </c>
      <c r="AC1228" s="81" t="s">
        <v>2707</v>
      </c>
      <c r="AD1228" s="77" t="s">
        <v>2752</v>
      </c>
      <c r="AE1228" s="80" t="str">
        <f>HYPERLINK("https://twitter.com/inovies/status/1732858243494432849")</f>
        <v>https://twitter.com/inovies/status/1732858243494432849</v>
      </c>
      <c r="AF1228" s="79">
        <v>45267.84923611111</v>
      </c>
      <c r="AG1228" s="85">
        <v>45267</v>
      </c>
      <c r="AH1228" s="81" t="s">
        <v>3784</v>
      </c>
      <c r="AI1228" s="77" t="b">
        <v>0</v>
      </c>
      <c r="AJ1228" s="77"/>
      <c r="AK1228" s="77"/>
      <c r="AL1228" s="77"/>
      <c r="AM1228" s="77"/>
      <c r="AN1228" s="77"/>
      <c r="AO1228" s="77"/>
      <c r="AP1228" s="77"/>
      <c r="AQ1228" s="77" t="s">
        <v>4436</v>
      </c>
      <c r="AR1228" s="77"/>
      <c r="AS1228" s="77"/>
      <c r="AT1228" s="77"/>
      <c r="AU1228" s="77"/>
      <c r="AV1228" s="80" t="str">
        <f>HYPERLINK("https://pbs.twimg.com/media/GAxZYTUXAAA0oLq.jpg")</f>
        <v>https://pbs.twimg.com/media/GAxZYTUXAAA0oLq.jpg</v>
      </c>
      <c r="AW1228" s="81" t="s">
        <v>5571</v>
      </c>
      <c r="AX1228" s="81" t="s">
        <v>5571</v>
      </c>
      <c r="AY1228" s="77"/>
      <c r="AZ1228" s="81" t="s">
        <v>5773</v>
      </c>
      <c r="BA1228" s="81" t="s">
        <v>5773</v>
      </c>
      <c r="BB1228" s="81" t="s">
        <v>5773</v>
      </c>
      <c r="BC1228" s="81" t="s">
        <v>5571</v>
      </c>
      <c r="BD1228" s="77">
        <v>297885438</v>
      </c>
      <c r="BE1228" s="77"/>
      <c r="BF1228" s="77"/>
      <c r="BG1228" s="77"/>
      <c r="BH1228" s="77"/>
      <c r="BI1228" s="77"/>
    </row>
    <row r="1229" spans="1:61" ht="15">
      <c r="A1229" s="62" t="s">
        <v>299</v>
      </c>
      <c r="B1229" s="62" t="s">
        <v>299</v>
      </c>
      <c r="C1229" s="63"/>
      <c r="D1229" s="64"/>
      <c r="E1229" s="65"/>
      <c r="F1229" s="66"/>
      <c r="G1229" s="63"/>
      <c r="H1229" s="67"/>
      <c r="I1229" s="68"/>
      <c r="J1229" s="68"/>
      <c r="K1229" s="32" t="s">
        <v>65</v>
      </c>
      <c r="L1229" s="75">
        <v>1229</v>
      </c>
      <c r="M1229" s="75"/>
      <c r="N1229" s="70"/>
      <c r="O1229" s="77" t="s">
        <v>179</v>
      </c>
      <c r="P1229" s="79">
        <v>45267.84862268518</v>
      </c>
      <c r="Q1229" s="77" t="s">
        <v>1608</v>
      </c>
      <c r="R1229" s="77">
        <v>0</v>
      </c>
      <c r="S1229" s="77">
        <v>0</v>
      </c>
      <c r="T1229" s="77">
        <v>0</v>
      </c>
      <c r="U1229" s="77">
        <v>0</v>
      </c>
      <c r="V1229" s="77">
        <v>8</v>
      </c>
      <c r="W1229" s="81" t="s">
        <v>1871</v>
      </c>
      <c r="X1229" s="80" t="str">
        <f>HYPERLINK("https://inovies.com")</f>
        <v>https://inovies.com</v>
      </c>
      <c r="Y1229" s="77" t="s">
        <v>1982</v>
      </c>
      <c r="Z1229" s="77"/>
      <c r="AA1229" s="77" t="s">
        <v>2623</v>
      </c>
      <c r="AB1229" s="77" t="s">
        <v>2696</v>
      </c>
      <c r="AC1229" s="81" t="s">
        <v>2707</v>
      </c>
      <c r="AD1229" s="77" t="s">
        <v>2752</v>
      </c>
      <c r="AE1229" s="80" t="str">
        <f>HYPERLINK("https://twitter.com/inovies/status/1732858018394427453")</f>
        <v>https://twitter.com/inovies/status/1732858018394427453</v>
      </c>
      <c r="AF1229" s="79">
        <v>45267.84862268518</v>
      </c>
      <c r="AG1229" s="85">
        <v>45267</v>
      </c>
      <c r="AH1229" s="81" t="s">
        <v>3785</v>
      </c>
      <c r="AI1229" s="77" t="b">
        <v>0</v>
      </c>
      <c r="AJ1229" s="77"/>
      <c r="AK1229" s="77"/>
      <c r="AL1229" s="77"/>
      <c r="AM1229" s="77"/>
      <c r="AN1229" s="77"/>
      <c r="AO1229" s="77"/>
      <c r="AP1229" s="77"/>
      <c r="AQ1229" s="77" t="s">
        <v>4437</v>
      </c>
      <c r="AR1229" s="77"/>
      <c r="AS1229" s="77"/>
      <c r="AT1229" s="77"/>
      <c r="AU1229" s="77"/>
      <c r="AV1229" s="80" t="str">
        <f>HYPERLINK("https://pbs.twimg.com/media/GAxZLSMXwAAfaEg.jpg")</f>
        <v>https://pbs.twimg.com/media/GAxZLSMXwAAfaEg.jpg</v>
      </c>
      <c r="AW1229" s="81" t="s">
        <v>5572</v>
      </c>
      <c r="AX1229" s="81" t="s">
        <v>5572</v>
      </c>
      <c r="AY1229" s="77"/>
      <c r="AZ1229" s="81" t="s">
        <v>5773</v>
      </c>
      <c r="BA1229" s="81" t="s">
        <v>5773</v>
      </c>
      <c r="BB1229" s="81" t="s">
        <v>5773</v>
      </c>
      <c r="BC1229" s="81" t="s">
        <v>5572</v>
      </c>
      <c r="BD1229" s="77">
        <v>297885438</v>
      </c>
      <c r="BE1229" s="77"/>
      <c r="BF1229" s="77"/>
      <c r="BG1229" s="77"/>
      <c r="BH1229" s="77"/>
      <c r="BI1229" s="77"/>
    </row>
    <row r="1230" spans="1:61" ht="15">
      <c r="A1230" s="62" t="s">
        <v>299</v>
      </c>
      <c r="B1230" s="62" t="s">
        <v>299</v>
      </c>
      <c r="C1230" s="63"/>
      <c r="D1230" s="64"/>
      <c r="E1230" s="65"/>
      <c r="F1230" s="66"/>
      <c r="G1230" s="63"/>
      <c r="H1230" s="67"/>
      <c r="I1230" s="68"/>
      <c r="J1230" s="68"/>
      <c r="K1230" s="32" t="s">
        <v>65</v>
      </c>
      <c r="L1230" s="75">
        <v>1230</v>
      </c>
      <c r="M1230" s="75"/>
      <c r="N1230" s="70"/>
      <c r="O1230" s="77" t="s">
        <v>179</v>
      </c>
      <c r="P1230" s="79">
        <v>45267.84792824074</v>
      </c>
      <c r="Q1230" s="77" t="s">
        <v>1609</v>
      </c>
      <c r="R1230" s="77">
        <v>0</v>
      </c>
      <c r="S1230" s="77">
        <v>0</v>
      </c>
      <c r="T1230" s="77">
        <v>0</v>
      </c>
      <c r="U1230" s="77">
        <v>0</v>
      </c>
      <c r="V1230" s="77">
        <v>8</v>
      </c>
      <c r="W1230" s="81" t="s">
        <v>1871</v>
      </c>
      <c r="X1230" s="80" t="str">
        <f>HYPERLINK("https://inovies.com")</f>
        <v>https://inovies.com</v>
      </c>
      <c r="Y1230" s="77" t="s">
        <v>1982</v>
      </c>
      <c r="Z1230" s="77"/>
      <c r="AA1230" s="77" t="s">
        <v>2624</v>
      </c>
      <c r="AB1230" s="77" t="s">
        <v>2696</v>
      </c>
      <c r="AC1230" s="81" t="s">
        <v>2707</v>
      </c>
      <c r="AD1230" s="77" t="s">
        <v>2752</v>
      </c>
      <c r="AE1230" s="80" t="str">
        <f>HYPERLINK("https://twitter.com/inovies/status/1732857767033987092")</f>
        <v>https://twitter.com/inovies/status/1732857767033987092</v>
      </c>
      <c r="AF1230" s="79">
        <v>45267.84792824074</v>
      </c>
      <c r="AG1230" s="85">
        <v>45267</v>
      </c>
      <c r="AH1230" s="81" t="s">
        <v>3786</v>
      </c>
      <c r="AI1230" s="77" t="b">
        <v>0</v>
      </c>
      <c r="AJ1230" s="77"/>
      <c r="AK1230" s="77"/>
      <c r="AL1230" s="77"/>
      <c r="AM1230" s="77"/>
      <c r="AN1230" s="77"/>
      <c r="AO1230" s="77"/>
      <c r="AP1230" s="77"/>
      <c r="AQ1230" s="77" t="s">
        <v>4438</v>
      </c>
      <c r="AR1230" s="77"/>
      <c r="AS1230" s="77"/>
      <c r="AT1230" s="77"/>
      <c r="AU1230" s="77"/>
      <c r="AV1230" s="80" t="str">
        <f>HYPERLINK("https://pbs.twimg.com/media/GAxY8pfXwAAn0fM.jpg")</f>
        <v>https://pbs.twimg.com/media/GAxY8pfXwAAn0fM.jpg</v>
      </c>
      <c r="AW1230" s="81" t="s">
        <v>5573</v>
      </c>
      <c r="AX1230" s="81" t="s">
        <v>5573</v>
      </c>
      <c r="AY1230" s="77"/>
      <c r="AZ1230" s="81" t="s">
        <v>5773</v>
      </c>
      <c r="BA1230" s="81" t="s">
        <v>5773</v>
      </c>
      <c r="BB1230" s="81" t="s">
        <v>5773</v>
      </c>
      <c r="BC1230" s="81" t="s">
        <v>5573</v>
      </c>
      <c r="BD1230" s="77">
        <v>297885438</v>
      </c>
      <c r="BE1230" s="77"/>
      <c r="BF1230" s="77"/>
      <c r="BG1230" s="77"/>
      <c r="BH1230" s="77"/>
      <c r="BI1230" s="77"/>
    </row>
    <row r="1231" spans="1:61" ht="15">
      <c r="A1231" s="62" t="s">
        <v>299</v>
      </c>
      <c r="B1231" s="62" t="s">
        <v>299</v>
      </c>
      <c r="C1231" s="63"/>
      <c r="D1231" s="64"/>
      <c r="E1231" s="65"/>
      <c r="F1231" s="66"/>
      <c r="G1231" s="63"/>
      <c r="H1231" s="67"/>
      <c r="I1231" s="68"/>
      <c r="J1231" s="68"/>
      <c r="K1231" s="32" t="s">
        <v>65</v>
      </c>
      <c r="L1231" s="75">
        <v>1231</v>
      </c>
      <c r="M1231" s="75"/>
      <c r="N1231" s="70"/>
      <c r="O1231" s="77" t="s">
        <v>179</v>
      </c>
      <c r="P1231" s="79">
        <v>45267.84726851852</v>
      </c>
      <c r="Q1231" s="77" t="s">
        <v>1610</v>
      </c>
      <c r="R1231" s="77">
        <v>0</v>
      </c>
      <c r="S1231" s="77">
        <v>0</v>
      </c>
      <c r="T1231" s="77">
        <v>0</v>
      </c>
      <c r="U1231" s="77">
        <v>0</v>
      </c>
      <c r="V1231" s="77">
        <v>9</v>
      </c>
      <c r="W1231" s="81" t="s">
        <v>1871</v>
      </c>
      <c r="X1231" s="80" t="str">
        <f>HYPERLINK("https://inovies.com")</f>
        <v>https://inovies.com</v>
      </c>
      <c r="Y1231" s="77" t="s">
        <v>1982</v>
      </c>
      <c r="Z1231" s="77"/>
      <c r="AA1231" s="77" t="s">
        <v>2625</v>
      </c>
      <c r="AB1231" s="77" t="s">
        <v>2696</v>
      </c>
      <c r="AC1231" s="81" t="s">
        <v>2707</v>
      </c>
      <c r="AD1231" s="77" t="s">
        <v>2752</v>
      </c>
      <c r="AE1231" s="80" t="str">
        <f>HYPERLINK("https://twitter.com/inovies/status/1732857528831144230")</f>
        <v>https://twitter.com/inovies/status/1732857528831144230</v>
      </c>
      <c r="AF1231" s="79">
        <v>45267.84726851852</v>
      </c>
      <c r="AG1231" s="85">
        <v>45267</v>
      </c>
      <c r="AH1231" s="81" t="s">
        <v>3787</v>
      </c>
      <c r="AI1231" s="77" t="b">
        <v>0</v>
      </c>
      <c r="AJ1231" s="77"/>
      <c r="AK1231" s="77"/>
      <c r="AL1231" s="77"/>
      <c r="AM1231" s="77"/>
      <c r="AN1231" s="77"/>
      <c r="AO1231" s="77"/>
      <c r="AP1231" s="77"/>
      <c r="AQ1231" s="77" t="s">
        <v>4439</v>
      </c>
      <c r="AR1231" s="77"/>
      <c r="AS1231" s="77"/>
      <c r="AT1231" s="77"/>
      <c r="AU1231" s="77"/>
      <c r="AV1231" s="80" t="str">
        <f>HYPERLINK("https://pbs.twimg.com/media/GAxYumZWAAAE0E_.jpg")</f>
        <v>https://pbs.twimg.com/media/GAxYumZWAAAE0E_.jpg</v>
      </c>
      <c r="AW1231" s="81" t="s">
        <v>5574</v>
      </c>
      <c r="AX1231" s="81" t="s">
        <v>5574</v>
      </c>
      <c r="AY1231" s="77"/>
      <c r="AZ1231" s="81" t="s">
        <v>5773</v>
      </c>
      <c r="BA1231" s="81" t="s">
        <v>5773</v>
      </c>
      <c r="BB1231" s="81" t="s">
        <v>5773</v>
      </c>
      <c r="BC1231" s="81" t="s">
        <v>5574</v>
      </c>
      <c r="BD1231" s="77">
        <v>297885438</v>
      </c>
      <c r="BE1231" s="77"/>
      <c r="BF1231" s="77"/>
      <c r="BG1231" s="77"/>
      <c r="BH1231" s="77"/>
      <c r="BI1231" s="77"/>
    </row>
    <row r="1232" spans="1:61" ht="15">
      <c r="A1232" s="62" t="s">
        <v>299</v>
      </c>
      <c r="B1232" s="62" t="s">
        <v>299</v>
      </c>
      <c r="C1232" s="63"/>
      <c r="D1232" s="64"/>
      <c r="E1232" s="65"/>
      <c r="F1232" s="66"/>
      <c r="G1232" s="63"/>
      <c r="H1232" s="67"/>
      <c r="I1232" s="68"/>
      <c r="J1232" s="68"/>
      <c r="K1232" s="32" t="s">
        <v>65</v>
      </c>
      <c r="L1232" s="75">
        <v>1232</v>
      </c>
      <c r="M1232" s="75"/>
      <c r="N1232" s="70"/>
      <c r="O1232" s="77" t="s">
        <v>179</v>
      </c>
      <c r="P1232" s="79">
        <v>45267.846608796295</v>
      </c>
      <c r="Q1232" s="77" t="s">
        <v>1611</v>
      </c>
      <c r="R1232" s="77">
        <v>0</v>
      </c>
      <c r="S1232" s="77">
        <v>0</v>
      </c>
      <c r="T1232" s="77">
        <v>0</v>
      </c>
      <c r="U1232" s="77">
        <v>0</v>
      </c>
      <c r="V1232" s="77">
        <v>7</v>
      </c>
      <c r="W1232" s="81" t="s">
        <v>1871</v>
      </c>
      <c r="X1232" s="80" t="str">
        <f>HYPERLINK("https://inovies.com")</f>
        <v>https://inovies.com</v>
      </c>
      <c r="Y1232" s="77" t="s">
        <v>1982</v>
      </c>
      <c r="Z1232" s="77"/>
      <c r="AA1232" s="77" t="s">
        <v>2626</v>
      </c>
      <c r="AB1232" s="77" t="s">
        <v>2696</v>
      </c>
      <c r="AC1232" s="81" t="s">
        <v>2707</v>
      </c>
      <c r="AD1232" s="77" t="s">
        <v>2752</v>
      </c>
      <c r="AE1232" s="80" t="str">
        <f>HYPERLINK("https://twitter.com/inovies/status/1732857290347180492")</f>
        <v>https://twitter.com/inovies/status/1732857290347180492</v>
      </c>
      <c r="AF1232" s="79">
        <v>45267.846608796295</v>
      </c>
      <c r="AG1232" s="85">
        <v>45267</v>
      </c>
      <c r="AH1232" s="81" t="s">
        <v>3788</v>
      </c>
      <c r="AI1232" s="77" t="b">
        <v>0</v>
      </c>
      <c r="AJ1232" s="77"/>
      <c r="AK1232" s="77"/>
      <c r="AL1232" s="77"/>
      <c r="AM1232" s="77"/>
      <c r="AN1232" s="77"/>
      <c r="AO1232" s="77"/>
      <c r="AP1232" s="77"/>
      <c r="AQ1232" s="77" t="s">
        <v>4440</v>
      </c>
      <c r="AR1232" s="77"/>
      <c r="AS1232" s="77"/>
      <c r="AT1232" s="77"/>
      <c r="AU1232" s="77"/>
      <c r="AV1232" s="80" t="str">
        <f>HYPERLINK("https://pbs.twimg.com/media/GAxYgRmWMAAQb9K.jpg")</f>
        <v>https://pbs.twimg.com/media/GAxYgRmWMAAQb9K.jpg</v>
      </c>
      <c r="AW1232" s="81" t="s">
        <v>5575</v>
      </c>
      <c r="AX1232" s="81" t="s">
        <v>5575</v>
      </c>
      <c r="AY1232" s="77"/>
      <c r="AZ1232" s="81" t="s">
        <v>5773</v>
      </c>
      <c r="BA1232" s="81" t="s">
        <v>5773</v>
      </c>
      <c r="BB1232" s="81" t="s">
        <v>5773</v>
      </c>
      <c r="BC1232" s="81" t="s">
        <v>5575</v>
      </c>
      <c r="BD1232" s="77">
        <v>297885438</v>
      </c>
      <c r="BE1232" s="77"/>
      <c r="BF1232" s="77"/>
      <c r="BG1232" s="77"/>
      <c r="BH1232" s="77"/>
      <c r="BI1232" s="77"/>
    </row>
    <row r="1233" spans="1:61" ht="15">
      <c r="A1233" s="62" t="s">
        <v>299</v>
      </c>
      <c r="B1233" s="62" t="s">
        <v>299</v>
      </c>
      <c r="C1233" s="63"/>
      <c r="D1233" s="64"/>
      <c r="E1233" s="65"/>
      <c r="F1233" s="66"/>
      <c r="G1233" s="63"/>
      <c r="H1233" s="67"/>
      <c r="I1233" s="68"/>
      <c r="J1233" s="68"/>
      <c r="K1233" s="32" t="s">
        <v>65</v>
      </c>
      <c r="L1233" s="75">
        <v>1233</v>
      </c>
      <c r="M1233" s="75"/>
      <c r="N1233" s="70"/>
      <c r="O1233" s="77" t="s">
        <v>179</v>
      </c>
      <c r="P1233" s="79">
        <v>45267.8437962963</v>
      </c>
      <c r="Q1233" s="77" t="s">
        <v>1612</v>
      </c>
      <c r="R1233" s="77">
        <v>0</v>
      </c>
      <c r="S1233" s="77">
        <v>0</v>
      </c>
      <c r="T1233" s="77">
        <v>0</v>
      </c>
      <c r="U1233" s="77">
        <v>0</v>
      </c>
      <c r="V1233" s="77">
        <v>7</v>
      </c>
      <c r="W1233" s="81" t="s">
        <v>1871</v>
      </c>
      <c r="X1233" s="80" t="str">
        <f>HYPERLINK("https://inovies.com")</f>
        <v>https://inovies.com</v>
      </c>
      <c r="Y1233" s="77" t="s">
        <v>1982</v>
      </c>
      <c r="Z1233" s="77"/>
      <c r="AA1233" s="77" t="s">
        <v>2627</v>
      </c>
      <c r="AB1233" s="77" t="s">
        <v>2696</v>
      </c>
      <c r="AC1233" s="81" t="s">
        <v>2707</v>
      </c>
      <c r="AD1233" s="77" t="s">
        <v>2752</v>
      </c>
      <c r="AE1233" s="80" t="str">
        <f>HYPERLINK("https://twitter.com/inovies/status/1732856272595141090")</f>
        <v>https://twitter.com/inovies/status/1732856272595141090</v>
      </c>
      <c r="AF1233" s="79">
        <v>45267.8437962963</v>
      </c>
      <c r="AG1233" s="85">
        <v>45267</v>
      </c>
      <c r="AH1233" s="81" t="s">
        <v>3789</v>
      </c>
      <c r="AI1233" s="77" t="b">
        <v>0</v>
      </c>
      <c r="AJ1233" s="77"/>
      <c r="AK1233" s="77"/>
      <c r="AL1233" s="77"/>
      <c r="AM1233" s="77"/>
      <c r="AN1233" s="77"/>
      <c r="AO1233" s="77"/>
      <c r="AP1233" s="77"/>
      <c r="AQ1233" s="77" t="s">
        <v>4441</v>
      </c>
      <c r="AR1233" s="77"/>
      <c r="AS1233" s="77"/>
      <c r="AT1233" s="77"/>
      <c r="AU1233" s="77"/>
      <c r="AV1233" s="80" t="str">
        <f>HYPERLINK("https://pbs.twimg.com/media/GAxXlqDXMAACuXs.jpg")</f>
        <v>https://pbs.twimg.com/media/GAxXlqDXMAACuXs.jpg</v>
      </c>
      <c r="AW1233" s="81" t="s">
        <v>5576</v>
      </c>
      <c r="AX1233" s="81" t="s">
        <v>5576</v>
      </c>
      <c r="AY1233" s="77"/>
      <c r="AZ1233" s="81" t="s">
        <v>5773</v>
      </c>
      <c r="BA1233" s="81" t="s">
        <v>5773</v>
      </c>
      <c r="BB1233" s="81" t="s">
        <v>5773</v>
      </c>
      <c r="BC1233" s="81" t="s">
        <v>5576</v>
      </c>
      <c r="BD1233" s="77">
        <v>297885438</v>
      </c>
      <c r="BE1233" s="77"/>
      <c r="BF1233" s="77"/>
      <c r="BG1233" s="77"/>
      <c r="BH1233" s="77"/>
      <c r="BI1233" s="77"/>
    </row>
    <row r="1234" spans="1:61" ht="15">
      <c r="A1234" s="62" t="s">
        <v>299</v>
      </c>
      <c r="B1234" s="62" t="s">
        <v>299</v>
      </c>
      <c r="C1234" s="63"/>
      <c r="D1234" s="64"/>
      <c r="E1234" s="65"/>
      <c r="F1234" s="66"/>
      <c r="G1234" s="63"/>
      <c r="H1234" s="67"/>
      <c r="I1234" s="68"/>
      <c r="J1234" s="68"/>
      <c r="K1234" s="32" t="s">
        <v>65</v>
      </c>
      <c r="L1234" s="75">
        <v>1234</v>
      </c>
      <c r="M1234" s="75"/>
      <c r="N1234" s="70"/>
      <c r="O1234" s="77" t="s">
        <v>179</v>
      </c>
      <c r="P1234" s="79">
        <v>45267.843310185184</v>
      </c>
      <c r="Q1234" s="77" t="s">
        <v>1613</v>
      </c>
      <c r="R1234" s="77">
        <v>0</v>
      </c>
      <c r="S1234" s="77">
        <v>0</v>
      </c>
      <c r="T1234" s="77">
        <v>0</v>
      </c>
      <c r="U1234" s="77">
        <v>0</v>
      </c>
      <c r="V1234" s="77">
        <v>6</v>
      </c>
      <c r="W1234" s="81" t="s">
        <v>1871</v>
      </c>
      <c r="X1234" s="80" t="str">
        <f>HYPERLINK("https://inovies.com")</f>
        <v>https://inovies.com</v>
      </c>
      <c r="Y1234" s="77" t="s">
        <v>1982</v>
      </c>
      <c r="Z1234" s="77"/>
      <c r="AA1234" s="77" t="s">
        <v>2628</v>
      </c>
      <c r="AB1234" s="77" t="s">
        <v>2696</v>
      </c>
      <c r="AC1234" s="81" t="s">
        <v>2707</v>
      </c>
      <c r="AD1234" s="77" t="s">
        <v>2752</v>
      </c>
      <c r="AE1234" s="80" t="str">
        <f>HYPERLINK("https://twitter.com/inovies/status/1732856094278525129")</f>
        <v>https://twitter.com/inovies/status/1732856094278525129</v>
      </c>
      <c r="AF1234" s="79">
        <v>45267.843310185184</v>
      </c>
      <c r="AG1234" s="85">
        <v>45267</v>
      </c>
      <c r="AH1234" s="81" t="s">
        <v>3790</v>
      </c>
      <c r="AI1234" s="77" t="b">
        <v>0</v>
      </c>
      <c r="AJ1234" s="77"/>
      <c r="AK1234" s="77"/>
      <c r="AL1234" s="77"/>
      <c r="AM1234" s="77"/>
      <c r="AN1234" s="77"/>
      <c r="AO1234" s="77"/>
      <c r="AP1234" s="77"/>
      <c r="AQ1234" s="77" t="s">
        <v>4442</v>
      </c>
      <c r="AR1234" s="77"/>
      <c r="AS1234" s="77"/>
      <c r="AT1234" s="77"/>
      <c r="AU1234" s="77"/>
      <c r="AV1234" s="80" t="str">
        <f>HYPERLINK("https://pbs.twimg.com/media/GAxXbImXgAAa1mK.jpg")</f>
        <v>https://pbs.twimg.com/media/GAxXbImXgAAa1mK.jpg</v>
      </c>
      <c r="AW1234" s="81" t="s">
        <v>5577</v>
      </c>
      <c r="AX1234" s="81" t="s">
        <v>5577</v>
      </c>
      <c r="AY1234" s="77"/>
      <c r="AZ1234" s="81" t="s">
        <v>5773</v>
      </c>
      <c r="BA1234" s="81" t="s">
        <v>5773</v>
      </c>
      <c r="BB1234" s="81" t="s">
        <v>5773</v>
      </c>
      <c r="BC1234" s="81" t="s">
        <v>5577</v>
      </c>
      <c r="BD1234" s="77">
        <v>297885438</v>
      </c>
      <c r="BE1234" s="77"/>
      <c r="BF1234" s="77"/>
      <c r="BG1234" s="77"/>
      <c r="BH1234" s="77"/>
      <c r="BI1234" s="77"/>
    </row>
    <row r="1235" spans="1:61" ht="15">
      <c r="A1235" s="62" t="s">
        <v>299</v>
      </c>
      <c r="B1235" s="62" t="s">
        <v>299</v>
      </c>
      <c r="C1235" s="63"/>
      <c r="D1235" s="64"/>
      <c r="E1235" s="65"/>
      <c r="F1235" s="66"/>
      <c r="G1235" s="63"/>
      <c r="H1235" s="67"/>
      <c r="I1235" s="68"/>
      <c r="J1235" s="68"/>
      <c r="K1235" s="32" t="s">
        <v>65</v>
      </c>
      <c r="L1235" s="75">
        <v>1235</v>
      </c>
      <c r="M1235" s="75"/>
      <c r="N1235" s="70"/>
      <c r="O1235" s="77" t="s">
        <v>575</v>
      </c>
      <c r="P1235" s="79">
        <v>44357.21910879629</v>
      </c>
      <c r="Q1235" s="77" t="s">
        <v>826</v>
      </c>
      <c r="R1235" s="77">
        <v>0</v>
      </c>
      <c r="S1235" s="77">
        <v>1</v>
      </c>
      <c r="T1235" s="77">
        <v>0</v>
      </c>
      <c r="U1235" s="77">
        <v>0</v>
      </c>
      <c r="V1235" s="77"/>
      <c r="W1235" s="77"/>
      <c r="X1235" s="80" t="str">
        <f>HYPERLINK("https://twitter.com/inovies/status/1402693044516757504")</f>
        <v>https://twitter.com/inovies/status/1402693044516757504</v>
      </c>
      <c r="Y1235" s="77" t="s">
        <v>2000</v>
      </c>
      <c r="Z1235" s="77" t="s">
        <v>495</v>
      </c>
      <c r="AA1235" s="77"/>
      <c r="AB1235" s="77"/>
      <c r="AC1235" s="81" t="s">
        <v>2707</v>
      </c>
      <c r="AD1235" s="77" t="s">
        <v>2752</v>
      </c>
      <c r="AE1235" s="80" t="str">
        <f>HYPERLINK("https://twitter.com/inovies/status/1402856934579916805")</f>
        <v>https://twitter.com/inovies/status/1402856934579916805</v>
      </c>
      <c r="AF1235" s="79">
        <v>44357.21910879629</v>
      </c>
      <c r="AG1235" s="85">
        <v>44357</v>
      </c>
      <c r="AH1235" s="81" t="s">
        <v>3015</v>
      </c>
      <c r="AI1235" s="77" t="b">
        <v>0</v>
      </c>
      <c r="AJ1235" s="77"/>
      <c r="AK1235" s="77"/>
      <c r="AL1235" s="77"/>
      <c r="AM1235" s="77"/>
      <c r="AN1235" s="77"/>
      <c r="AO1235" s="77"/>
      <c r="AP1235" s="77"/>
      <c r="AQ1235" s="77"/>
      <c r="AR1235" s="77"/>
      <c r="AS1235" s="77"/>
      <c r="AT1235" s="77"/>
      <c r="AU1235" s="77"/>
      <c r="AV1235" s="80" t="str">
        <f>HYPERLINK("https://pbs.twimg.com/profile_images/833576943677214720/5ZyUgpEJ_normal.jpg")</f>
        <v>https://pbs.twimg.com/profile_images/833576943677214720/5ZyUgpEJ_normal.jpg</v>
      </c>
      <c r="AW1235" s="81" t="s">
        <v>4761</v>
      </c>
      <c r="AX1235" s="81" t="s">
        <v>5695</v>
      </c>
      <c r="AY1235" s="81" t="s">
        <v>5746</v>
      </c>
      <c r="AZ1235" s="81" t="s">
        <v>5695</v>
      </c>
      <c r="BA1235" s="81" t="s">
        <v>5168</v>
      </c>
      <c r="BB1235" s="81" t="s">
        <v>5773</v>
      </c>
      <c r="BC1235" s="81" t="s">
        <v>5695</v>
      </c>
      <c r="BD1235" s="77">
        <v>297885438</v>
      </c>
      <c r="BE1235" s="77"/>
      <c r="BF1235" s="77"/>
      <c r="BG1235" s="77"/>
      <c r="BH1235" s="77"/>
      <c r="BI1235" s="77"/>
    </row>
    <row r="1236" spans="1:61" ht="15">
      <c r="A1236" s="62" t="s">
        <v>299</v>
      </c>
      <c r="B1236" s="62" t="s">
        <v>299</v>
      </c>
      <c r="C1236" s="63"/>
      <c r="D1236" s="64"/>
      <c r="E1236" s="65"/>
      <c r="F1236" s="66"/>
      <c r="G1236" s="63"/>
      <c r="H1236" s="67"/>
      <c r="I1236" s="68"/>
      <c r="J1236" s="68"/>
      <c r="K1236" s="32" t="s">
        <v>65</v>
      </c>
      <c r="L1236" s="75">
        <v>1236</v>
      </c>
      <c r="M1236" s="75"/>
      <c r="N1236" s="70"/>
      <c r="O1236" s="77" t="s">
        <v>575</v>
      </c>
      <c r="P1236" s="79">
        <v>44357.164814814816</v>
      </c>
      <c r="Q1236" s="77" t="s">
        <v>827</v>
      </c>
      <c r="R1236" s="77">
        <v>0</v>
      </c>
      <c r="S1236" s="77">
        <v>0</v>
      </c>
      <c r="T1236" s="77">
        <v>0</v>
      </c>
      <c r="U1236" s="77">
        <v>0</v>
      </c>
      <c r="V1236" s="77"/>
      <c r="W1236" s="77"/>
      <c r="X1236" s="80" t="str">
        <f>HYPERLINK("https://twitter.com/Inovies/status/1402693044516757504")</f>
        <v>https://twitter.com/Inovies/status/1402693044516757504</v>
      </c>
      <c r="Y1236" s="77" t="s">
        <v>2000</v>
      </c>
      <c r="Z1236" s="77" t="s">
        <v>2077</v>
      </c>
      <c r="AA1236" s="77"/>
      <c r="AB1236" s="77"/>
      <c r="AC1236" s="81" t="s">
        <v>2707</v>
      </c>
      <c r="AD1236" s="77" t="s">
        <v>2752</v>
      </c>
      <c r="AE1236" s="80" t="str">
        <f>HYPERLINK("https://twitter.com/inovies/status/1402837258785333248")</f>
        <v>https://twitter.com/inovies/status/1402837258785333248</v>
      </c>
      <c r="AF1236" s="79">
        <v>44357.164814814816</v>
      </c>
      <c r="AG1236" s="85">
        <v>44357</v>
      </c>
      <c r="AH1236" s="81" t="s">
        <v>3016</v>
      </c>
      <c r="AI1236" s="77" t="b">
        <v>0</v>
      </c>
      <c r="AJ1236" s="77"/>
      <c r="AK1236" s="77"/>
      <c r="AL1236" s="77"/>
      <c r="AM1236" s="77"/>
      <c r="AN1236" s="77"/>
      <c r="AO1236" s="77"/>
      <c r="AP1236" s="77"/>
      <c r="AQ1236" s="77"/>
      <c r="AR1236" s="77"/>
      <c r="AS1236" s="77"/>
      <c r="AT1236" s="77"/>
      <c r="AU1236" s="77"/>
      <c r="AV1236" s="80" t="str">
        <f>HYPERLINK("https://pbs.twimg.com/profile_images/833576943677214720/5ZyUgpEJ_normal.jpg")</f>
        <v>https://pbs.twimg.com/profile_images/833576943677214720/5ZyUgpEJ_normal.jpg</v>
      </c>
      <c r="AW1236" s="81" t="s">
        <v>4762</v>
      </c>
      <c r="AX1236" s="81" t="s">
        <v>5696</v>
      </c>
      <c r="AY1236" s="81" t="s">
        <v>5747</v>
      </c>
      <c r="AZ1236" s="81" t="s">
        <v>5779</v>
      </c>
      <c r="BA1236" s="81" t="s">
        <v>5168</v>
      </c>
      <c r="BB1236" s="81" t="s">
        <v>5773</v>
      </c>
      <c r="BC1236" s="81" t="s">
        <v>5779</v>
      </c>
      <c r="BD1236" s="77">
        <v>297885438</v>
      </c>
      <c r="BE1236" s="77"/>
      <c r="BF1236" s="77"/>
      <c r="BG1236" s="77"/>
      <c r="BH1236" s="77"/>
      <c r="BI1236" s="77"/>
    </row>
    <row r="1237" spans="1:61" ht="15">
      <c r="A1237" s="62" t="s">
        <v>299</v>
      </c>
      <c r="B1237" s="62" t="s">
        <v>299</v>
      </c>
      <c r="C1237" s="63"/>
      <c r="D1237" s="64"/>
      <c r="E1237" s="65"/>
      <c r="F1237" s="66"/>
      <c r="G1237" s="63"/>
      <c r="H1237" s="67"/>
      <c r="I1237" s="68"/>
      <c r="J1237" s="68"/>
      <c r="K1237" s="32" t="s">
        <v>65</v>
      </c>
      <c r="L1237" s="75">
        <v>1237</v>
      </c>
      <c r="M1237" s="75"/>
      <c r="N1237" s="70"/>
      <c r="O1237" s="77" t="s">
        <v>575</v>
      </c>
      <c r="P1237" s="79">
        <v>44357.163773148146</v>
      </c>
      <c r="Q1237" s="77" t="s">
        <v>828</v>
      </c>
      <c r="R1237" s="77">
        <v>0</v>
      </c>
      <c r="S1237" s="77">
        <v>0</v>
      </c>
      <c r="T1237" s="77">
        <v>0</v>
      </c>
      <c r="U1237" s="77">
        <v>0</v>
      </c>
      <c r="V1237" s="77"/>
      <c r="W1237" s="77"/>
      <c r="X1237" s="80" t="str">
        <f>HYPERLINK("https://twitter.com/Inovies/status/1402693044516757504")</f>
        <v>https://twitter.com/Inovies/status/1402693044516757504</v>
      </c>
      <c r="Y1237" s="77" t="s">
        <v>2000</v>
      </c>
      <c r="Z1237" s="77" t="s">
        <v>544</v>
      </c>
      <c r="AA1237" s="77"/>
      <c r="AB1237" s="77"/>
      <c r="AC1237" s="81" t="s">
        <v>2707</v>
      </c>
      <c r="AD1237" s="77" t="s">
        <v>2752</v>
      </c>
      <c r="AE1237" s="80" t="str">
        <f>HYPERLINK("https://twitter.com/inovies/status/1402836880370987011")</f>
        <v>https://twitter.com/inovies/status/1402836880370987011</v>
      </c>
      <c r="AF1237" s="79">
        <v>44357.163773148146</v>
      </c>
      <c r="AG1237" s="85">
        <v>44357</v>
      </c>
      <c r="AH1237" s="81" t="s">
        <v>3017</v>
      </c>
      <c r="AI1237" s="77" t="b">
        <v>0</v>
      </c>
      <c r="AJ1237" s="77"/>
      <c r="AK1237" s="77"/>
      <c r="AL1237" s="77"/>
      <c r="AM1237" s="77"/>
      <c r="AN1237" s="77"/>
      <c r="AO1237" s="77"/>
      <c r="AP1237" s="77"/>
      <c r="AQ1237" s="77"/>
      <c r="AR1237" s="77"/>
      <c r="AS1237" s="77"/>
      <c r="AT1237" s="77"/>
      <c r="AU1237" s="77"/>
      <c r="AV1237" s="80" t="str">
        <f>HYPERLINK("https://pbs.twimg.com/profile_images/833576943677214720/5ZyUgpEJ_normal.jpg")</f>
        <v>https://pbs.twimg.com/profile_images/833576943677214720/5ZyUgpEJ_normal.jpg</v>
      </c>
      <c r="AW1237" s="81" t="s">
        <v>4763</v>
      </c>
      <c r="AX1237" s="81" t="s">
        <v>5697</v>
      </c>
      <c r="AY1237" s="81" t="s">
        <v>5748</v>
      </c>
      <c r="AZ1237" s="81" t="s">
        <v>5780</v>
      </c>
      <c r="BA1237" s="81" t="s">
        <v>5168</v>
      </c>
      <c r="BB1237" s="81" t="s">
        <v>5773</v>
      </c>
      <c r="BC1237" s="81" t="s">
        <v>5780</v>
      </c>
      <c r="BD1237" s="77">
        <v>297885438</v>
      </c>
      <c r="BE1237" s="77"/>
      <c r="BF1237" s="77"/>
      <c r="BG1237" s="77"/>
      <c r="BH1237" s="77"/>
      <c r="BI1237" s="77"/>
    </row>
    <row r="1238" spans="1:61" ht="15">
      <c r="A1238" s="62" t="s">
        <v>299</v>
      </c>
      <c r="B1238" s="62" t="s">
        <v>299</v>
      </c>
      <c r="C1238" s="63"/>
      <c r="D1238" s="64"/>
      <c r="E1238" s="65"/>
      <c r="F1238" s="66"/>
      <c r="G1238" s="63"/>
      <c r="H1238" s="67"/>
      <c r="I1238" s="68"/>
      <c r="J1238" s="68"/>
      <c r="K1238" s="32" t="s">
        <v>65</v>
      </c>
      <c r="L1238" s="75">
        <v>1238</v>
      </c>
      <c r="M1238" s="75"/>
      <c r="N1238" s="70"/>
      <c r="O1238" s="77" t="s">
        <v>575</v>
      </c>
      <c r="P1238" s="79">
        <v>44357.16365740741</v>
      </c>
      <c r="Q1238" s="77" t="s">
        <v>829</v>
      </c>
      <c r="R1238" s="77">
        <v>0</v>
      </c>
      <c r="S1238" s="77">
        <v>0</v>
      </c>
      <c r="T1238" s="77">
        <v>0</v>
      </c>
      <c r="U1238" s="77">
        <v>0</v>
      </c>
      <c r="V1238" s="77"/>
      <c r="W1238" s="77"/>
      <c r="X1238" s="80" t="str">
        <f>HYPERLINK("https://twitter.com/Inovies/status/1402693044516757504")</f>
        <v>https://twitter.com/Inovies/status/1402693044516757504</v>
      </c>
      <c r="Y1238" s="77" t="s">
        <v>2000</v>
      </c>
      <c r="Z1238" s="77" t="s">
        <v>499</v>
      </c>
      <c r="AA1238" s="77"/>
      <c r="AB1238" s="77"/>
      <c r="AC1238" s="81" t="s">
        <v>2707</v>
      </c>
      <c r="AD1238" s="77" t="s">
        <v>2752</v>
      </c>
      <c r="AE1238" s="80" t="str">
        <f>HYPERLINK("https://twitter.com/inovies/status/1402836838100787203")</f>
        <v>https://twitter.com/inovies/status/1402836838100787203</v>
      </c>
      <c r="AF1238" s="79">
        <v>44357.16365740741</v>
      </c>
      <c r="AG1238" s="85">
        <v>44357</v>
      </c>
      <c r="AH1238" s="81" t="s">
        <v>3018</v>
      </c>
      <c r="AI1238" s="77" t="b">
        <v>0</v>
      </c>
      <c r="AJ1238" s="77"/>
      <c r="AK1238" s="77"/>
      <c r="AL1238" s="77"/>
      <c r="AM1238" s="77"/>
      <c r="AN1238" s="77"/>
      <c r="AO1238" s="77"/>
      <c r="AP1238" s="77"/>
      <c r="AQ1238" s="77"/>
      <c r="AR1238" s="77"/>
      <c r="AS1238" s="77"/>
      <c r="AT1238" s="77"/>
      <c r="AU1238" s="77"/>
      <c r="AV1238" s="80" t="str">
        <f>HYPERLINK("https://pbs.twimg.com/profile_images/833576943677214720/5ZyUgpEJ_normal.jpg")</f>
        <v>https://pbs.twimg.com/profile_images/833576943677214720/5ZyUgpEJ_normal.jpg</v>
      </c>
      <c r="AW1238" s="81" t="s">
        <v>4764</v>
      </c>
      <c r="AX1238" s="81" t="s">
        <v>5698</v>
      </c>
      <c r="AY1238" s="81" t="s">
        <v>5749</v>
      </c>
      <c r="AZ1238" s="81" t="s">
        <v>5698</v>
      </c>
      <c r="BA1238" s="81" t="s">
        <v>5168</v>
      </c>
      <c r="BB1238" s="81" t="s">
        <v>5773</v>
      </c>
      <c r="BC1238" s="81" t="s">
        <v>5698</v>
      </c>
      <c r="BD1238" s="77">
        <v>297885438</v>
      </c>
      <c r="BE1238" s="77"/>
      <c r="BF1238" s="77"/>
      <c r="BG1238" s="77"/>
      <c r="BH1238" s="77"/>
      <c r="BI1238" s="77"/>
    </row>
    <row r="1239" spans="1:61" ht="15">
      <c r="A1239" s="62" t="s">
        <v>299</v>
      </c>
      <c r="B1239" s="62" t="s">
        <v>299</v>
      </c>
      <c r="C1239" s="63"/>
      <c r="D1239" s="64"/>
      <c r="E1239" s="65"/>
      <c r="F1239" s="66"/>
      <c r="G1239" s="63"/>
      <c r="H1239" s="67"/>
      <c r="I1239" s="68"/>
      <c r="J1239" s="68"/>
      <c r="K1239" s="32" t="s">
        <v>65</v>
      </c>
      <c r="L1239" s="75">
        <v>1239</v>
      </c>
      <c r="M1239" s="75"/>
      <c r="N1239" s="70"/>
      <c r="O1239" s="77" t="s">
        <v>575</v>
      </c>
      <c r="P1239" s="79">
        <v>44357.163564814815</v>
      </c>
      <c r="Q1239" s="77" t="s">
        <v>830</v>
      </c>
      <c r="R1239" s="77">
        <v>0</v>
      </c>
      <c r="S1239" s="77">
        <v>0</v>
      </c>
      <c r="T1239" s="77">
        <v>0</v>
      </c>
      <c r="U1239" s="77">
        <v>0</v>
      </c>
      <c r="V1239" s="77"/>
      <c r="W1239" s="77"/>
      <c r="X1239" s="80" t="str">
        <f>HYPERLINK("https://twitter.com/Inovies/status/1402693044516757504")</f>
        <v>https://twitter.com/Inovies/status/1402693044516757504</v>
      </c>
      <c r="Y1239" s="77" t="s">
        <v>2000</v>
      </c>
      <c r="Z1239" s="77" t="s">
        <v>2078</v>
      </c>
      <c r="AA1239" s="77"/>
      <c r="AB1239" s="77"/>
      <c r="AC1239" s="81" t="s">
        <v>2707</v>
      </c>
      <c r="AD1239" s="77" t="s">
        <v>2752</v>
      </c>
      <c r="AE1239" s="80" t="str">
        <f>HYPERLINK("https://twitter.com/inovies/status/1402836807088164864")</f>
        <v>https://twitter.com/inovies/status/1402836807088164864</v>
      </c>
      <c r="AF1239" s="79">
        <v>44357.163564814815</v>
      </c>
      <c r="AG1239" s="85">
        <v>44357</v>
      </c>
      <c r="AH1239" s="81" t="s">
        <v>3019</v>
      </c>
      <c r="AI1239" s="77" t="b">
        <v>0</v>
      </c>
      <c r="AJ1239" s="77"/>
      <c r="AK1239" s="77"/>
      <c r="AL1239" s="77"/>
      <c r="AM1239" s="77"/>
      <c r="AN1239" s="77"/>
      <c r="AO1239" s="77"/>
      <c r="AP1239" s="77"/>
      <c r="AQ1239" s="77"/>
      <c r="AR1239" s="77"/>
      <c r="AS1239" s="77"/>
      <c r="AT1239" s="77"/>
      <c r="AU1239" s="77"/>
      <c r="AV1239" s="80" t="str">
        <f>HYPERLINK("https://pbs.twimg.com/profile_images/833576943677214720/5ZyUgpEJ_normal.jpg")</f>
        <v>https://pbs.twimg.com/profile_images/833576943677214720/5ZyUgpEJ_normal.jpg</v>
      </c>
      <c r="AW1239" s="81" t="s">
        <v>4765</v>
      </c>
      <c r="AX1239" s="81" t="s">
        <v>5699</v>
      </c>
      <c r="AY1239" s="81" t="s">
        <v>5750</v>
      </c>
      <c r="AZ1239" s="81" t="s">
        <v>5699</v>
      </c>
      <c r="BA1239" s="81" t="s">
        <v>5168</v>
      </c>
      <c r="BB1239" s="81" t="s">
        <v>5773</v>
      </c>
      <c r="BC1239" s="81" t="s">
        <v>5699</v>
      </c>
      <c r="BD1239" s="77">
        <v>297885438</v>
      </c>
      <c r="BE1239" s="77"/>
      <c r="BF1239" s="77"/>
      <c r="BG1239" s="77"/>
      <c r="BH1239" s="77"/>
      <c r="BI1239" s="77"/>
    </row>
    <row r="1240" spans="1:61" ht="15">
      <c r="A1240" s="62" t="s">
        <v>299</v>
      </c>
      <c r="B1240" s="62" t="s">
        <v>299</v>
      </c>
      <c r="C1240" s="63"/>
      <c r="D1240" s="64"/>
      <c r="E1240" s="65"/>
      <c r="F1240" s="66"/>
      <c r="G1240" s="63"/>
      <c r="H1240" s="67"/>
      <c r="I1240" s="68"/>
      <c r="J1240" s="68"/>
      <c r="K1240" s="32" t="s">
        <v>65</v>
      </c>
      <c r="L1240" s="75">
        <v>1240</v>
      </c>
      <c r="M1240" s="75"/>
      <c r="N1240" s="70"/>
      <c r="O1240" s="77" t="s">
        <v>575</v>
      </c>
      <c r="P1240" s="79">
        <v>44357.15969907407</v>
      </c>
      <c r="Q1240" s="77" t="s">
        <v>831</v>
      </c>
      <c r="R1240" s="77">
        <v>0</v>
      </c>
      <c r="S1240" s="77">
        <v>0</v>
      </c>
      <c r="T1240" s="77">
        <v>0</v>
      </c>
      <c r="U1240" s="77">
        <v>0</v>
      </c>
      <c r="V1240" s="77"/>
      <c r="W1240" s="77"/>
      <c r="X1240" s="80" t="str">
        <f>HYPERLINK("https://twitter.com/Inovies/status/1402693044516757504")</f>
        <v>https://twitter.com/Inovies/status/1402693044516757504</v>
      </c>
      <c r="Y1240" s="77" t="s">
        <v>2000</v>
      </c>
      <c r="Z1240" s="77" t="s">
        <v>502</v>
      </c>
      <c r="AA1240" s="77"/>
      <c r="AB1240" s="77"/>
      <c r="AC1240" s="81" t="s">
        <v>2707</v>
      </c>
      <c r="AD1240" s="77" t="s">
        <v>2752</v>
      </c>
      <c r="AE1240" s="80" t="str">
        <f>HYPERLINK("https://twitter.com/inovies/status/1402835403174944768")</f>
        <v>https://twitter.com/inovies/status/1402835403174944768</v>
      </c>
      <c r="AF1240" s="79">
        <v>44357.15969907407</v>
      </c>
      <c r="AG1240" s="85">
        <v>44357</v>
      </c>
      <c r="AH1240" s="81" t="s">
        <v>3020</v>
      </c>
      <c r="AI1240" s="77" t="b">
        <v>0</v>
      </c>
      <c r="AJ1240" s="77"/>
      <c r="AK1240" s="77"/>
      <c r="AL1240" s="77"/>
      <c r="AM1240" s="77"/>
      <c r="AN1240" s="77"/>
      <c r="AO1240" s="77"/>
      <c r="AP1240" s="77"/>
      <c r="AQ1240" s="77"/>
      <c r="AR1240" s="77"/>
      <c r="AS1240" s="77"/>
      <c r="AT1240" s="77"/>
      <c r="AU1240" s="77"/>
      <c r="AV1240" s="80" t="str">
        <f>HYPERLINK("https://pbs.twimg.com/profile_images/833576943677214720/5ZyUgpEJ_normal.jpg")</f>
        <v>https://pbs.twimg.com/profile_images/833576943677214720/5ZyUgpEJ_normal.jpg</v>
      </c>
      <c r="AW1240" s="81" t="s">
        <v>4766</v>
      </c>
      <c r="AX1240" s="81" t="s">
        <v>5700</v>
      </c>
      <c r="AY1240" s="81" t="s">
        <v>5751</v>
      </c>
      <c r="AZ1240" s="81" t="s">
        <v>5700</v>
      </c>
      <c r="BA1240" s="81" t="s">
        <v>5168</v>
      </c>
      <c r="BB1240" s="81" t="s">
        <v>5773</v>
      </c>
      <c r="BC1240" s="81" t="s">
        <v>5700</v>
      </c>
      <c r="BD1240" s="77">
        <v>297885438</v>
      </c>
      <c r="BE1240" s="77"/>
      <c r="BF1240" s="77"/>
      <c r="BG1240" s="77"/>
      <c r="BH1240" s="77"/>
      <c r="BI1240" s="77"/>
    </row>
    <row r="1241" spans="1:61" ht="15">
      <c r="A1241" s="62" t="s">
        <v>299</v>
      </c>
      <c r="B1241" s="62" t="s">
        <v>299</v>
      </c>
      <c r="C1241" s="63"/>
      <c r="D1241" s="64"/>
      <c r="E1241" s="65"/>
      <c r="F1241" s="66"/>
      <c r="G1241" s="63"/>
      <c r="H1241" s="67"/>
      <c r="I1241" s="68"/>
      <c r="J1241" s="68"/>
      <c r="K1241" s="32" t="s">
        <v>65</v>
      </c>
      <c r="L1241" s="75">
        <v>1241</v>
      </c>
      <c r="M1241" s="75"/>
      <c r="N1241" s="70"/>
      <c r="O1241" s="77" t="s">
        <v>575</v>
      </c>
      <c r="P1241" s="79">
        <v>44357.101319444446</v>
      </c>
      <c r="Q1241" s="77" t="s">
        <v>925</v>
      </c>
      <c r="R1241" s="77">
        <v>0</v>
      </c>
      <c r="S1241" s="77">
        <v>0</v>
      </c>
      <c r="T1241" s="77">
        <v>0</v>
      </c>
      <c r="U1241" s="77">
        <v>0</v>
      </c>
      <c r="V1241" s="77"/>
      <c r="W1241" s="77"/>
      <c r="X1241" s="80" t="str">
        <f>HYPERLINK("https://twitter.com/inovies/status/1402693044516757504")</f>
        <v>https://twitter.com/inovies/status/1402693044516757504</v>
      </c>
      <c r="Y1241" s="77" t="s">
        <v>2000</v>
      </c>
      <c r="Z1241" s="77" t="s">
        <v>544</v>
      </c>
      <c r="AA1241" s="77"/>
      <c r="AB1241" s="77"/>
      <c r="AC1241" s="81" t="s">
        <v>2704</v>
      </c>
      <c r="AD1241" s="77" t="s">
        <v>2752</v>
      </c>
      <c r="AE1241" s="80" t="str">
        <f>HYPERLINK("https://twitter.com/inovies/status/1402814249479512064")</f>
        <v>https://twitter.com/inovies/status/1402814249479512064</v>
      </c>
      <c r="AF1241" s="79">
        <v>44357.101319444446</v>
      </c>
      <c r="AG1241" s="85">
        <v>44357</v>
      </c>
      <c r="AH1241" s="81" t="s">
        <v>3115</v>
      </c>
      <c r="AI1241" s="77" t="b">
        <v>0</v>
      </c>
      <c r="AJ1241" s="77"/>
      <c r="AK1241" s="77"/>
      <c r="AL1241" s="77"/>
      <c r="AM1241" s="77"/>
      <c r="AN1241" s="77"/>
      <c r="AO1241" s="77"/>
      <c r="AP1241" s="77"/>
      <c r="AQ1241" s="77"/>
      <c r="AR1241" s="77"/>
      <c r="AS1241" s="77"/>
      <c r="AT1241" s="77"/>
      <c r="AU1241" s="77"/>
      <c r="AV1241" s="80" t="str">
        <f>HYPERLINK("https://pbs.twimg.com/profile_images/833576943677214720/5ZyUgpEJ_normal.jpg")</f>
        <v>https://pbs.twimg.com/profile_images/833576943677214720/5ZyUgpEJ_normal.jpg</v>
      </c>
      <c r="AW1241" s="81" t="s">
        <v>4861</v>
      </c>
      <c r="AX1241" s="81" t="s">
        <v>5697</v>
      </c>
      <c r="AY1241" s="81" t="s">
        <v>5766</v>
      </c>
      <c r="AZ1241" s="81" t="s">
        <v>5697</v>
      </c>
      <c r="BA1241" s="81" t="s">
        <v>5168</v>
      </c>
      <c r="BB1241" s="81" t="s">
        <v>5773</v>
      </c>
      <c r="BC1241" s="81" t="s">
        <v>5697</v>
      </c>
      <c r="BD1241" s="77">
        <v>297885438</v>
      </c>
      <c r="BE1241" s="77"/>
      <c r="BF1241" s="77"/>
      <c r="BG1241" s="77"/>
      <c r="BH1241" s="77"/>
      <c r="BI1241" s="77"/>
    </row>
    <row r="1242" spans="1:61" ht="15">
      <c r="A1242" s="62" t="s">
        <v>299</v>
      </c>
      <c r="B1242" s="62" t="s">
        <v>299</v>
      </c>
      <c r="C1242" s="63"/>
      <c r="D1242" s="64"/>
      <c r="E1242" s="65"/>
      <c r="F1242" s="66"/>
      <c r="G1242" s="63"/>
      <c r="H1242" s="67"/>
      <c r="I1242" s="68"/>
      <c r="J1242" s="68"/>
      <c r="K1242" s="32" t="s">
        <v>65</v>
      </c>
      <c r="L1242" s="75">
        <v>1242</v>
      </c>
      <c r="M1242" s="75"/>
      <c r="N1242" s="70"/>
      <c r="O1242" s="77" t="s">
        <v>179</v>
      </c>
      <c r="P1242" s="79">
        <v>44356.70230324074</v>
      </c>
      <c r="Q1242" s="77" t="s">
        <v>1614</v>
      </c>
      <c r="R1242" s="77">
        <v>1</v>
      </c>
      <c r="S1242" s="77">
        <v>1</v>
      </c>
      <c r="T1242" s="77">
        <v>1</v>
      </c>
      <c r="U1242" s="77">
        <v>1</v>
      </c>
      <c r="V1242" s="77"/>
      <c r="W1242" s="81" t="s">
        <v>1710</v>
      </c>
      <c r="X1242" s="77"/>
      <c r="Y1242" s="77"/>
      <c r="Z1242" s="77"/>
      <c r="AA1242" s="77"/>
      <c r="AB1242" s="77"/>
      <c r="AC1242" s="81" t="s">
        <v>2704</v>
      </c>
      <c r="AD1242" s="77" t="s">
        <v>2765</v>
      </c>
      <c r="AE1242" s="80" t="str">
        <f>HYPERLINK("https://twitter.com/inovies/status/1402669648336723968")</f>
        <v>https://twitter.com/inovies/status/1402669648336723968</v>
      </c>
      <c r="AF1242" s="79">
        <v>44356.70230324074</v>
      </c>
      <c r="AG1242" s="85">
        <v>44356</v>
      </c>
      <c r="AH1242" s="81" t="s">
        <v>3791</v>
      </c>
      <c r="AI1242" s="77"/>
      <c r="AJ1242" s="77"/>
      <c r="AK1242" s="77"/>
      <c r="AL1242" s="77"/>
      <c r="AM1242" s="77"/>
      <c r="AN1242" s="77"/>
      <c r="AO1242" s="77"/>
      <c r="AP1242" s="77"/>
      <c r="AQ1242" s="77"/>
      <c r="AR1242" s="77"/>
      <c r="AS1242" s="77"/>
      <c r="AT1242" s="77"/>
      <c r="AU1242" s="77"/>
      <c r="AV1242" s="80" t="str">
        <f>HYPERLINK("https://pbs.twimg.com/profile_images/833576943677214720/5ZyUgpEJ_normal.jpg")</f>
        <v>https://pbs.twimg.com/profile_images/833576943677214720/5ZyUgpEJ_normal.jpg</v>
      </c>
      <c r="AW1242" s="81" t="s">
        <v>5578</v>
      </c>
      <c r="AX1242" s="81" t="s">
        <v>5578</v>
      </c>
      <c r="AY1242" s="77"/>
      <c r="AZ1242" s="81" t="s">
        <v>5773</v>
      </c>
      <c r="BA1242" s="81" t="s">
        <v>5773</v>
      </c>
      <c r="BB1242" s="81" t="s">
        <v>5773</v>
      </c>
      <c r="BC1242" s="81" t="s">
        <v>5578</v>
      </c>
      <c r="BD1242" s="77">
        <v>297885438</v>
      </c>
      <c r="BE1242" s="77"/>
      <c r="BF1242" s="77"/>
      <c r="BG1242" s="77"/>
      <c r="BH1242" s="77"/>
      <c r="BI1242" s="77"/>
    </row>
    <row r="1243" spans="1:61" ht="15">
      <c r="A1243" s="62" t="s">
        <v>299</v>
      </c>
      <c r="B1243" s="62" t="s">
        <v>299</v>
      </c>
      <c r="C1243" s="63"/>
      <c r="D1243" s="64"/>
      <c r="E1243" s="65"/>
      <c r="F1243" s="66"/>
      <c r="G1243" s="63"/>
      <c r="H1243" s="67"/>
      <c r="I1243" s="68"/>
      <c r="J1243" s="68"/>
      <c r="K1243" s="32" t="s">
        <v>65</v>
      </c>
      <c r="L1243" s="75">
        <v>1243</v>
      </c>
      <c r="M1243" s="75"/>
      <c r="N1243" s="70"/>
      <c r="O1243" s="77" t="s">
        <v>179</v>
      </c>
      <c r="P1243" s="79">
        <v>43765.56625</v>
      </c>
      <c r="Q1243" s="77" t="s">
        <v>1615</v>
      </c>
      <c r="R1243" s="77">
        <v>0</v>
      </c>
      <c r="S1243" s="77">
        <v>0</v>
      </c>
      <c r="T1243" s="77">
        <v>0</v>
      </c>
      <c r="U1243" s="77">
        <v>0</v>
      </c>
      <c r="V1243" s="77"/>
      <c r="W1243" s="81" t="s">
        <v>1940</v>
      </c>
      <c r="X1243" s="77"/>
      <c r="Y1243" s="77"/>
      <c r="Z1243" s="77"/>
      <c r="AA1243" s="77" t="s">
        <v>2629</v>
      </c>
      <c r="AB1243" s="77" t="s">
        <v>2696</v>
      </c>
      <c r="AC1243" s="81" t="s">
        <v>2704</v>
      </c>
      <c r="AD1243" s="77" t="s">
        <v>2751</v>
      </c>
      <c r="AE1243" s="80" t="str">
        <f>HYPERLINK("https://twitter.com/inovies/status/1188449116793126912")</f>
        <v>https://twitter.com/inovies/status/1188449116793126912</v>
      </c>
      <c r="AF1243" s="79">
        <v>43765.56625</v>
      </c>
      <c r="AG1243" s="85">
        <v>43765</v>
      </c>
      <c r="AH1243" s="81" t="s">
        <v>3792</v>
      </c>
      <c r="AI1243" s="77" t="b">
        <v>0</v>
      </c>
      <c r="AJ1243" s="77" t="s">
        <v>3882</v>
      </c>
      <c r="AK1243" s="77" t="s">
        <v>3889</v>
      </c>
      <c r="AL1243" s="77" t="s">
        <v>3892</v>
      </c>
      <c r="AM1243" s="77" t="s">
        <v>3896</v>
      </c>
      <c r="AN1243" s="77" t="s">
        <v>3903</v>
      </c>
      <c r="AO1243" s="77" t="s">
        <v>3911</v>
      </c>
      <c r="AP1243" s="77" t="s">
        <v>3917</v>
      </c>
      <c r="AQ1243" s="77" t="s">
        <v>4443</v>
      </c>
      <c r="AR1243" s="77"/>
      <c r="AS1243" s="77"/>
      <c r="AT1243" s="77"/>
      <c r="AU1243" s="77"/>
      <c r="AV1243" s="80" t="str">
        <f>HYPERLINK("https://pbs.twimg.com/media/EH44KnlVAAE-reF.jpg")</f>
        <v>https://pbs.twimg.com/media/EH44KnlVAAE-reF.jpg</v>
      </c>
      <c r="AW1243" s="81" t="s">
        <v>5579</v>
      </c>
      <c r="AX1243" s="81" t="s">
        <v>5579</v>
      </c>
      <c r="AY1243" s="77"/>
      <c r="AZ1243" s="81" t="s">
        <v>5773</v>
      </c>
      <c r="BA1243" s="81" t="s">
        <v>5773</v>
      </c>
      <c r="BB1243" s="81" t="s">
        <v>5773</v>
      </c>
      <c r="BC1243" s="81" t="s">
        <v>5579</v>
      </c>
      <c r="BD1243" s="77">
        <v>297885438</v>
      </c>
      <c r="BE1243" s="77"/>
      <c r="BF1243" s="77"/>
      <c r="BG1243" s="77"/>
      <c r="BH1243" s="77"/>
      <c r="BI1243" s="77"/>
    </row>
    <row r="1244" spans="1:61" ht="15">
      <c r="A1244" s="62" t="s">
        <v>299</v>
      </c>
      <c r="B1244" s="62" t="s">
        <v>299</v>
      </c>
      <c r="C1244" s="63"/>
      <c r="D1244" s="64"/>
      <c r="E1244" s="65"/>
      <c r="F1244" s="66"/>
      <c r="G1244" s="63"/>
      <c r="H1244" s="67"/>
      <c r="I1244" s="68"/>
      <c r="J1244" s="68"/>
      <c r="K1244" s="32" t="s">
        <v>65</v>
      </c>
      <c r="L1244" s="75">
        <v>1244</v>
      </c>
      <c r="M1244" s="75"/>
      <c r="N1244" s="70"/>
      <c r="O1244" s="77" t="s">
        <v>179</v>
      </c>
      <c r="P1244" s="79">
        <v>43762.240625</v>
      </c>
      <c r="Q1244" s="77" t="s">
        <v>1616</v>
      </c>
      <c r="R1244" s="77">
        <v>0</v>
      </c>
      <c r="S1244" s="77">
        <v>0</v>
      </c>
      <c r="T1244" s="77">
        <v>0</v>
      </c>
      <c r="U1244" s="77">
        <v>0</v>
      </c>
      <c r="V1244" s="77"/>
      <c r="W1244" s="81" t="s">
        <v>1941</v>
      </c>
      <c r="X1244" s="77"/>
      <c r="Y1244" s="77"/>
      <c r="Z1244" s="77"/>
      <c r="AA1244" s="77" t="s">
        <v>2630</v>
      </c>
      <c r="AB1244" s="77" t="s">
        <v>2696</v>
      </c>
      <c r="AC1244" s="81" t="s">
        <v>2704</v>
      </c>
      <c r="AD1244" s="77" t="s">
        <v>2752</v>
      </c>
      <c r="AE1244" s="80" t="str">
        <f>HYPERLINK("https://twitter.com/inovies/status/1187243950559490049")</f>
        <v>https://twitter.com/inovies/status/1187243950559490049</v>
      </c>
      <c r="AF1244" s="79">
        <v>43762.240625</v>
      </c>
      <c r="AG1244" s="85">
        <v>43762</v>
      </c>
      <c r="AH1244" s="81" t="s">
        <v>3793</v>
      </c>
      <c r="AI1244" s="77" t="b">
        <v>0</v>
      </c>
      <c r="AJ1244" s="77"/>
      <c r="AK1244" s="77"/>
      <c r="AL1244" s="77"/>
      <c r="AM1244" s="77"/>
      <c r="AN1244" s="77"/>
      <c r="AO1244" s="77"/>
      <c r="AP1244" s="77"/>
      <c r="AQ1244" s="77" t="s">
        <v>4444</v>
      </c>
      <c r="AR1244" s="77"/>
      <c r="AS1244" s="77"/>
      <c r="AT1244" s="77"/>
      <c r="AU1244" s="77"/>
      <c r="AV1244" s="80" t="str">
        <f>HYPERLINK("https://pbs.twimg.com/media/EHnwE1xUcAAoIS_.jpg")</f>
        <v>https://pbs.twimg.com/media/EHnwE1xUcAAoIS_.jpg</v>
      </c>
      <c r="AW1244" s="81" t="s">
        <v>5580</v>
      </c>
      <c r="AX1244" s="81" t="s">
        <v>5580</v>
      </c>
      <c r="AY1244" s="77"/>
      <c r="AZ1244" s="81" t="s">
        <v>5773</v>
      </c>
      <c r="BA1244" s="81" t="s">
        <v>5773</v>
      </c>
      <c r="BB1244" s="81" t="s">
        <v>5773</v>
      </c>
      <c r="BC1244" s="81" t="s">
        <v>5580</v>
      </c>
      <c r="BD1244" s="77">
        <v>297885438</v>
      </c>
      <c r="BE1244" s="77"/>
      <c r="BF1244" s="77"/>
      <c r="BG1244" s="77"/>
      <c r="BH1244" s="77"/>
      <c r="BI1244" s="77"/>
    </row>
    <row r="1245" spans="1:61" ht="15">
      <c r="A1245" s="62" t="s">
        <v>299</v>
      </c>
      <c r="B1245" s="62" t="s">
        <v>299</v>
      </c>
      <c r="C1245" s="63"/>
      <c r="D1245" s="64"/>
      <c r="E1245" s="65"/>
      <c r="F1245" s="66"/>
      <c r="G1245" s="63"/>
      <c r="H1245" s="67"/>
      <c r="I1245" s="68"/>
      <c r="J1245" s="68"/>
      <c r="K1245" s="32" t="s">
        <v>65</v>
      </c>
      <c r="L1245" s="75">
        <v>1245</v>
      </c>
      <c r="M1245" s="75"/>
      <c r="N1245" s="70"/>
      <c r="O1245" s="77" t="s">
        <v>179</v>
      </c>
      <c r="P1245" s="79">
        <v>43755.453680555554</v>
      </c>
      <c r="Q1245" s="77" t="s">
        <v>1617</v>
      </c>
      <c r="R1245" s="77">
        <v>0</v>
      </c>
      <c r="S1245" s="77">
        <v>0</v>
      </c>
      <c r="T1245" s="77">
        <v>0</v>
      </c>
      <c r="U1245" s="77">
        <v>0</v>
      </c>
      <c r="V1245" s="77"/>
      <c r="W1245" s="81" t="s">
        <v>1942</v>
      </c>
      <c r="X1245" s="77"/>
      <c r="Y1245" s="77"/>
      <c r="Z1245" s="77"/>
      <c r="AA1245" s="77" t="s">
        <v>2631</v>
      </c>
      <c r="AB1245" s="77" t="s">
        <v>2696</v>
      </c>
      <c r="AC1245" s="81" t="s">
        <v>2704</v>
      </c>
      <c r="AD1245" s="77" t="s">
        <v>2751</v>
      </c>
      <c r="AE1245" s="80" t="str">
        <f>HYPERLINK("https://twitter.com/inovies/status/1184784444760059904")</f>
        <v>https://twitter.com/inovies/status/1184784444760059904</v>
      </c>
      <c r="AF1245" s="79">
        <v>43755.453680555554</v>
      </c>
      <c r="AG1245" s="85">
        <v>43755</v>
      </c>
      <c r="AH1245" s="81" t="s">
        <v>3794</v>
      </c>
      <c r="AI1245" s="77" t="b">
        <v>0</v>
      </c>
      <c r="AJ1245" s="77"/>
      <c r="AK1245" s="77"/>
      <c r="AL1245" s="77"/>
      <c r="AM1245" s="77"/>
      <c r="AN1245" s="77"/>
      <c r="AO1245" s="77"/>
      <c r="AP1245" s="77"/>
      <c r="AQ1245" s="77" t="s">
        <v>4445</v>
      </c>
      <c r="AR1245" s="77"/>
      <c r="AS1245" s="77"/>
      <c r="AT1245" s="77"/>
      <c r="AU1245" s="77"/>
      <c r="AV1245" s="80" t="str">
        <f>HYPERLINK("https://pbs.twimg.com/media/EHEzKxVU0AA7cPU.jpg")</f>
        <v>https://pbs.twimg.com/media/EHEzKxVU0AA7cPU.jpg</v>
      </c>
      <c r="AW1245" s="81" t="s">
        <v>5581</v>
      </c>
      <c r="AX1245" s="81" t="s">
        <v>5581</v>
      </c>
      <c r="AY1245" s="77"/>
      <c r="AZ1245" s="81" t="s">
        <v>5773</v>
      </c>
      <c r="BA1245" s="81" t="s">
        <v>5773</v>
      </c>
      <c r="BB1245" s="81" t="s">
        <v>5773</v>
      </c>
      <c r="BC1245" s="81" t="s">
        <v>5581</v>
      </c>
      <c r="BD1245" s="77">
        <v>297885438</v>
      </c>
      <c r="BE1245" s="77"/>
      <c r="BF1245" s="77"/>
      <c r="BG1245" s="77"/>
      <c r="BH1245" s="77"/>
      <c r="BI1245" s="77"/>
    </row>
    <row r="1246" spans="1:61" ht="15">
      <c r="A1246" s="62" t="s">
        <v>299</v>
      </c>
      <c r="B1246" s="62" t="s">
        <v>299</v>
      </c>
      <c r="C1246" s="63"/>
      <c r="D1246" s="64"/>
      <c r="E1246" s="65"/>
      <c r="F1246" s="66"/>
      <c r="G1246" s="63"/>
      <c r="H1246" s="67"/>
      <c r="I1246" s="68"/>
      <c r="J1246" s="68"/>
      <c r="K1246" s="32" t="s">
        <v>65</v>
      </c>
      <c r="L1246" s="75">
        <v>1246</v>
      </c>
      <c r="M1246" s="75"/>
      <c r="N1246" s="70"/>
      <c r="O1246" s="77" t="s">
        <v>179</v>
      </c>
      <c r="P1246" s="79">
        <v>43719.6565162037</v>
      </c>
      <c r="Q1246" s="77" t="s">
        <v>1618</v>
      </c>
      <c r="R1246" s="77">
        <v>0</v>
      </c>
      <c r="S1246" s="77">
        <v>0</v>
      </c>
      <c r="T1246" s="77">
        <v>0</v>
      </c>
      <c r="U1246" s="77">
        <v>0</v>
      </c>
      <c r="V1246" s="77"/>
      <c r="W1246" s="77"/>
      <c r="X1246" s="80" t="str">
        <f>HYPERLINK("https://www.inovies.com/insights/blog/cloud-implementation-helping-transforming-business-platforms")</f>
        <v>https://www.inovies.com/insights/blog/cloud-implementation-helping-transforming-business-platforms</v>
      </c>
      <c r="Y1246" s="77" t="s">
        <v>1982</v>
      </c>
      <c r="Z1246" s="77"/>
      <c r="AA1246" s="77"/>
      <c r="AB1246" s="77"/>
      <c r="AC1246" s="81" t="s">
        <v>2704</v>
      </c>
      <c r="AD1246" s="77" t="s">
        <v>2751</v>
      </c>
      <c r="AE1246" s="80" t="str">
        <f>HYPERLINK("https://twitter.com/inovies/status/1171811987656859649")</f>
        <v>https://twitter.com/inovies/status/1171811987656859649</v>
      </c>
      <c r="AF1246" s="79">
        <v>43719.6565162037</v>
      </c>
      <c r="AG1246" s="85">
        <v>43719</v>
      </c>
      <c r="AH1246" s="81" t="s">
        <v>3795</v>
      </c>
      <c r="AI1246" s="77" t="b">
        <v>0</v>
      </c>
      <c r="AJ1246" s="77"/>
      <c r="AK1246" s="77"/>
      <c r="AL1246" s="77"/>
      <c r="AM1246" s="77"/>
      <c r="AN1246" s="77"/>
      <c r="AO1246" s="77"/>
      <c r="AP1246" s="77"/>
      <c r="AQ1246" s="77"/>
      <c r="AR1246" s="77"/>
      <c r="AS1246" s="77"/>
      <c r="AT1246" s="77"/>
      <c r="AU1246" s="77"/>
      <c r="AV1246" s="80" t="str">
        <f>HYPERLINK("https://pbs.twimg.com/profile_images/833576943677214720/5ZyUgpEJ_normal.jpg")</f>
        <v>https://pbs.twimg.com/profile_images/833576943677214720/5ZyUgpEJ_normal.jpg</v>
      </c>
      <c r="AW1246" s="81" t="s">
        <v>5582</v>
      </c>
      <c r="AX1246" s="81" t="s">
        <v>5582</v>
      </c>
      <c r="AY1246" s="77"/>
      <c r="AZ1246" s="81" t="s">
        <v>5773</v>
      </c>
      <c r="BA1246" s="81" t="s">
        <v>5773</v>
      </c>
      <c r="BB1246" s="81" t="s">
        <v>5773</v>
      </c>
      <c r="BC1246" s="81" t="s">
        <v>5582</v>
      </c>
      <c r="BD1246" s="77">
        <v>297885438</v>
      </c>
      <c r="BE1246" s="77"/>
      <c r="BF1246" s="77"/>
      <c r="BG1246" s="77"/>
      <c r="BH1246" s="77"/>
      <c r="BI1246" s="77"/>
    </row>
    <row r="1247" spans="1:61" ht="15">
      <c r="A1247" s="62" t="s">
        <v>299</v>
      </c>
      <c r="B1247" s="62" t="s">
        <v>299</v>
      </c>
      <c r="C1247" s="63"/>
      <c r="D1247" s="64"/>
      <c r="E1247" s="65"/>
      <c r="F1247" s="66"/>
      <c r="G1247" s="63"/>
      <c r="H1247" s="67"/>
      <c r="I1247" s="68"/>
      <c r="J1247" s="68"/>
      <c r="K1247" s="32" t="s">
        <v>65</v>
      </c>
      <c r="L1247" s="75">
        <v>1247</v>
      </c>
      <c r="M1247" s="75"/>
      <c r="N1247" s="70"/>
      <c r="O1247" s="77" t="s">
        <v>179</v>
      </c>
      <c r="P1247" s="79">
        <v>43544.19138888889</v>
      </c>
      <c r="Q1247" s="77" t="s">
        <v>1619</v>
      </c>
      <c r="R1247" s="77">
        <v>0</v>
      </c>
      <c r="S1247" s="77">
        <v>0</v>
      </c>
      <c r="T1247" s="77">
        <v>0</v>
      </c>
      <c r="U1247" s="77">
        <v>0</v>
      </c>
      <c r="V1247" s="77"/>
      <c r="W1247" s="77"/>
      <c r="X1247" s="80" t="str">
        <f>HYPERLINK("https://twitter.com/i/events/1108054156206473216")</f>
        <v>https://twitter.com/i/events/1108054156206473216</v>
      </c>
      <c r="Y1247" s="77" t="s">
        <v>2000</v>
      </c>
      <c r="Z1247" s="77"/>
      <c r="AA1247" s="77"/>
      <c r="AB1247" s="77"/>
      <c r="AC1247" s="81" t="s">
        <v>2704</v>
      </c>
      <c r="AD1247" s="77" t="s">
        <v>2751</v>
      </c>
      <c r="AE1247" s="80" t="str">
        <f>HYPERLINK("https://twitter.com/inovies/status/1108225553927069696")</f>
        <v>https://twitter.com/inovies/status/1108225553927069696</v>
      </c>
      <c r="AF1247" s="79">
        <v>43544.19138888889</v>
      </c>
      <c r="AG1247" s="85">
        <v>43544</v>
      </c>
      <c r="AH1247" s="81" t="s">
        <v>3796</v>
      </c>
      <c r="AI1247" s="77" t="b">
        <v>0</v>
      </c>
      <c r="AJ1247" s="77"/>
      <c r="AK1247" s="77"/>
      <c r="AL1247" s="77"/>
      <c r="AM1247" s="77"/>
      <c r="AN1247" s="77"/>
      <c r="AO1247" s="77"/>
      <c r="AP1247" s="77"/>
      <c r="AQ1247" s="77"/>
      <c r="AR1247" s="77"/>
      <c r="AS1247" s="77"/>
      <c r="AT1247" s="77"/>
      <c r="AU1247" s="77"/>
      <c r="AV1247" s="80" t="str">
        <f>HYPERLINK("https://pbs.twimg.com/profile_images/833576943677214720/5ZyUgpEJ_normal.jpg")</f>
        <v>https://pbs.twimg.com/profile_images/833576943677214720/5ZyUgpEJ_normal.jpg</v>
      </c>
      <c r="AW1247" s="81" t="s">
        <v>5583</v>
      </c>
      <c r="AX1247" s="81" t="s">
        <v>5583</v>
      </c>
      <c r="AY1247" s="77"/>
      <c r="AZ1247" s="81" t="s">
        <v>5773</v>
      </c>
      <c r="BA1247" s="81" t="s">
        <v>5773</v>
      </c>
      <c r="BB1247" s="81" t="s">
        <v>5773</v>
      </c>
      <c r="BC1247" s="81" t="s">
        <v>5583</v>
      </c>
      <c r="BD1247" s="77">
        <v>297885438</v>
      </c>
      <c r="BE1247" s="77"/>
      <c r="BF1247" s="77"/>
      <c r="BG1247" s="77"/>
      <c r="BH1247" s="77"/>
      <c r="BI1247" s="77"/>
    </row>
    <row r="1248" spans="1:61" ht="15">
      <c r="A1248" s="62" t="s">
        <v>299</v>
      </c>
      <c r="B1248" s="62" t="s">
        <v>299</v>
      </c>
      <c r="C1248" s="63"/>
      <c r="D1248" s="64"/>
      <c r="E1248" s="65"/>
      <c r="F1248" s="66"/>
      <c r="G1248" s="63"/>
      <c r="H1248" s="67"/>
      <c r="I1248" s="68"/>
      <c r="J1248" s="68"/>
      <c r="K1248" s="32" t="s">
        <v>65</v>
      </c>
      <c r="L1248" s="75">
        <v>1248</v>
      </c>
      <c r="M1248" s="75"/>
      <c r="N1248" s="70"/>
      <c r="O1248" s="77" t="s">
        <v>179</v>
      </c>
      <c r="P1248" s="79">
        <v>43494.63232638889</v>
      </c>
      <c r="Q1248" s="77" t="s">
        <v>1620</v>
      </c>
      <c r="R1248" s="77">
        <v>0</v>
      </c>
      <c r="S1248" s="77">
        <v>0</v>
      </c>
      <c r="T1248" s="77">
        <v>0</v>
      </c>
      <c r="U1248" s="77">
        <v>0</v>
      </c>
      <c r="V1248" s="77"/>
      <c r="W1248" s="81" t="s">
        <v>1900</v>
      </c>
      <c r="X1248" s="77"/>
      <c r="Y1248" s="77"/>
      <c r="Z1248" s="77"/>
      <c r="AA1248" s="77" t="s">
        <v>2632</v>
      </c>
      <c r="AB1248" s="77" t="s">
        <v>2696</v>
      </c>
      <c r="AC1248" s="81" t="s">
        <v>2705</v>
      </c>
      <c r="AD1248" s="77" t="s">
        <v>2757</v>
      </c>
      <c r="AE1248" s="80" t="str">
        <f>HYPERLINK("https://twitter.com/inovies/status/1090265950962692097")</f>
        <v>https://twitter.com/inovies/status/1090265950962692097</v>
      </c>
      <c r="AF1248" s="79">
        <v>43494.63232638889</v>
      </c>
      <c r="AG1248" s="85">
        <v>43494</v>
      </c>
      <c r="AH1248" s="81" t="s">
        <v>3797</v>
      </c>
      <c r="AI1248" s="77" t="b">
        <v>0</v>
      </c>
      <c r="AJ1248" s="77"/>
      <c r="AK1248" s="77"/>
      <c r="AL1248" s="77"/>
      <c r="AM1248" s="77"/>
      <c r="AN1248" s="77"/>
      <c r="AO1248" s="77"/>
      <c r="AP1248" s="77"/>
      <c r="AQ1248" s="77" t="s">
        <v>4446</v>
      </c>
      <c r="AR1248" s="77"/>
      <c r="AS1248" s="77"/>
      <c r="AT1248" s="77"/>
      <c r="AU1248" s="77"/>
      <c r="AV1248" s="80" t="str">
        <f>HYPERLINK("https://pbs.twimg.com/media/DyFnED7U0AAlL1c.jpg")</f>
        <v>https://pbs.twimg.com/media/DyFnED7U0AAlL1c.jpg</v>
      </c>
      <c r="AW1248" s="81" t="s">
        <v>5584</v>
      </c>
      <c r="AX1248" s="81" t="s">
        <v>5584</v>
      </c>
      <c r="AY1248" s="77"/>
      <c r="AZ1248" s="81" t="s">
        <v>5773</v>
      </c>
      <c r="BA1248" s="81" t="s">
        <v>5773</v>
      </c>
      <c r="BB1248" s="81" t="s">
        <v>5773</v>
      </c>
      <c r="BC1248" s="81" t="s">
        <v>5584</v>
      </c>
      <c r="BD1248" s="77">
        <v>297885438</v>
      </c>
      <c r="BE1248" s="77"/>
      <c r="BF1248" s="77"/>
      <c r="BG1248" s="77"/>
      <c r="BH1248" s="77"/>
      <c r="BI1248" s="77"/>
    </row>
    <row r="1249" spans="1:61" ht="15">
      <c r="A1249" s="62" t="s">
        <v>299</v>
      </c>
      <c r="B1249" s="62" t="s">
        <v>299</v>
      </c>
      <c r="C1249" s="63"/>
      <c r="D1249" s="64"/>
      <c r="E1249" s="65"/>
      <c r="F1249" s="66"/>
      <c r="G1249" s="63"/>
      <c r="H1249" s="67"/>
      <c r="I1249" s="68"/>
      <c r="J1249" s="68"/>
      <c r="K1249" s="32" t="s">
        <v>65</v>
      </c>
      <c r="L1249" s="75">
        <v>1249</v>
      </c>
      <c r="M1249" s="75"/>
      <c r="N1249" s="70"/>
      <c r="O1249" s="77" t="s">
        <v>179</v>
      </c>
      <c r="P1249" s="79">
        <v>43489.14538194444</v>
      </c>
      <c r="Q1249" s="80" t="str">
        <f>HYPERLINK("https://t.co/1yJy6B8b3C")</f>
        <v>https://t.co/1yJy6B8b3C</v>
      </c>
      <c r="R1249" s="77">
        <v>1</v>
      </c>
      <c r="S1249" s="77">
        <v>1</v>
      </c>
      <c r="T1249" s="77">
        <v>0</v>
      </c>
      <c r="U1249" s="77">
        <v>0</v>
      </c>
      <c r="V1249" s="77"/>
      <c r="W1249" s="77"/>
      <c r="X1249" s="77"/>
      <c r="Y1249" s="77"/>
      <c r="Z1249" s="77"/>
      <c r="AA1249" s="77" t="s">
        <v>2633</v>
      </c>
      <c r="AB1249" s="77" t="s">
        <v>2696</v>
      </c>
      <c r="AC1249" s="81" t="s">
        <v>2704</v>
      </c>
      <c r="AD1249" s="77" t="s">
        <v>2756</v>
      </c>
      <c r="AE1249" s="80" t="str">
        <f>HYPERLINK("https://twitter.com/inovies/status/1088277547408809985")</f>
        <v>https://twitter.com/inovies/status/1088277547408809985</v>
      </c>
      <c r="AF1249" s="79">
        <v>43489.14538194444</v>
      </c>
      <c r="AG1249" s="85">
        <v>43489</v>
      </c>
      <c r="AH1249" s="81" t="s">
        <v>3798</v>
      </c>
      <c r="AI1249" s="77" t="b">
        <v>0</v>
      </c>
      <c r="AJ1249" s="77"/>
      <c r="AK1249" s="77"/>
      <c r="AL1249" s="77"/>
      <c r="AM1249" s="77"/>
      <c r="AN1249" s="77"/>
      <c r="AO1249" s="77"/>
      <c r="AP1249" s="77"/>
      <c r="AQ1249" s="77" t="s">
        <v>4447</v>
      </c>
      <c r="AR1249" s="77"/>
      <c r="AS1249" s="77"/>
      <c r="AT1249" s="77"/>
      <c r="AU1249" s="77"/>
      <c r="AV1249" s="80" t="str">
        <f>HYPERLINK("https://pbs.twimg.com/media/DxpWp6vVAAARnO4.jpg")</f>
        <v>https://pbs.twimg.com/media/DxpWp6vVAAARnO4.jpg</v>
      </c>
      <c r="AW1249" s="81" t="s">
        <v>5585</v>
      </c>
      <c r="AX1249" s="81" t="s">
        <v>5585</v>
      </c>
      <c r="AY1249" s="77"/>
      <c r="AZ1249" s="81" t="s">
        <v>5773</v>
      </c>
      <c r="BA1249" s="81" t="s">
        <v>5773</v>
      </c>
      <c r="BB1249" s="81" t="s">
        <v>5773</v>
      </c>
      <c r="BC1249" s="81" t="s">
        <v>5585</v>
      </c>
      <c r="BD1249" s="77">
        <v>297885438</v>
      </c>
      <c r="BE1249" s="77"/>
      <c r="BF1249" s="77"/>
      <c r="BG1249" s="77"/>
      <c r="BH1249" s="77"/>
      <c r="BI1249" s="77"/>
    </row>
    <row r="1250" spans="1:61" ht="15">
      <c r="A1250" s="62" t="s">
        <v>299</v>
      </c>
      <c r="B1250" s="62" t="s">
        <v>299</v>
      </c>
      <c r="C1250" s="63"/>
      <c r="D1250" s="64"/>
      <c r="E1250" s="65"/>
      <c r="F1250" s="66"/>
      <c r="G1250" s="63"/>
      <c r="H1250" s="67"/>
      <c r="I1250" s="68"/>
      <c r="J1250" s="68"/>
      <c r="K1250" s="32" t="s">
        <v>65</v>
      </c>
      <c r="L1250" s="75">
        <v>1250</v>
      </c>
      <c r="M1250" s="75"/>
      <c r="N1250" s="70"/>
      <c r="O1250" s="77" t="s">
        <v>179</v>
      </c>
      <c r="P1250" s="79">
        <v>43485.28959490741</v>
      </c>
      <c r="Q1250" s="80" t="str">
        <f>HYPERLINK("https://t.co/0FYT5htNVE")</f>
        <v>https://t.co/0FYT5htNVE</v>
      </c>
      <c r="R1250" s="77">
        <v>0</v>
      </c>
      <c r="S1250" s="77">
        <v>0</v>
      </c>
      <c r="T1250" s="77">
        <v>0</v>
      </c>
      <c r="U1250" s="77">
        <v>0</v>
      </c>
      <c r="V1250" s="77"/>
      <c r="W1250" s="77"/>
      <c r="X1250" s="77"/>
      <c r="Y1250" s="77"/>
      <c r="Z1250" s="77"/>
      <c r="AA1250" s="77" t="s">
        <v>2634</v>
      </c>
      <c r="AB1250" s="77" t="s">
        <v>2696</v>
      </c>
      <c r="AC1250" s="81" t="s">
        <v>2705</v>
      </c>
      <c r="AD1250" s="77" t="s">
        <v>2756</v>
      </c>
      <c r="AE1250" s="80" t="str">
        <f>HYPERLINK("https://twitter.com/inovies/status/1086880257544572928")</f>
        <v>https://twitter.com/inovies/status/1086880257544572928</v>
      </c>
      <c r="AF1250" s="79">
        <v>43485.28959490741</v>
      </c>
      <c r="AG1250" s="85">
        <v>43485</v>
      </c>
      <c r="AH1250" s="81" t="s">
        <v>3799</v>
      </c>
      <c r="AI1250" s="77" t="b">
        <v>0</v>
      </c>
      <c r="AJ1250" s="77"/>
      <c r="AK1250" s="77"/>
      <c r="AL1250" s="77"/>
      <c r="AM1250" s="77"/>
      <c r="AN1250" s="77"/>
      <c r="AO1250" s="77"/>
      <c r="AP1250" s="77"/>
      <c r="AQ1250" s="77" t="s">
        <v>4448</v>
      </c>
      <c r="AR1250" s="77"/>
      <c r="AS1250" s="77"/>
      <c r="AT1250" s="77"/>
      <c r="AU1250" s="77"/>
      <c r="AV1250" s="80" t="str">
        <f>HYPERLINK("https://pbs.twimg.com/media/DxVf0vbVYAMxsiA.jpg")</f>
        <v>https://pbs.twimg.com/media/DxVf0vbVYAMxsiA.jpg</v>
      </c>
      <c r="AW1250" s="81" t="s">
        <v>5586</v>
      </c>
      <c r="AX1250" s="81" t="s">
        <v>5586</v>
      </c>
      <c r="AY1250" s="77"/>
      <c r="AZ1250" s="81" t="s">
        <v>5773</v>
      </c>
      <c r="BA1250" s="81" t="s">
        <v>5773</v>
      </c>
      <c r="BB1250" s="81" t="s">
        <v>5773</v>
      </c>
      <c r="BC1250" s="81" t="s">
        <v>5586</v>
      </c>
      <c r="BD1250" s="77">
        <v>297885438</v>
      </c>
      <c r="BE1250" s="77"/>
      <c r="BF1250" s="77"/>
      <c r="BG1250" s="77"/>
      <c r="BH1250" s="77"/>
      <c r="BI1250" s="77"/>
    </row>
    <row r="1251" spans="1:61" ht="15">
      <c r="A1251" s="62" t="s">
        <v>299</v>
      </c>
      <c r="B1251" s="62" t="s">
        <v>299</v>
      </c>
      <c r="C1251" s="63"/>
      <c r="D1251" s="64"/>
      <c r="E1251" s="65"/>
      <c r="F1251" s="66"/>
      <c r="G1251" s="63"/>
      <c r="H1251" s="67"/>
      <c r="I1251" s="68"/>
      <c r="J1251" s="68"/>
      <c r="K1251" s="32" t="s">
        <v>65</v>
      </c>
      <c r="L1251" s="75">
        <v>1251</v>
      </c>
      <c r="M1251" s="75"/>
      <c r="N1251" s="70"/>
      <c r="O1251" s="77" t="s">
        <v>179</v>
      </c>
      <c r="P1251" s="79">
        <v>43484.4996875</v>
      </c>
      <c r="Q1251" s="77" t="s">
        <v>1621</v>
      </c>
      <c r="R1251" s="77">
        <v>0</v>
      </c>
      <c r="S1251" s="77">
        <v>0</v>
      </c>
      <c r="T1251" s="77">
        <v>0</v>
      </c>
      <c r="U1251" s="77">
        <v>0</v>
      </c>
      <c r="V1251" s="77"/>
      <c r="W1251" s="77"/>
      <c r="X1251" s="77"/>
      <c r="Y1251" s="77"/>
      <c r="Z1251" s="77"/>
      <c r="AA1251" s="77"/>
      <c r="AB1251" s="77"/>
      <c r="AC1251" s="81" t="s">
        <v>2705</v>
      </c>
      <c r="AD1251" s="77" t="s">
        <v>2751</v>
      </c>
      <c r="AE1251" s="80" t="str">
        <f>HYPERLINK("https://twitter.com/inovies/status/1086594004341395456")</f>
        <v>https://twitter.com/inovies/status/1086594004341395456</v>
      </c>
      <c r="AF1251" s="79">
        <v>43484.4996875</v>
      </c>
      <c r="AG1251" s="85">
        <v>43484</v>
      </c>
      <c r="AH1251" s="81" t="s">
        <v>3800</v>
      </c>
      <c r="AI1251" s="77"/>
      <c r="AJ1251" s="77"/>
      <c r="AK1251" s="77"/>
      <c r="AL1251" s="77"/>
      <c r="AM1251" s="77"/>
      <c r="AN1251" s="77"/>
      <c r="AO1251" s="77"/>
      <c r="AP1251" s="77"/>
      <c r="AQ1251" s="77"/>
      <c r="AR1251" s="77"/>
      <c r="AS1251" s="77"/>
      <c r="AT1251" s="77"/>
      <c r="AU1251" s="77"/>
      <c r="AV1251" s="80" t="str">
        <f>HYPERLINK("https://pbs.twimg.com/profile_images/833576943677214720/5ZyUgpEJ_normal.jpg")</f>
        <v>https://pbs.twimg.com/profile_images/833576943677214720/5ZyUgpEJ_normal.jpg</v>
      </c>
      <c r="AW1251" s="81" t="s">
        <v>5587</v>
      </c>
      <c r="AX1251" s="81" t="s">
        <v>5587</v>
      </c>
      <c r="AY1251" s="77"/>
      <c r="AZ1251" s="81" t="s">
        <v>5773</v>
      </c>
      <c r="BA1251" s="81" t="s">
        <v>5773</v>
      </c>
      <c r="BB1251" s="81" t="s">
        <v>5773</v>
      </c>
      <c r="BC1251" s="81" t="s">
        <v>5587</v>
      </c>
      <c r="BD1251" s="77">
        <v>297885438</v>
      </c>
      <c r="BE1251" s="77"/>
      <c r="BF1251" s="77"/>
      <c r="BG1251" s="77"/>
      <c r="BH1251" s="77"/>
      <c r="BI1251" s="77"/>
    </row>
    <row r="1252" spans="1:61" ht="15">
      <c r="A1252" s="62" t="s">
        <v>299</v>
      </c>
      <c r="B1252" s="62" t="s">
        <v>299</v>
      </c>
      <c r="C1252" s="63"/>
      <c r="D1252" s="64"/>
      <c r="E1252" s="65"/>
      <c r="F1252" s="66"/>
      <c r="G1252" s="63"/>
      <c r="H1252" s="67"/>
      <c r="I1252" s="68"/>
      <c r="J1252" s="68"/>
      <c r="K1252" s="32" t="s">
        <v>65</v>
      </c>
      <c r="L1252" s="75">
        <v>1252</v>
      </c>
      <c r="M1252" s="75"/>
      <c r="N1252" s="70"/>
      <c r="O1252" s="77" t="s">
        <v>179</v>
      </c>
      <c r="P1252" s="79">
        <v>43461.35570601852</v>
      </c>
      <c r="Q1252" s="77" t="s">
        <v>1622</v>
      </c>
      <c r="R1252" s="77">
        <v>0</v>
      </c>
      <c r="S1252" s="77">
        <v>1</v>
      </c>
      <c r="T1252" s="77">
        <v>0</v>
      </c>
      <c r="U1252" s="77">
        <v>0</v>
      </c>
      <c r="V1252" s="77"/>
      <c r="W1252" s="77"/>
      <c r="X1252" s="80" t="str">
        <f>HYPERLINK("https://www.linkedin.com/pulse/new-changes-introduced-sebi-promote-growth-indian-nagendra-bommasani/?published=t")</f>
        <v>https://www.linkedin.com/pulse/new-changes-introduced-sebi-promote-growth-indian-nagendra-bommasani/?published=t</v>
      </c>
      <c r="Y1252" s="77" t="s">
        <v>2004</v>
      </c>
      <c r="Z1252" s="77"/>
      <c r="AA1252" s="77"/>
      <c r="AB1252" s="77"/>
      <c r="AC1252" s="81" t="s">
        <v>2705</v>
      </c>
      <c r="AD1252" s="77" t="s">
        <v>2751</v>
      </c>
      <c r="AE1252" s="80" t="str">
        <f>HYPERLINK("https://twitter.com/inovies/status/1078206909130240001")</f>
        <v>https://twitter.com/inovies/status/1078206909130240001</v>
      </c>
      <c r="AF1252" s="79">
        <v>43461.35570601852</v>
      </c>
      <c r="AG1252" s="85">
        <v>43461</v>
      </c>
      <c r="AH1252" s="81" t="s">
        <v>3801</v>
      </c>
      <c r="AI1252" s="77" t="b">
        <v>0</v>
      </c>
      <c r="AJ1252" s="77"/>
      <c r="AK1252" s="77"/>
      <c r="AL1252" s="77"/>
      <c r="AM1252" s="77"/>
      <c r="AN1252" s="77"/>
      <c r="AO1252" s="77"/>
      <c r="AP1252" s="77"/>
      <c r="AQ1252" s="77"/>
      <c r="AR1252" s="77"/>
      <c r="AS1252" s="77"/>
      <c r="AT1252" s="77"/>
      <c r="AU1252" s="77"/>
      <c r="AV1252" s="80" t="str">
        <f>HYPERLINK("https://pbs.twimg.com/profile_images/833576943677214720/5ZyUgpEJ_normal.jpg")</f>
        <v>https://pbs.twimg.com/profile_images/833576943677214720/5ZyUgpEJ_normal.jpg</v>
      </c>
      <c r="AW1252" s="81" t="s">
        <v>5588</v>
      </c>
      <c r="AX1252" s="81" t="s">
        <v>5588</v>
      </c>
      <c r="AY1252" s="77"/>
      <c r="AZ1252" s="81" t="s">
        <v>5773</v>
      </c>
      <c r="BA1252" s="81" t="s">
        <v>5773</v>
      </c>
      <c r="BB1252" s="81" t="s">
        <v>5773</v>
      </c>
      <c r="BC1252" s="81" t="s">
        <v>5588</v>
      </c>
      <c r="BD1252" s="77">
        <v>297885438</v>
      </c>
      <c r="BE1252" s="77"/>
      <c r="BF1252" s="77"/>
      <c r="BG1252" s="77"/>
      <c r="BH1252" s="77"/>
      <c r="BI1252" s="77"/>
    </row>
    <row r="1253" spans="1:61" ht="15">
      <c r="A1253" s="62" t="s">
        <v>299</v>
      </c>
      <c r="B1253" s="62" t="s">
        <v>299</v>
      </c>
      <c r="C1253" s="63"/>
      <c r="D1253" s="64"/>
      <c r="E1253" s="65"/>
      <c r="F1253" s="66"/>
      <c r="G1253" s="63"/>
      <c r="H1253" s="67"/>
      <c r="I1253" s="68"/>
      <c r="J1253" s="68"/>
      <c r="K1253" s="32" t="s">
        <v>65</v>
      </c>
      <c r="L1253" s="75">
        <v>1253</v>
      </c>
      <c r="M1253" s="75"/>
      <c r="N1253" s="70"/>
      <c r="O1253" s="77" t="s">
        <v>179</v>
      </c>
      <c r="P1253" s="79">
        <v>43457.29688657408</v>
      </c>
      <c r="Q1253" s="77" t="s">
        <v>1623</v>
      </c>
      <c r="R1253" s="77">
        <v>1</v>
      </c>
      <c r="S1253" s="77">
        <v>0</v>
      </c>
      <c r="T1253" s="77">
        <v>1</v>
      </c>
      <c r="U1253" s="77">
        <v>0</v>
      </c>
      <c r="V1253" s="77"/>
      <c r="W1253" s="81" t="s">
        <v>1943</v>
      </c>
      <c r="X1253" s="77"/>
      <c r="Y1253" s="77"/>
      <c r="Z1253" s="77"/>
      <c r="AA1253" s="77" t="s">
        <v>2635</v>
      </c>
      <c r="AB1253" s="77" t="s">
        <v>2696</v>
      </c>
      <c r="AC1253" s="81" t="s">
        <v>2705</v>
      </c>
      <c r="AD1253" s="77" t="s">
        <v>2752</v>
      </c>
      <c r="AE1253" s="80" t="str">
        <f>HYPERLINK("https://twitter.com/inovies/status/1076736040700764160")</f>
        <v>https://twitter.com/inovies/status/1076736040700764160</v>
      </c>
      <c r="AF1253" s="79">
        <v>43457.29688657408</v>
      </c>
      <c r="AG1253" s="85">
        <v>43457</v>
      </c>
      <c r="AH1253" s="81" t="s">
        <v>3802</v>
      </c>
      <c r="AI1253" s="77" t="b">
        <v>0</v>
      </c>
      <c r="AJ1253" s="77"/>
      <c r="AK1253" s="77"/>
      <c r="AL1253" s="77"/>
      <c r="AM1253" s="77"/>
      <c r="AN1253" s="77"/>
      <c r="AO1253" s="77"/>
      <c r="AP1253" s="77"/>
      <c r="AQ1253" s="77" t="s">
        <v>4449</v>
      </c>
      <c r="AR1253" s="77"/>
      <c r="AS1253" s="77"/>
      <c r="AT1253" s="77"/>
      <c r="AU1253" s="77"/>
      <c r="AV1253" s="80" t="str">
        <f>HYPERLINK("https://pbs.twimg.com/media/DvFVqSmVAAAJdEc.jpg")</f>
        <v>https://pbs.twimg.com/media/DvFVqSmVAAAJdEc.jpg</v>
      </c>
      <c r="AW1253" s="81" t="s">
        <v>5589</v>
      </c>
      <c r="AX1253" s="81" t="s">
        <v>5589</v>
      </c>
      <c r="AY1253" s="77"/>
      <c r="AZ1253" s="81" t="s">
        <v>5773</v>
      </c>
      <c r="BA1253" s="81" t="s">
        <v>5773</v>
      </c>
      <c r="BB1253" s="81" t="s">
        <v>5773</v>
      </c>
      <c r="BC1253" s="81" t="s">
        <v>5589</v>
      </c>
      <c r="BD1253" s="77">
        <v>297885438</v>
      </c>
      <c r="BE1253" s="77"/>
      <c r="BF1253" s="77"/>
      <c r="BG1253" s="77"/>
      <c r="BH1253" s="77"/>
      <c r="BI1253" s="77"/>
    </row>
    <row r="1254" spans="1:61" ht="15">
      <c r="A1254" s="62" t="s">
        <v>299</v>
      </c>
      <c r="B1254" s="62" t="s">
        <v>299</v>
      </c>
      <c r="C1254" s="63"/>
      <c r="D1254" s="64"/>
      <c r="E1254" s="65"/>
      <c r="F1254" s="66"/>
      <c r="G1254" s="63"/>
      <c r="H1254" s="67"/>
      <c r="I1254" s="68"/>
      <c r="J1254" s="68"/>
      <c r="K1254" s="32" t="s">
        <v>65</v>
      </c>
      <c r="L1254" s="75">
        <v>1254</v>
      </c>
      <c r="M1254" s="75"/>
      <c r="N1254" s="70"/>
      <c r="O1254" s="77" t="s">
        <v>179</v>
      </c>
      <c r="P1254" s="79">
        <v>43454.29016203704</v>
      </c>
      <c r="Q1254" s="77" t="s">
        <v>1624</v>
      </c>
      <c r="R1254" s="77">
        <v>0</v>
      </c>
      <c r="S1254" s="77">
        <v>0</v>
      </c>
      <c r="T1254" s="77">
        <v>0</v>
      </c>
      <c r="U1254" s="77">
        <v>0</v>
      </c>
      <c r="V1254" s="77"/>
      <c r="W1254" s="81" t="s">
        <v>1944</v>
      </c>
      <c r="X1254" s="77"/>
      <c r="Y1254" s="77"/>
      <c r="Z1254" s="77"/>
      <c r="AA1254" s="77" t="s">
        <v>2636</v>
      </c>
      <c r="AB1254" s="77" t="s">
        <v>2696</v>
      </c>
      <c r="AC1254" s="81" t="s">
        <v>2705</v>
      </c>
      <c r="AD1254" s="77" t="s">
        <v>2752</v>
      </c>
      <c r="AE1254" s="80" t="str">
        <f>HYPERLINK("https://twitter.com/inovies/status/1075646440674856960")</f>
        <v>https://twitter.com/inovies/status/1075646440674856960</v>
      </c>
      <c r="AF1254" s="79">
        <v>43454.29016203704</v>
      </c>
      <c r="AG1254" s="85">
        <v>43454</v>
      </c>
      <c r="AH1254" s="81" t="s">
        <v>3803</v>
      </c>
      <c r="AI1254" s="77" t="b">
        <v>0</v>
      </c>
      <c r="AJ1254" s="77"/>
      <c r="AK1254" s="77"/>
      <c r="AL1254" s="77"/>
      <c r="AM1254" s="77"/>
      <c r="AN1254" s="77"/>
      <c r="AO1254" s="77"/>
      <c r="AP1254" s="77"/>
      <c r="AQ1254" s="77" t="s">
        <v>4450</v>
      </c>
      <c r="AR1254" s="77"/>
      <c r="AS1254" s="77"/>
      <c r="AT1254" s="77"/>
      <c r="AU1254" s="77"/>
      <c r="AV1254" s="80" t="str">
        <f>HYPERLINK("https://pbs.twimg.com/media/Du12lyFX4AExahC.jpg")</f>
        <v>https://pbs.twimg.com/media/Du12lyFX4AExahC.jpg</v>
      </c>
      <c r="AW1254" s="81" t="s">
        <v>5590</v>
      </c>
      <c r="AX1254" s="81" t="s">
        <v>5590</v>
      </c>
      <c r="AY1254" s="77"/>
      <c r="AZ1254" s="81" t="s">
        <v>5773</v>
      </c>
      <c r="BA1254" s="81" t="s">
        <v>5773</v>
      </c>
      <c r="BB1254" s="81" t="s">
        <v>5773</v>
      </c>
      <c r="BC1254" s="81" t="s">
        <v>5590</v>
      </c>
      <c r="BD1254" s="77">
        <v>297885438</v>
      </c>
      <c r="BE1254" s="77"/>
      <c r="BF1254" s="77"/>
      <c r="BG1254" s="77"/>
      <c r="BH1254" s="77"/>
      <c r="BI1254" s="77"/>
    </row>
    <row r="1255" spans="1:61" ht="15">
      <c r="A1255" s="62" t="s">
        <v>299</v>
      </c>
      <c r="B1255" s="62" t="s">
        <v>299</v>
      </c>
      <c r="C1255" s="63"/>
      <c r="D1255" s="64"/>
      <c r="E1255" s="65"/>
      <c r="F1255" s="66"/>
      <c r="G1255" s="63"/>
      <c r="H1255" s="67"/>
      <c r="I1255" s="68"/>
      <c r="J1255" s="68"/>
      <c r="K1255" s="32" t="s">
        <v>65</v>
      </c>
      <c r="L1255" s="75">
        <v>1255</v>
      </c>
      <c r="M1255" s="75"/>
      <c r="N1255" s="70"/>
      <c r="O1255" s="77" t="s">
        <v>179</v>
      </c>
      <c r="P1255" s="79">
        <v>43454.28922453704</v>
      </c>
      <c r="Q1255" s="77" t="s">
        <v>1625</v>
      </c>
      <c r="R1255" s="77">
        <v>0</v>
      </c>
      <c r="S1255" s="77">
        <v>0</v>
      </c>
      <c r="T1255" s="77">
        <v>0</v>
      </c>
      <c r="U1255" s="77">
        <v>0</v>
      </c>
      <c r="V1255" s="77"/>
      <c r="W1255" s="81" t="s">
        <v>1945</v>
      </c>
      <c r="X1255" s="77"/>
      <c r="Y1255" s="77"/>
      <c r="Z1255" s="77"/>
      <c r="AA1255" s="77" t="s">
        <v>2637</v>
      </c>
      <c r="AB1255" s="77" t="s">
        <v>2696</v>
      </c>
      <c r="AC1255" s="81" t="s">
        <v>2705</v>
      </c>
      <c r="AD1255" s="77" t="s">
        <v>2752</v>
      </c>
      <c r="AE1255" s="80" t="str">
        <f>HYPERLINK("https://twitter.com/inovies/status/1075646100965601280")</f>
        <v>https://twitter.com/inovies/status/1075646100965601280</v>
      </c>
      <c r="AF1255" s="79">
        <v>43454.28922453704</v>
      </c>
      <c r="AG1255" s="85">
        <v>43454</v>
      </c>
      <c r="AH1255" s="81" t="s">
        <v>3804</v>
      </c>
      <c r="AI1255" s="77" t="b">
        <v>0</v>
      </c>
      <c r="AJ1255" s="77"/>
      <c r="AK1255" s="77"/>
      <c r="AL1255" s="77"/>
      <c r="AM1255" s="77"/>
      <c r="AN1255" s="77"/>
      <c r="AO1255" s="77"/>
      <c r="AP1255" s="77"/>
      <c r="AQ1255" s="77" t="s">
        <v>4451</v>
      </c>
      <c r="AR1255" s="77"/>
      <c r="AS1255" s="77"/>
      <c r="AT1255" s="77"/>
      <c r="AU1255" s="77"/>
      <c r="AV1255" s="80" t="str">
        <f>HYPERLINK("https://pbs.twimg.com/media/Du12WVlXgAEZ7lx.jpg")</f>
        <v>https://pbs.twimg.com/media/Du12WVlXgAEZ7lx.jpg</v>
      </c>
      <c r="AW1255" s="81" t="s">
        <v>5591</v>
      </c>
      <c r="AX1255" s="81" t="s">
        <v>5591</v>
      </c>
      <c r="AY1255" s="77"/>
      <c r="AZ1255" s="81" t="s">
        <v>5773</v>
      </c>
      <c r="BA1255" s="81" t="s">
        <v>5773</v>
      </c>
      <c r="BB1255" s="81" t="s">
        <v>5773</v>
      </c>
      <c r="BC1255" s="81" t="s">
        <v>5591</v>
      </c>
      <c r="BD1255" s="77">
        <v>297885438</v>
      </c>
      <c r="BE1255" s="77"/>
      <c r="BF1255" s="77"/>
      <c r="BG1255" s="77"/>
      <c r="BH1255" s="77"/>
      <c r="BI1255" s="77"/>
    </row>
    <row r="1256" spans="1:61" ht="15">
      <c r="A1256" s="62" t="s">
        <v>299</v>
      </c>
      <c r="B1256" s="62" t="s">
        <v>299</v>
      </c>
      <c r="C1256" s="63"/>
      <c r="D1256" s="64"/>
      <c r="E1256" s="65"/>
      <c r="F1256" s="66"/>
      <c r="G1256" s="63"/>
      <c r="H1256" s="67"/>
      <c r="I1256" s="68"/>
      <c r="J1256" s="68"/>
      <c r="K1256" s="32" t="s">
        <v>65</v>
      </c>
      <c r="L1256" s="75">
        <v>1256</v>
      </c>
      <c r="M1256" s="75"/>
      <c r="N1256" s="70"/>
      <c r="O1256" s="77" t="s">
        <v>179</v>
      </c>
      <c r="P1256" s="79">
        <v>43454.28821759259</v>
      </c>
      <c r="Q1256" s="77" t="s">
        <v>1626</v>
      </c>
      <c r="R1256" s="77">
        <v>0</v>
      </c>
      <c r="S1256" s="77">
        <v>0</v>
      </c>
      <c r="T1256" s="77">
        <v>0</v>
      </c>
      <c r="U1256" s="77">
        <v>0</v>
      </c>
      <c r="V1256" s="77"/>
      <c r="W1256" s="81" t="s">
        <v>1946</v>
      </c>
      <c r="X1256" s="77"/>
      <c r="Y1256" s="77"/>
      <c r="Z1256" s="77"/>
      <c r="AA1256" s="77" t="s">
        <v>2638</v>
      </c>
      <c r="AB1256" s="77" t="s">
        <v>2696</v>
      </c>
      <c r="AC1256" s="81" t="s">
        <v>2705</v>
      </c>
      <c r="AD1256" s="77" t="s">
        <v>2752</v>
      </c>
      <c r="AE1256" s="80" t="str">
        <f>HYPERLINK("https://twitter.com/inovies/status/1075645737084555264")</f>
        <v>https://twitter.com/inovies/status/1075645737084555264</v>
      </c>
      <c r="AF1256" s="79">
        <v>43454.28821759259</v>
      </c>
      <c r="AG1256" s="85">
        <v>43454</v>
      </c>
      <c r="AH1256" s="81" t="s">
        <v>3805</v>
      </c>
      <c r="AI1256" s="77" t="b">
        <v>0</v>
      </c>
      <c r="AJ1256" s="77"/>
      <c r="AK1256" s="77"/>
      <c r="AL1256" s="77"/>
      <c r="AM1256" s="77"/>
      <c r="AN1256" s="77"/>
      <c r="AO1256" s="77"/>
      <c r="AP1256" s="77"/>
      <c r="AQ1256" s="77" t="s">
        <v>4452</v>
      </c>
      <c r="AR1256" s="77"/>
      <c r="AS1256" s="77"/>
      <c r="AT1256" s="77"/>
      <c r="AU1256" s="77"/>
      <c r="AV1256" s="80" t="str">
        <f>HYPERLINK("https://pbs.twimg.com/media/Du12ArBWsAIx85o.jpg")</f>
        <v>https://pbs.twimg.com/media/Du12ArBWsAIx85o.jpg</v>
      </c>
      <c r="AW1256" s="81" t="s">
        <v>5592</v>
      </c>
      <c r="AX1256" s="81" t="s">
        <v>5592</v>
      </c>
      <c r="AY1256" s="77"/>
      <c r="AZ1256" s="81" t="s">
        <v>5773</v>
      </c>
      <c r="BA1256" s="81" t="s">
        <v>5773</v>
      </c>
      <c r="BB1256" s="81" t="s">
        <v>5773</v>
      </c>
      <c r="BC1256" s="81" t="s">
        <v>5592</v>
      </c>
      <c r="BD1256" s="77">
        <v>297885438</v>
      </c>
      <c r="BE1256" s="77"/>
      <c r="BF1256" s="77"/>
      <c r="BG1256" s="77"/>
      <c r="BH1256" s="77"/>
      <c r="BI1256" s="77"/>
    </row>
    <row r="1257" spans="1:61" ht="15">
      <c r="A1257" s="62" t="s">
        <v>299</v>
      </c>
      <c r="B1257" s="62" t="s">
        <v>299</v>
      </c>
      <c r="C1257" s="63"/>
      <c r="D1257" s="64"/>
      <c r="E1257" s="65"/>
      <c r="F1257" s="66"/>
      <c r="G1257" s="63"/>
      <c r="H1257" s="67"/>
      <c r="I1257" s="68"/>
      <c r="J1257" s="68"/>
      <c r="K1257" s="32" t="s">
        <v>65</v>
      </c>
      <c r="L1257" s="75">
        <v>1257</v>
      </c>
      <c r="M1257" s="75"/>
      <c r="N1257" s="70"/>
      <c r="O1257" s="77" t="s">
        <v>179</v>
      </c>
      <c r="P1257" s="79">
        <v>45281.81030092593</v>
      </c>
      <c r="Q1257" s="77" t="s">
        <v>1627</v>
      </c>
      <c r="R1257" s="77">
        <v>0</v>
      </c>
      <c r="S1257" s="77">
        <v>0</v>
      </c>
      <c r="T1257" s="77">
        <v>0</v>
      </c>
      <c r="U1257" s="77">
        <v>0</v>
      </c>
      <c r="V1257" s="77">
        <v>7</v>
      </c>
      <c r="W1257" s="81" t="s">
        <v>1947</v>
      </c>
      <c r="X1257" s="80" t="str">
        <f>HYPERLINK("https://inovies.com/digital-marketing/")</f>
        <v>https://inovies.com/digital-marketing/</v>
      </c>
      <c r="Y1257" s="77" t="s">
        <v>1982</v>
      </c>
      <c r="Z1257" s="77"/>
      <c r="AA1257" s="77" t="s">
        <v>2639</v>
      </c>
      <c r="AB1257" s="77" t="s">
        <v>2696</v>
      </c>
      <c r="AC1257" s="81" t="s">
        <v>2707</v>
      </c>
      <c r="AD1257" s="77" t="s">
        <v>2751</v>
      </c>
      <c r="AE1257" s="80" t="str">
        <f>HYPERLINK("https://twitter.com/inovies/status/1737917563907035353")</f>
        <v>https://twitter.com/inovies/status/1737917563907035353</v>
      </c>
      <c r="AF1257" s="79">
        <v>45281.81030092593</v>
      </c>
      <c r="AG1257" s="85">
        <v>45281</v>
      </c>
      <c r="AH1257" s="81" t="s">
        <v>3806</v>
      </c>
      <c r="AI1257" s="77" t="b">
        <v>0</v>
      </c>
      <c r="AJ1257" s="77"/>
      <c r="AK1257" s="77"/>
      <c r="AL1257" s="77"/>
      <c r="AM1257" s="77"/>
      <c r="AN1257" s="77"/>
      <c r="AO1257" s="77"/>
      <c r="AP1257" s="77"/>
      <c r="AQ1257" s="77" t="s">
        <v>4453</v>
      </c>
      <c r="AR1257" s="77"/>
      <c r="AS1257" s="77"/>
      <c r="AT1257" s="77"/>
      <c r="AU1257" s="77"/>
      <c r="AV1257" s="80" t="str">
        <f>HYPERLINK("https://pbs.twimg.com/media/GB5SzAyX0AEer95.jpg")</f>
        <v>https://pbs.twimg.com/media/GB5SzAyX0AEer95.jpg</v>
      </c>
      <c r="AW1257" s="81" t="s">
        <v>5593</v>
      </c>
      <c r="AX1257" s="81" t="s">
        <v>5593</v>
      </c>
      <c r="AY1257" s="77"/>
      <c r="AZ1257" s="81" t="s">
        <v>5773</v>
      </c>
      <c r="BA1257" s="81" t="s">
        <v>5773</v>
      </c>
      <c r="BB1257" s="81" t="s">
        <v>5773</v>
      </c>
      <c r="BC1257" s="81" t="s">
        <v>5593</v>
      </c>
      <c r="BD1257" s="77">
        <v>297885438</v>
      </c>
      <c r="BE1257" s="77"/>
      <c r="BF1257" s="77"/>
      <c r="BG1257" s="77"/>
      <c r="BH1257" s="77"/>
      <c r="BI1257" s="77"/>
    </row>
    <row r="1258" spans="1:61" ht="15">
      <c r="A1258" s="62" t="s">
        <v>299</v>
      </c>
      <c r="B1258" s="62" t="s">
        <v>299</v>
      </c>
      <c r="C1258" s="63"/>
      <c r="D1258" s="64"/>
      <c r="E1258" s="65"/>
      <c r="F1258" s="66"/>
      <c r="G1258" s="63"/>
      <c r="H1258" s="67"/>
      <c r="I1258" s="68"/>
      <c r="J1258" s="68"/>
      <c r="K1258" s="32" t="s">
        <v>65</v>
      </c>
      <c r="L1258" s="75">
        <v>1258</v>
      </c>
      <c r="M1258" s="75"/>
      <c r="N1258" s="70"/>
      <c r="O1258" s="77" t="s">
        <v>179</v>
      </c>
      <c r="P1258" s="79">
        <v>45272.455104166664</v>
      </c>
      <c r="Q1258" s="77" t="s">
        <v>1628</v>
      </c>
      <c r="R1258" s="77">
        <v>0</v>
      </c>
      <c r="S1258" s="77">
        <v>0</v>
      </c>
      <c r="T1258" s="77">
        <v>0</v>
      </c>
      <c r="U1258" s="77">
        <v>0</v>
      </c>
      <c r="V1258" s="77">
        <v>11</v>
      </c>
      <c r="W1258" s="81" t="s">
        <v>1888</v>
      </c>
      <c r="X1258" s="80" t="str">
        <f>HYPERLINK("https://www.inovies.com/digital-marketing/")</f>
        <v>https://www.inovies.com/digital-marketing/</v>
      </c>
      <c r="Y1258" s="77" t="s">
        <v>1982</v>
      </c>
      <c r="Z1258" s="77"/>
      <c r="AA1258" s="77" t="s">
        <v>2640</v>
      </c>
      <c r="AB1258" s="77" t="s">
        <v>2698</v>
      </c>
      <c r="AC1258" s="81" t="s">
        <v>2707</v>
      </c>
      <c r="AD1258" s="77" t="s">
        <v>2752</v>
      </c>
      <c r="AE1258" s="80" t="str">
        <f>HYPERLINK("https://twitter.com/inovies/status/1734527350992175477")</f>
        <v>https://twitter.com/inovies/status/1734527350992175477</v>
      </c>
      <c r="AF1258" s="79">
        <v>45272.455104166664</v>
      </c>
      <c r="AG1258" s="85">
        <v>45272</v>
      </c>
      <c r="AH1258" s="81" t="s">
        <v>3807</v>
      </c>
      <c r="AI1258" s="77" t="b">
        <v>0</v>
      </c>
      <c r="AJ1258" s="77"/>
      <c r="AK1258" s="77"/>
      <c r="AL1258" s="77"/>
      <c r="AM1258" s="77"/>
      <c r="AN1258" s="77"/>
      <c r="AO1258" s="77"/>
      <c r="AP1258" s="77"/>
      <c r="AQ1258" s="77" t="s">
        <v>4454</v>
      </c>
      <c r="AR1258" s="77"/>
      <c r="AS1258" s="77"/>
      <c r="AT1258" s="77"/>
      <c r="AU1258" s="77"/>
      <c r="AV1258" s="80" t="str">
        <f>HYPERLINK("https://pbs.twimg.com/tweet_video_thumb/GBJHbYNasAA17Pi.jpg")</f>
        <v>https://pbs.twimg.com/tweet_video_thumb/GBJHbYNasAA17Pi.jpg</v>
      </c>
      <c r="AW1258" s="81" t="s">
        <v>5594</v>
      </c>
      <c r="AX1258" s="81" t="s">
        <v>5594</v>
      </c>
      <c r="AY1258" s="77"/>
      <c r="AZ1258" s="81" t="s">
        <v>5773</v>
      </c>
      <c r="BA1258" s="81" t="s">
        <v>5773</v>
      </c>
      <c r="BB1258" s="81" t="s">
        <v>5773</v>
      </c>
      <c r="BC1258" s="81" t="s">
        <v>5594</v>
      </c>
      <c r="BD1258" s="77">
        <v>297885438</v>
      </c>
      <c r="BE1258" s="77"/>
      <c r="BF1258" s="77"/>
      <c r="BG1258" s="77"/>
      <c r="BH1258" s="77"/>
      <c r="BI1258" s="77"/>
    </row>
    <row r="1259" spans="1:61" ht="15">
      <c r="A1259" s="62" t="s">
        <v>299</v>
      </c>
      <c r="B1259" s="62" t="s">
        <v>299</v>
      </c>
      <c r="C1259" s="63"/>
      <c r="D1259" s="64"/>
      <c r="E1259" s="65"/>
      <c r="F1259" s="66"/>
      <c r="G1259" s="63"/>
      <c r="H1259" s="67"/>
      <c r="I1259" s="68"/>
      <c r="J1259" s="68"/>
      <c r="K1259" s="32" t="s">
        <v>65</v>
      </c>
      <c r="L1259" s="75">
        <v>1259</v>
      </c>
      <c r="M1259" s="75"/>
      <c r="N1259" s="70"/>
      <c r="O1259" s="77" t="s">
        <v>179</v>
      </c>
      <c r="P1259" s="79">
        <v>45272.44414351852</v>
      </c>
      <c r="Q1259" s="77" t="s">
        <v>1629</v>
      </c>
      <c r="R1259" s="77">
        <v>0</v>
      </c>
      <c r="S1259" s="77">
        <v>0</v>
      </c>
      <c r="T1259" s="77">
        <v>0</v>
      </c>
      <c r="U1259" s="77">
        <v>0</v>
      </c>
      <c r="V1259" s="77">
        <v>7</v>
      </c>
      <c r="W1259" s="81" t="s">
        <v>1888</v>
      </c>
      <c r="X1259" s="80" t="str">
        <f>HYPERLINK("https://www.inovies.com/digital-marketing/")</f>
        <v>https://www.inovies.com/digital-marketing/</v>
      </c>
      <c r="Y1259" s="77" t="s">
        <v>1982</v>
      </c>
      <c r="Z1259" s="77"/>
      <c r="AA1259" s="77" t="s">
        <v>2641</v>
      </c>
      <c r="AB1259" s="77" t="s">
        <v>2698</v>
      </c>
      <c r="AC1259" s="81" t="s">
        <v>2707</v>
      </c>
      <c r="AD1259" s="77" t="s">
        <v>2752</v>
      </c>
      <c r="AE1259" s="80" t="str">
        <f>HYPERLINK("https://twitter.com/inovies/status/1734523379183440098")</f>
        <v>https://twitter.com/inovies/status/1734523379183440098</v>
      </c>
      <c r="AF1259" s="79">
        <v>45272.44414351852</v>
      </c>
      <c r="AG1259" s="85">
        <v>45272</v>
      </c>
      <c r="AH1259" s="81" t="s">
        <v>3808</v>
      </c>
      <c r="AI1259" s="77" t="b">
        <v>0</v>
      </c>
      <c r="AJ1259" s="77"/>
      <c r="AK1259" s="77"/>
      <c r="AL1259" s="77"/>
      <c r="AM1259" s="77"/>
      <c r="AN1259" s="77"/>
      <c r="AO1259" s="77"/>
      <c r="AP1259" s="77"/>
      <c r="AQ1259" s="77" t="s">
        <v>4455</v>
      </c>
      <c r="AR1259" s="77"/>
      <c r="AS1259" s="77"/>
      <c r="AT1259" s="77"/>
      <c r="AU1259" s="77"/>
      <c r="AV1259" s="80" t="str">
        <f>HYPERLINK("https://pbs.twimg.com/tweet_video_thumb/GBJD0I7bQAA0sgp.jpg")</f>
        <v>https://pbs.twimg.com/tweet_video_thumb/GBJD0I7bQAA0sgp.jpg</v>
      </c>
      <c r="AW1259" s="81" t="s">
        <v>5595</v>
      </c>
      <c r="AX1259" s="81" t="s">
        <v>5595</v>
      </c>
      <c r="AY1259" s="77"/>
      <c r="AZ1259" s="81" t="s">
        <v>5773</v>
      </c>
      <c r="BA1259" s="81" t="s">
        <v>5773</v>
      </c>
      <c r="BB1259" s="81" t="s">
        <v>5773</v>
      </c>
      <c r="BC1259" s="81" t="s">
        <v>5595</v>
      </c>
      <c r="BD1259" s="77">
        <v>297885438</v>
      </c>
      <c r="BE1259" s="77"/>
      <c r="BF1259" s="77"/>
      <c r="BG1259" s="77"/>
      <c r="BH1259" s="77"/>
      <c r="BI1259" s="77"/>
    </row>
    <row r="1260" spans="1:61" ht="15">
      <c r="A1260" s="62" t="s">
        <v>299</v>
      </c>
      <c r="B1260" s="62" t="s">
        <v>299</v>
      </c>
      <c r="C1260" s="63"/>
      <c r="D1260" s="64"/>
      <c r="E1260" s="65"/>
      <c r="F1260" s="66"/>
      <c r="G1260" s="63"/>
      <c r="H1260" s="67"/>
      <c r="I1260" s="68"/>
      <c r="J1260" s="68"/>
      <c r="K1260" s="32" t="s">
        <v>65</v>
      </c>
      <c r="L1260" s="75">
        <v>1260</v>
      </c>
      <c r="M1260" s="75"/>
      <c r="N1260" s="70"/>
      <c r="O1260" s="77" t="s">
        <v>179</v>
      </c>
      <c r="P1260" s="79">
        <v>45272.44394675926</v>
      </c>
      <c r="Q1260" s="77" t="s">
        <v>1630</v>
      </c>
      <c r="R1260" s="77">
        <v>0</v>
      </c>
      <c r="S1260" s="77">
        <v>0</v>
      </c>
      <c r="T1260" s="77">
        <v>0</v>
      </c>
      <c r="U1260" s="77">
        <v>0</v>
      </c>
      <c r="V1260" s="77">
        <v>6</v>
      </c>
      <c r="W1260" s="81" t="s">
        <v>1888</v>
      </c>
      <c r="X1260" s="80" t="str">
        <f>HYPERLINK("https://www.inovies.com/digital-marketing/")</f>
        <v>https://www.inovies.com/digital-marketing/</v>
      </c>
      <c r="Y1260" s="77" t="s">
        <v>1982</v>
      </c>
      <c r="Z1260" s="77"/>
      <c r="AA1260" s="77" t="s">
        <v>2642</v>
      </c>
      <c r="AB1260" s="77" t="s">
        <v>2698</v>
      </c>
      <c r="AC1260" s="81" t="s">
        <v>2707</v>
      </c>
      <c r="AD1260" s="77" t="s">
        <v>2752</v>
      </c>
      <c r="AE1260" s="80" t="str">
        <f>HYPERLINK("https://twitter.com/inovies/status/1734523310560493860")</f>
        <v>https://twitter.com/inovies/status/1734523310560493860</v>
      </c>
      <c r="AF1260" s="79">
        <v>45272.44394675926</v>
      </c>
      <c r="AG1260" s="85">
        <v>45272</v>
      </c>
      <c r="AH1260" s="81" t="s">
        <v>3809</v>
      </c>
      <c r="AI1260" s="77" t="b">
        <v>0</v>
      </c>
      <c r="AJ1260" s="77"/>
      <c r="AK1260" s="77"/>
      <c r="AL1260" s="77"/>
      <c r="AM1260" s="77"/>
      <c r="AN1260" s="77"/>
      <c r="AO1260" s="77"/>
      <c r="AP1260" s="77"/>
      <c r="AQ1260" s="77" t="s">
        <v>4456</v>
      </c>
      <c r="AR1260" s="77"/>
      <c r="AS1260" s="77"/>
      <c r="AT1260" s="77"/>
      <c r="AU1260" s="77"/>
      <c r="AV1260" s="80" t="str">
        <f>HYPERLINK("https://pbs.twimg.com/tweet_video_thumb/GBJDwMYb0AAZk1H.jpg")</f>
        <v>https://pbs.twimg.com/tweet_video_thumb/GBJDwMYb0AAZk1H.jpg</v>
      </c>
      <c r="AW1260" s="81" t="s">
        <v>5596</v>
      </c>
      <c r="AX1260" s="81" t="s">
        <v>5596</v>
      </c>
      <c r="AY1260" s="77"/>
      <c r="AZ1260" s="81" t="s">
        <v>5773</v>
      </c>
      <c r="BA1260" s="81" t="s">
        <v>5773</v>
      </c>
      <c r="BB1260" s="81" t="s">
        <v>5773</v>
      </c>
      <c r="BC1260" s="81" t="s">
        <v>5596</v>
      </c>
      <c r="BD1260" s="77">
        <v>297885438</v>
      </c>
      <c r="BE1260" s="77"/>
      <c r="BF1260" s="77"/>
      <c r="BG1260" s="77"/>
      <c r="BH1260" s="77"/>
      <c r="BI1260" s="77"/>
    </row>
    <row r="1261" spans="1:61" ht="15">
      <c r="A1261" s="62" t="s">
        <v>299</v>
      </c>
      <c r="B1261" s="62" t="s">
        <v>299</v>
      </c>
      <c r="C1261" s="63"/>
      <c r="D1261" s="64"/>
      <c r="E1261" s="65"/>
      <c r="F1261" s="66"/>
      <c r="G1261" s="63"/>
      <c r="H1261" s="67"/>
      <c r="I1261" s="68"/>
      <c r="J1261" s="68"/>
      <c r="K1261" s="32" t="s">
        <v>65</v>
      </c>
      <c r="L1261" s="75">
        <v>1261</v>
      </c>
      <c r="M1261" s="75"/>
      <c r="N1261" s="70"/>
      <c r="O1261" s="77" t="s">
        <v>179</v>
      </c>
      <c r="P1261" s="79">
        <v>41908.30988425926</v>
      </c>
      <c r="Q1261" s="80" t="str">
        <f>HYPERLINK("http://t.co/dWLQg1lsVt")</f>
        <v>http://t.co/dWLQg1lsVt</v>
      </c>
      <c r="R1261" s="77">
        <v>0</v>
      </c>
      <c r="S1261" s="77">
        <v>0</v>
      </c>
      <c r="T1261" s="77">
        <v>0</v>
      </c>
      <c r="U1261" s="77">
        <v>0</v>
      </c>
      <c r="V1261" s="77"/>
      <c r="W1261" s="77"/>
      <c r="X1261" s="80" t="str">
        <f>HYPERLINK("http://klou.tt/zycxm1i49bdc")</f>
        <v>http://klou.tt/zycxm1i49bdc</v>
      </c>
      <c r="Y1261" s="77" t="s">
        <v>2054</v>
      </c>
      <c r="Z1261" s="77"/>
      <c r="AA1261" s="77"/>
      <c r="AB1261" s="77"/>
      <c r="AC1261" s="81" t="s">
        <v>2749</v>
      </c>
      <c r="AD1261" s="77" t="s">
        <v>2756</v>
      </c>
      <c r="AE1261" s="80" t="str">
        <f>HYPERLINK("https://twitter.com/inovies/status/515401948049453056")</f>
        <v>https://twitter.com/inovies/status/515401948049453056</v>
      </c>
      <c r="AF1261" s="79">
        <v>41908.30988425926</v>
      </c>
      <c r="AG1261" s="85">
        <v>41908</v>
      </c>
      <c r="AH1261" s="81" t="s">
        <v>3810</v>
      </c>
      <c r="AI1261" s="77" t="b">
        <v>0</v>
      </c>
      <c r="AJ1261" s="77"/>
      <c r="AK1261" s="77"/>
      <c r="AL1261" s="77"/>
      <c r="AM1261" s="77"/>
      <c r="AN1261" s="77"/>
      <c r="AO1261" s="77"/>
      <c r="AP1261" s="77"/>
      <c r="AQ1261" s="77"/>
      <c r="AR1261" s="77"/>
      <c r="AS1261" s="77"/>
      <c r="AT1261" s="77"/>
      <c r="AU1261" s="77"/>
      <c r="AV1261" s="80" t="str">
        <f>HYPERLINK("https://pbs.twimg.com/profile_images/833576943677214720/5ZyUgpEJ_normal.jpg")</f>
        <v>https://pbs.twimg.com/profile_images/833576943677214720/5ZyUgpEJ_normal.jpg</v>
      </c>
      <c r="AW1261" s="81" t="s">
        <v>5597</v>
      </c>
      <c r="AX1261" s="81" t="s">
        <v>5597</v>
      </c>
      <c r="AY1261" s="77"/>
      <c r="AZ1261" s="81" t="s">
        <v>5773</v>
      </c>
      <c r="BA1261" s="81" t="s">
        <v>5773</v>
      </c>
      <c r="BB1261" s="81" t="s">
        <v>5773</v>
      </c>
      <c r="BC1261" s="81" t="s">
        <v>5597</v>
      </c>
      <c r="BD1261" s="77">
        <v>297885438</v>
      </c>
      <c r="BE1261" s="77"/>
      <c r="BF1261" s="77"/>
      <c r="BG1261" s="77"/>
      <c r="BH1261" s="77"/>
      <c r="BI1261" s="77"/>
    </row>
    <row r="1262" spans="1:61" ht="15">
      <c r="A1262" s="62" t="s">
        <v>299</v>
      </c>
      <c r="B1262" s="62" t="s">
        <v>299</v>
      </c>
      <c r="C1262" s="63"/>
      <c r="D1262" s="64"/>
      <c r="E1262" s="65"/>
      <c r="F1262" s="66"/>
      <c r="G1262" s="63"/>
      <c r="H1262" s="67"/>
      <c r="I1262" s="68"/>
      <c r="J1262" s="68"/>
      <c r="K1262" s="32" t="s">
        <v>65</v>
      </c>
      <c r="L1262" s="75">
        <v>1262</v>
      </c>
      <c r="M1262" s="75"/>
      <c r="N1262" s="70"/>
      <c r="O1262" s="77" t="s">
        <v>179</v>
      </c>
      <c r="P1262" s="79">
        <v>45281.813043981485</v>
      </c>
      <c r="Q1262" s="77" t="s">
        <v>1631</v>
      </c>
      <c r="R1262" s="77">
        <v>0</v>
      </c>
      <c r="S1262" s="77">
        <v>0</v>
      </c>
      <c r="T1262" s="77">
        <v>0</v>
      </c>
      <c r="U1262" s="77">
        <v>0</v>
      </c>
      <c r="V1262" s="77">
        <v>6</v>
      </c>
      <c r="W1262" s="81" t="s">
        <v>1948</v>
      </c>
      <c r="X1262" s="80" t="str">
        <f>HYPERLINK("https://inovies.com/digital-marketing/")</f>
        <v>https://inovies.com/digital-marketing/</v>
      </c>
      <c r="Y1262" s="77" t="s">
        <v>1982</v>
      </c>
      <c r="Z1262" s="77"/>
      <c r="AA1262" s="77" t="s">
        <v>2643</v>
      </c>
      <c r="AB1262" s="77" t="s">
        <v>2696</v>
      </c>
      <c r="AC1262" s="81" t="s">
        <v>2707</v>
      </c>
      <c r="AD1262" s="77" t="s">
        <v>2751</v>
      </c>
      <c r="AE1262" s="80" t="str">
        <f>HYPERLINK("https://twitter.com/inovies/status/1737918558502277447")</f>
        <v>https://twitter.com/inovies/status/1737918558502277447</v>
      </c>
      <c r="AF1262" s="79">
        <v>45281.813043981485</v>
      </c>
      <c r="AG1262" s="85">
        <v>45281</v>
      </c>
      <c r="AH1262" s="81" t="s">
        <v>3811</v>
      </c>
      <c r="AI1262" s="77" t="b">
        <v>0</v>
      </c>
      <c r="AJ1262" s="77"/>
      <c r="AK1262" s="77"/>
      <c r="AL1262" s="77"/>
      <c r="AM1262" s="77"/>
      <c r="AN1262" s="77"/>
      <c r="AO1262" s="77"/>
      <c r="AP1262" s="77"/>
      <c r="AQ1262" s="77" t="s">
        <v>4457</v>
      </c>
      <c r="AR1262" s="77"/>
      <c r="AS1262" s="77"/>
      <c r="AT1262" s="77"/>
      <c r="AU1262" s="77"/>
      <c r="AV1262" s="80" t="str">
        <f>HYPERLINK("https://pbs.twimg.com/media/GB5TtarXQAAjyq0.jpg")</f>
        <v>https://pbs.twimg.com/media/GB5TtarXQAAjyq0.jpg</v>
      </c>
      <c r="AW1262" s="81" t="s">
        <v>5598</v>
      </c>
      <c r="AX1262" s="81" t="s">
        <v>5598</v>
      </c>
      <c r="AY1262" s="77"/>
      <c r="AZ1262" s="81" t="s">
        <v>5773</v>
      </c>
      <c r="BA1262" s="81" t="s">
        <v>5773</v>
      </c>
      <c r="BB1262" s="81" t="s">
        <v>5773</v>
      </c>
      <c r="BC1262" s="81" t="s">
        <v>5598</v>
      </c>
      <c r="BD1262" s="77">
        <v>297885438</v>
      </c>
      <c r="BE1262" s="77"/>
      <c r="BF1262" s="77"/>
      <c r="BG1262" s="77"/>
      <c r="BH1262" s="77"/>
      <c r="BI1262" s="77"/>
    </row>
    <row r="1263" spans="1:61" ht="15">
      <c r="A1263" s="62" t="s">
        <v>299</v>
      </c>
      <c r="B1263" s="62" t="s">
        <v>299</v>
      </c>
      <c r="C1263" s="63"/>
      <c r="D1263" s="64"/>
      <c r="E1263" s="65"/>
      <c r="F1263" s="66"/>
      <c r="G1263" s="63"/>
      <c r="H1263" s="67"/>
      <c r="I1263" s="68"/>
      <c r="J1263" s="68"/>
      <c r="K1263" s="32" t="s">
        <v>65</v>
      </c>
      <c r="L1263" s="75">
        <v>1263</v>
      </c>
      <c r="M1263" s="75"/>
      <c r="N1263" s="70"/>
      <c r="O1263" s="77" t="s">
        <v>572</v>
      </c>
      <c r="P1263" s="79">
        <v>45271.311111111114</v>
      </c>
      <c r="Q1263" s="77" t="s">
        <v>1632</v>
      </c>
      <c r="R1263" s="77">
        <v>0</v>
      </c>
      <c r="S1263" s="77">
        <v>0</v>
      </c>
      <c r="T1263" s="77">
        <v>1</v>
      </c>
      <c r="U1263" s="77">
        <v>0</v>
      </c>
      <c r="V1263" s="77">
        <v>10</v>
      </c>
      <c r="W1263" s="81" t="s">
        <v>1880</v>
      </c>
      <c r="X1263" s="77"/>
      <c r="Y1263" s="77"/>
      <c r="Z1263" s="77"/>
      <c r="AA1263" s="77"/>
      <c r="AB1263" s="77"/>
      <c r="AC1263" s="81" t="s">
        <v>2707</v>
      </c>
      <c r="AD1263" s="77" t="s">
        <v>2751</v>
      </c>
      <c r="AE1263" s="80" t="str">
        <f>HYPERLINK("https://twitter.com/inovies/status/1734112784588112064")</f>
        <v>https://twitter.com/inovies/status/1734112784588112064</v>
      </c>
      <c r="AF1263" s="79">
        <v>45271.311111111114</v>
      </c>
      <c r="AG1263" s="85">
        <v>45271</v>
      </c>
      <c r="AH1263" s="81" t="s">
        <v>3377</v>
      </c>
      <c r="AI1263" s="77"/>
      <c r="AJ1263" s="77"/>
      <c r="AK1263" s="77"/>
      <c r="AL1263" s="77"/>
      <c r="AM1263" s="77"/>
      <c r="AN1263" s="77"/>
      <c r="AO1263" s="77"/>
      <c r="AP1263" s="77"/>
      <c r="AQ1263" s="77"/>
      <c r="AR1263" s="77"/>
      <c r="AS1263" s="77"/>
      <c r="AT1263" s="77"/>
      <c r="AU1263" s="77"/>
      <c r="AV1263" s="80" t="str">
        <f>HYPERLINK("https://pbs.twimg.com/profile_images/833576943677214720/5ZyUgpEJ_normal.jpg")</f>
        <v>https://pbs.twimg.com/profile_images/833576943677214720/5ZyUgpEJ_normal.jpg</v>
      </c>
      <c r="AW1263" s="81" t="s">
        <v>5599</v>
      </c>
      <c r="AX1263" s="81" t="s">
        <v>5129</v>
      </c>
      <c r="AY1263" s="81" t="s">
        <v>5721</v>
      </c>
      <c r="AZ1263" s="81" t="s">
        <v>5123</v>
      </c>
      <c r="BA1263" s="81" t="s">
        <v>5773</v>
      </c>
      <c r="BB1263" s="81" t="s">
        <v>5773</v>
      </c>
      <c r="BC1263" s="81" t="s">
        <v>5123</v>
      </c>
      <c r="BD1263" s="77">
        <v>297885438</v>
      </c>
      <c r="BE1263" s="77"/>
      <c r="BF1263" s="77"/>
      <c r="BG1263" s="77"/>
      <c r="BH1263" s="77"/>
      <c r="BI1263" s="77"/>
    </row>
    <row r="1264" spans="1:61" ht="15">
      <c r="A1264" s="62" t="s">
        <v>299</v>
      </c>
      <c r="B1264" s="62" t="s">
        <v>299</v>
      </c>
      <c r="C1264" s="63"/>
      <c r="D1264" s="64"/>
      <c r="E1264" s="65"/>
      <c r="F1264" s="66"/>
      <c r="G1264" s="63"/>
      <c r="H1264" s="67"/>
      <c r="I1264" s="68"/>
      <c r="J1264" s="68"/>
      <c r="K1264" s="32" t="s">
        <v>65</v>
      </c>
      <c r="L1264" s="75">
        <v>1264</v>
      </c>
      <c r="M1264" s="75"/>
      <c r="N1264" s="70"/>
      <c r="O1264" s="77" t="s">
        <v>179</v>
      </c>
      <c r="P1264" s="79">
        <v>45281.819918981484</v>
      </c>
      <c r="Q1264" s="77" t="s">
        <v>1633</v>
      </c>
      <c r="R1264" s="77">
        <v>0</v>
      </c>
      <c r="S1264" s="77">
        <v>1</v>
      </c>
      <c r="T1264" s="77">
        <v>0</v>
      </c>
      <c r="U1264" s="77">
        <v>0</v>
      </c>
      <c r="V1264" s="77">
        <v>9</v>
      </c>
      <c r="W1264" s="81" t="s">
        <v>1895</v>
      </c>
      <c r="X1264" s="80" t="str">
        <f>HYPERLINK("https://inovies.com/digital-marketing/")</f>
        <v>https://inovies.com/digital-marketing/</v>
      </c>
      <c r="Y1264" s="77" t="s">
        <v>1982</v>
      </c>
      <c r="Z1264" s="77"/>
      <c r="AA1264" s="77" t="s">
        <v>2644</v>
      </c>
      <c r="AB1264" s="77" t="s">
        <v>2696</v>
      </c>
      <c r="AC1264" s="81" t="s">
        <v>2707</v>
      </c>
      <c r="AD1264" s="77" t="s">
        <v>2751</v>
      </c>
      <c r="AE1264" s="80" t="str">
        <f>HYPERLINK("https://twitter.com/inovies/status/1737921046148215244")</f>
        <v>https://twitter.com/inovies/status/1737921046148215244</v>
      </c>
      <c r="AF1264" s="79">
        <v>45281.819918981484</v>
      </c>
      <c r="AG1264" s="85">
        <v>45281</v>
      </c>
      <c r="AH1264" s="81" t="s">
        <v>3812</v>
      </c>
      <c r="AI1264" s="77" t="b">
        <v>0</v>
      </c>
      <c r="AJ1264" s="77"/>
      <c r="AK1264" s="77"/>
      <c r="AL1264" s="77"/>
      <c r="AM1264" s="77"/>
      <c r="AN1264" s="77"/>
      <c r="AO1264" s="77"/>
      <c r="AP1264" s="77"/>
      <c r="AQ1264" s="77" t="s">
        <v>4458</v>
      </c>
      <c r="AR1264" s="77"/>
      <c r="AS1264" s="77"/>
      <c r="AT1264" s="77"/>
      <c r="AU1264" s="77"/>
      <c r="AV1264" s="80" t="str">
        <f>HYPERLINK("https://pbs.twimg.com/media/GB5V-RaWYAAi6eL.jpg")</f>
        <v>https://pbs.twimg.com/media/GB5V-RaWYAAi6eL.jpg</v>
      </c>
      <c r="AW1264" s="81" t="s">
        <v>5600</v>
      </c>
      <c r="AX1264" s="81" t="s">
        <v>5600</v>
      </c>
      <c r="AY1264" s="77"/>
      <c r="AZ1264" s="81" t="s">
        <v>5773</v>
      </c>
      <c r="BA1264" s="81" t="s">
        <v>5773</v>
      </c>
      <c r="BB1264" s="81" t="s">
        <v>5773</v>
      </c>
      <c r="BC1264" s="81" t="s">
        <v>5600</v>
      </c>
      <c r="BD1264" s="77">
        <v>297885438</v>
      </c>
      <c r="BE1264" s="77"/>
      <c r="BF1264" s="77"/>
      <c r="BG1264" s="77"/>
      <c r="BH1264" s="77"/>
      <c r="BI1264" s="77"/>
    </row>
    <row r="1265" spans="1:61" ht="15">
      <c r="A1265" s="62" t="s">
        <v>299</v>
      </c>
      <c r="B1265" s="62" t="s">
        <v>299</v>
      </c>
      <c r="C1265" s="63"/>
      <c r="D1265" s="64"/>
      <c r="E1265" s="65"/>
      <c r="F1265" s="66"/>
      <c r="G1265" s="63"/>
      <c r="H1265" s="67"/>
      <c r="I1265" s="68"/>
      <c r="J1265" s="68"/>
      <c r="K1265" s="32" t="s">
        <v>65</v>
      </c>
      <c r="L1265" s="75">
        <v>1265</v>
      </c>
      <c r="M1265" s="75"/>
      <c r="N1265" s="70"/>
      <c r="O1265" s="77" t="s">
        <v>179</v>
      </c>
      <c r="P1265" s="79">
        <v>45267.74376157407</v>
      </c>
      <c r="Q1265" s="77" t="s">
        <v>1634</v>
      </c>
      <c r="R1265" s="77">
        <v>0</v>
      </c>
      <c r="S1265" s="77">
        <v>0</v>
      </c>
      <c r="T1265" s="77">
        <v>0</v>
      </c>
      <c r="U1265" s="77">
        <v>0</v>
      </c>
      <c r="V1265" s="77">
        <v>6</v>
      </c>
      <c r="W1265" s="81" t="s">
        <v>1871</v>
      </c>
      <c r="X1265" s="80" t="str">
        <f>HYPERLINK("https://inovies.com")</f>
        <v>https://inovies.com</v>
      </c>
      <c r="Y1265" s="77" t="s">
        <v>1982</v>
      </c>
      <c r="Z1265" s="77"/>
      <c r="AA1265" s="77" t="s">
        <v>2645</v>
      </c>
      <c r="AB1265" s="77" t="s">
        <v>2696</v>
      </c>
      <c r="AC1265" s="81" t="s">
        <v>2707</v>
      </c>
      <c r="AD1265" s="77" t="s">
        <v>2752</v>
      </c>
      <c r="AE1265" s="80" t="str">
        <f>HYPERLINK("https://twitter.com/inovies/status/1732820019493343499")</f>
        <v>https://twitter.com/inovies/status/1732820019493343499</v>
      </c>
      <c r="AF1265" s="79">
        <v>45267.74376157407</v>
      </c>
      <c r="AG1265" s="85">
        <v>45267</v>
      </c>
      <c r="AH1265" s="81" t="s">
        <v>3813</v>
      </c>
      <c r="AI1265" s="77" t="b">
        <v>0</v>
      </c>
      <c r="AJ1265" s="77"/>
      <c r="AK1265" s="77"/>
      <c r="AL1265" s="77"/>
      <c r="AM1265" s="77"/>
      <c r="AN1265" s="77"/>
      <c r="AO1265" s="77"/>
      <c r="AP1265" s="77"/>
      <c r="AQ1265" s="77" t="s">
        <v>4459</v>
      </c>
      <c r="AR1265" s="77"/>
      <c r="AS1265" s="77"/>
      <c r="AT1265" s="77"/>
      <c r="AU1265" s="77"/>
      <c r="AV1265" s="80" t="str">
        <f>HYPERLINK("https://pbs.twimg.com/media/GAw2ngeWEAA2GkQ.jpg")</f>
        <v>https://pbs.twimg.com/media/GAw2ngeWEAA2GkQ.jpg</v>
      </c>
      <c r="AW1265" s="81" t="s">
        <v>5601</v>
      </c>
      <c r="AX1265" s="81" t="s">
        <v>5601</v>
      </c>
      <c r="AY1265" s="77"/>
      <c r="AZ1265" s="81" t="s">
        <v>5773</v>
      </c>
      <c r="BA1265" s="81" t="s">
        <v>5773</v>
      </c>
      <c r="BB1265" s="81" t="s">
        <v>5773</v>
      </c>
      <c r="BC1265" s="81" t="s">
        <v>5601</v>
      </c>
      <c r="BD1265" s="77">
        <v>297885438</v>
      </c>
      <c r="BE1265" s="77"/>
      <c r="BF1265" s="77"/>
      <c r="BG1265" s="77"/>
      <c r="BH1265" s="77"/>
      <c r="BI1265" s="77"/>
    </row>
    <row r="1266" spans="1:61" ht="15">
      <c r="A1266" s="62" t="s">
        <v>299</v>
      </c>
      <c r="B1266" s="62" t="s">
        <v>299</v>
      </c>
      <c r="C1266" s="63"/>
      <c r="D1266" s="64"/>
      <c r="E1266" s="65"/>
      <c r="F1266" s="66"/>
      <c r="G1266" s="63"/>
      <c r="H1266" s="67"/>
      <c r="I1266" s="68"/>
      <c r="J1266" s="68"/>
      <c r="K1266" s="32" t="s">
        <v>65</v>
      </c>
      <c r="L1266" s="75">
        <v>1266</v>
      </c>
      <c r="M1266" s="75"/>
      <c r="N1266" s="70"/>
      <c r="O1266" s="77" t="s">
        <v>571</v>
      </c>
      <c r="P1266" s="79">
        <v>42958.38821759259</v>
      </c>
      <c r="Q1266" s="77" t="s">
        <v>1635</v>
      </c>
      <c r="R1266" s="77">
        <v>0</v>
      </c>
      <c r="S1266" s="77">
        <v>1</v>
      </c>
      <c r="T1266" s="77">
        <v>0</v>
      </c>
      <c r="U1266" s="77">
        <v>0</v>
      </c>
      <c r="V1266" s="77"/>
      <c r="W1266" s="77"/>
      <c r="X1266" s="77"/>
      <c r="Y1266" s="77"/>
      <c r="Z1266" s="77" t="s">
        <v>299</v>
      </c>
      <c r="AA1266" s="77" t="s">
        <v>2646</v>
      </c>
      <c r="AB1266" s="77" t="s">
        <v>2696</v>
      </c>
      <c r="AC1266" s="81" t="s">
        <v>2704</v>
      </c>
      <c r="AD1266" s="77" t="s">
        <v>2752</v>
      </c>
      <c r="AE1266" s="80" t="str">
        <f>HYPERLINK("https://twitter.com/inovies/status/895937590997598208")</f>
        <v>https://twitter.com/inovies/status/895937590997598208</v>
      </c>
      <c r="AF1266" s="79">
        <v>42958.38821759259</v>
      </c>
      <c r="AG1266" s="85">
        <v>42958</v>
      </c>
      <c r="AH1266" s="81" t="s">
        <v>3814</v>
      </c>
      <c r="AI1266" s="77" t="b">
        <v>0</v>
      </c>
      <c r="AJ1266" s="77" t="s">
        <v>3882</v>
      </c>
      <c r="AK1266" s="77" t="s">
        <v>3889</v>
      </c>
      <c r="AL1266" s="77" t="s">
        <v>3892</v>
      </c>
      <c r="AM1266" s="77" t="s">
        <v>3896</v>
      </c>
      <c r="AN1266" s="77" t="s">
        <v>3903</v>
      </c>
      <c r="AO1266" s="77" t="s">
        <v>3911</v>
      </c>
      <c r="AP1266" s="77" t="s">
        <v>3917</v>
      </c>
      <c r="AQ1266" s="77" t="s">
        <v>4460</v>
      </c>
      <c r="AR1266" s="77"/>
      <c r="AS1266" s="77"/>
      <c r="AT1266" s="77"/>
      <c r="AU1266" s="77"/>
      <c r="AV1266" s="80" t="str">
        <f>HYPERLINK("https://pbs.twimg.com/media/DG8Ce-uUwAAHjJE.jpg")</f>
        <v>https://pbs.twimg.com/media/DG8Ce-uUwAAHjJE.jpg</v>
      </c>
      <c r="AW1266" s="81" t="s">
        <v>5602</v>
      </c>
      <c r="AX1266" s="81" t="s">
        <v>5602</v>
      </c>
      <c r="AY1266" s="81" t="s">
        <v>5721</v>
      </c>
      <c r="AZ1266" s="81" t="s">
        <v>5773</v>
      </c>
      <c r="BA1266" s="81" t="s">
        <v>5773</v>
      </c>
      <c r="BB1266" s="81" t="s">
        <v>5773</v>
      </c>
      <c r="BC1266" s="81" t="s">
        <v>5602</v>
      </c>
      <c r="BD1266" s="77">
        <v>297885438</v>
      </c>
      <c r="BE1266" s="77"/>
      <c r="BF1266" s="77"/>
      <c r="BG1266" s="77"/>
      <c r="BH1266" s="77"/>
      <c r="BI1266" s="77"/>
    </row>
    <row r="1267" spans="1:61" ht="15">
      <c r="A1267" s="62" t="s">
        <v>299</v>
      </c>
      <c r="B1267" s="62" t="s">
        <v>299</v>
      </c>
      <c r="C1267" s="63"/>
      <c r="D1267" s="64"/>
      <c r="E1267" s="65"/>
      <c r="F1267" s="66"/>
      <c r="G1267" s="63"/>
      <c r="H1267" s="67"/>
      <c r="I1267" s="68"/>
      <c r="J1267" s="68"/>
      <c r="K1267" s="32" t="s">
        <v>65</v>
      </c>
      <c r="L1267" s="75">
        <v>1267</v>
      </c>
      <c r="M1267" s="75"/>
      <c r="N1267" s="70"/>
      <c r="O1267" s="77" t="s">
        <v>179</v>
      </c>
      <c r="P1267" s="79">
        <v>45281.10010416667</v>
      </c>
      <c r="Q1267" s="77" t="s">
        <v>1636</v>
      </c>
      <c r="R1267" s="77">
        <v>0</v>
      </c>
      <c r="S1267" s="77">
        <v>0</v>
      </c>
      <c r="T1267" s="77">
        <v>0</v>
      </c>
      <c r="U1267" s="77">
        <v>0</v>
      </c>
      <c r="V1267" s="77">
        <v>267</v>
      </c>
      <c r="W1267" s="81" t="s">
        <v>1949</v>
      </c>
      <c r="X1267" s="77"/>
      <c r="Y1267" s="77"/>
      <c r="Z1267" s="77"/>
      <c r="AA1267" s="77" t="s">
        <v>2647</v>
      </c>
      <c r="AB1267" s="77" t="s">
        <v>2695</v>
      </c>
      <c r="AC1267" s="81" t="s">
        <v>2707</v>
      </c>
      <c r="AD1267" s="77" t="s">
        <v>2751</v>
      </c>
      <c r="AE1267" s="80" t="str">
        <f>HYPERLINK("https://twitter.com/inovies/status/1737660196879503719")</f>
        <v>https://twitter.com/inovies/status/1737660196879503719</v>
      </c>
      <c r="AF1267" s="79">
        <v>45281.10010416667</v>
      </c>
      <c r="AG1267" s="85">
        <v>45281</v>
      </c>
      <c r="AH1267" s="81" t="s">
        <v>3815</v>
      </c>
      <c r="AI1267" s="77" t="b">
        <v>0</v>
      </c>
      <c r="AJ1267" s="77"/>
      <c r="AK1267" s="77"/>
      <c r="AL1267" s="77"/>
      <c r="AM1267" s="77"/>
      <c r="AN1267" s="77"/>
      <c r="AO1267" s="77"/>
      <c r="AP1267" s="77"/>
      <c r="AQ1267" s="77" t="s">
        <v>4461</v>
      </c>
      <c r="AR1267" s="77">
        <v>3234</v>
      </c>
      <c r="AS1267" s="77"/>
      <c r="AT1267" s="77"/>
      <c r="AU1267" s="77"/>
      <c r="AV1267" s="80" t="str">
        <f>HYPERLINK("https://pbs.twimg.com/ext_tw_video_thumb/1737660056760393729/pu/img/B3zcrlzn-6HLWYlr.jpg")</f>
        <v>https://pbs.twimg.com/ext_tw_video_thumb/1737660056760393729/pu/img/B3zcrlzn-6HLWYlr.jpg</v>
      </c>
      <c r="AW1267" s="81" t="s">
        <v>5603</v>
      </c>
      <c r="AX1267" s="81" t="s">
        <v>5603</v>
      </c>
      <c r="AY1267" s="77"/>
      <c r="AZ1267" s="81" t="s">
        <v>5773</v>
      </c>
      <c r="BA1267" s="81" t="s">
        <v>5773</v>
      </c>
      <c r="BB1267" s="81" t="s">
        <v>5773</v>
      </c>
      <c r="BC1267" s="81" t="s">
        <v>5603</v>
      </c>
      <c r="BD1267" s="77">
        <v>297885438</v>
      </c>
      <c r="BE1267" s="77"/>
      <c r="BF1267" s="77"/>
      <c r="BG1267" s="77"/>
      <c r="BH1267" s="77"/>
      <c r="BI1267" s="77"/>
    </row>
    <row r="1268" spans="1:61" ht="15">
      <c r="A1268" s="62" t="s">
        <v>299</v>
      </c>
      <c r="B1268" s="62" t="s">
        <v>299</v>
      </c>
      <c r="C1268" s="63"/>
      <c r="D1268" s="64"/>
      <c r="E1268" s="65"/>
      <c r="F1268" s="66"/>
      <c r="G1268" s="63"/>
      <c r="H1268" s="67"/>
      <c r="I1268" s="68"/>
      <c r="J1268" s="68"/>
      <c r="K1268" s="32" t="s">
        <v>65</v>
      </c>
      <c r="L1268" s="75">
        <v>1268</v>
      </c>
      <c r="M1268" s="75"/>
      <c r="N1268" s="70"/>
      <c r="O1268" s="77" t="s">
        <v>179</v>
      </c>
      <c r="P1268" s="79">
        <v>45279.09982638889</v>
      </c>
      <c r="Q1268" s="77" t="s">
        <v>1637</v>
      </c>
      <c r="R1268" s="77">
        <v>0</v>
      </c>
      <c r="S1268" s="77">
        <v>2</v>
      </c>
      <c r="T1268" s="77">
        <v>1</v>
      </c>
      <c r="U1268" s="77">
        <v>0</v>
      </c>
      <c r="V1268" s="77">
        <v>475</v>
      </c>
      <c r="W1268" s="81" t="s">
        <v>1950</v>
      </c>
      <c r="X1268" s="77"/>
      <c r="Y1268" s="77"/>
      <c r="Z1268" s="77"/>
      <c r="AA1268" s="77" t="s">
        <v>2648</v>
      </c>
      <c r="AB1268" s="77" t="s">
        <v>2696</v>
      </c>
      <c r="AC1268" s="81" t="s">
        <v>2707</v>
      </c>
      <c r="AD1268" s="77" t="s">
        <v>2751</v>
      </c>
      <c r="AE1268" s="80" t="str">
        <f>HYPERLINK("https://twitter.com/inovies/status/1736935318983487532")</f>
        <v>https://twitter.com/inovies/status/1736935318983487532</v>
      </c>
      <c r="AF1268" s="79">
        <v>45279.09982638889</v>
      </c>
      <c r="AG1268" s="85">
        <v>45279</v>
      </c>
      <c r="AH1268" s="81" t="s">
        <v>3816</v>
      </c>
      <c r="AI1268" s="77" t="b">
        <v>0</v>
      </c>
      <c r="AJ1268" s="77"/>
      <c r="AK1268" s="77"/>
      <c r="AL1268" s="77"/>
      <c r="AM1268" s="77"/>
      <c r="AN1268" s="77"/>
      <c r="AO1268" s="77"/>
      <c r="AP1268" s="77"/>
      <c r="AQ1268" s="77" t="s">
        <v>4462</v>
      </c>
      <c r="AR1268" s="77"/>
      <c r="AS1268" s="77"/>
      <c r="AT1268" s="77"/>
      <c r="AU1268" s="77"/>
      <c r="AV1268" s="80" t="str">
        <f>HYPERLINK("https://pbs.twimg.com/media/GBrUEKoWoAAeeZ0.jpg")</f>
        <v>https://pbs.twimg.com/media/GBrUEKoWoAAeeZ0.jpg</v>
      </c>
      <c r="AW1268" s="81" t="s">
        <v>5604</v>
      </c>
      <c r="AX1268" s="81" t="s">
        <v>5604</v>
      </c>
      <c r="AY1268" s="77"/>
      <c r="AZ1268" s="81" t="s">
        <v>5773</v>
      </c>
      <c r="BA1268" s="81" t="s">
        <v>5773</v>
      </c>
      <c r="BB1268" s="81" t="s">
        <v>5773</v>
      </c>
      <c r="BC1268" s="81" t="s">
        <v>5604</v>
      </c>
      <c r="BD1268" s="77">
        <v>297885438</v>
      </c>
      <c r="BE1268" s="77"/>
      <c r="BF1268" s="77"/>
      <c r="BG1268" s="77"/>
      <c r="BH1268" s="77"/>
      <c r="BI1268" s="77"/>
    </row>
    <row r="1269" spans="1:61" ht="15">
      <c r="A1269" s="62" t="s">
        <v>299</v>
      </c>
      <c r="B1269" s="62" t="s">
        <v>299</v>
      </c>
      <c r="C1269" s="63"/>
      <c r="D1269" s="64"/>
      <c r="E1269" s="65"/>
      <c r="F1269" s="66"/>
      <c r="G1269" s="63"/>
      <c r="H1269" s="67"/>
      <c r="I1269" s="68"/>
      <c r="J1269" s="68"/>
      <c r="K1269" s="32" t="s">
        <v>65</v>
      </c>
      <c r="L1269" s="75">
        <v>1269</v>
      </c>
      <c r="M1269" s="75"/>
      <c r="N1269" s="70"/>
      <c r="O1269" s="77" t="s">
        <v>572</v>
      </c>
      <c r="P1269" s="79">
        <v>45271.34153935185</v>
      </c>
      <c r="Q1269" s="77" t="s">
        <v>1638</v>
      </c>
      <c r="R1269" s="77">
        <v>0</v>
      </c>
      <c r="S1269" s="77">
        <v>0</v>
      </c>
      <c r="T1269" s="77">
        <v>1</v>
      </c>
      <c r="U1269" s="77">
        <v>0</v>
      </c>
      <c r="V1269" s="77">
        <v>6</v>
      </c>
      <c r="W1269" s="81" t="s">
        <v>1880</v>
      </c>
      <c r="X1269" s="80" t="str">
        <f>HYPERLINK("https://www.inovies.com")</f>
        <v>https://www.inovies.com</v>
      </c>
      <c r="Y1269" s="77" t="s">
        <v>1982</v>
      </c>
      <c r="Z1269" s="77"/>
      <c r="AA1269" s="77"/>
      <c r="AB1269" s="77"/>
      <c r="AC1269" s="81" t="s">
        <v>2707</v>
      </c>
      <c r="AD1269" s="77" t="s">
        <v>2751</v>
      </c>
      <c r="AE1269" s="80" t="str">
        <f>HYPERLINK("https://twitter.com/inovies/status/1734123811325272094")</f>
        <v>https://twitter.com/inovies/status/1734123811325272094</v>
      </c>
      <c r="AF1269" s="79">
        <v>45271.34153935185</v>
      </c>
      <c r="AG1269" s="85">
        <v>45271</v>
      </c>
      <c r="AH1269" s="81" t="s">
        <v>3521</v>
      </c>
      <c r="AI1269" s="77" t="b">
        <v>0</v>
      </c>
      <c r="AJ1269" s="77"/>
      <c r="AK1269" s="77"/>
      <c r="AL1269" s="77"/>
      <c r="AM1269" s="77"/>
      <c r="AN1269" s="77"/>
      <c r="AO1269" s="77"/>
      <c r="AP1269" s="77"/>
      <c r="AQ1269" s="77"/>
      <c r="AR1269" s="77"/>
      <c r="AS1269" s="77"/>
      <c r="AT1269" s="77"/>
      <c r="AU1269" s="77"/>
      <c r="AV1269" s="80" t="str">
        <f>HYPERLINK("https://pbs.twimg.com/profile_images/833576943677214720/5ZyUgpEJ_normal.jpg")</f>
        <v>https://pbs.twimg.com/profile_images/833576943677214720/5ZyUgpEJ_normal.jpg</v>
      </c>
      <c r="AW1269" s="81" t="s">
        <v>5605</v>
      </c>
      <c r="AX1269" s="81" t="s">
        <v>5339</v>
      </c>
      <c r="AY1269" s="81" t="s">
        <v>5721</v>
      </c>
      <c r="AZ1269" s="81" t="s">
        <v>5272</v>
      </c>
      <c r="BA1269" s="81" t="s">
        <v>5773</v>
      </c>
      <c r="BB1269" s="81" t="s">
        <v>5773</v>
      </c>
      <c r="BC1269" s="81" t="s">
        <v>5272</v>
      </c>
      <c r="BD1269" s="77">
        <v>297885438</v>
      </c>
      <c r="BE1269" s="77"/>
      <c r="BF1269" s="77"/>
      <c r="BG1269" s="77"/>
      <c r="BH1269" s="77"/>
      <c r="BI1269" s="77"/>
    </row>
    <row r="1270" spans="1:61" ht="15">
      <c r="A1270" s="62" t="s">
        <v>299</v>
      </c>
      <c r="B1270" s="62" t="s">
        <v>299</v>
      </c>
      <c r="C1270" s="63"/>
      <c r="D1270" s="64"/>
      <c r="E1270" s="65"/>
      <c r="F1270" s="66"/>
      <c r="G1270" s="63"/>
      <c r="H1270" s="67"/>
      <c r="I1270" s="68"/>
      <c r="J1270" s="68"/>
      <c r="K1270" s="32" t="s">
        <v>65</v>
      </c>
      <c r="L1270" s="75">
        <v>1270</v>
      </c>
      <c r="M1270" s="75"/>
      <c r="N1270" s="70"/>
      <c r="O1270" s="77" t="s">
        <v>572</v>
      </c>
      <c r="P1270" s="79">
        <v>45271.3253587963</v>
      </c>
      <c r="Q1270" s="77" t="s">
        <v>1639</v>
      </c>
      <c r="R1270" s="77">
        <v>0</v>
      </c>
      <c r="S1270" s="77">
        <v>0</v>
      </c>
      <c r="T1270" s="77">
        <v>1</v>
      </c>
      <c r="U1270" s="77">
        <v>0</v>
      </c>
      <c r="V1270" s="77">
        <v>13</v>
      </c>
      <c r="W1270" s="81" t="s">
        <v>1880</v>
      </c>
      <c r="X1270" s="80" t="str">
        <f>HYPERLINK("https://inovies.com")</f>
        <v>https://inovies.com</v>
      </c>
      <c r="Y1270" s="77" t="s">
        <v>1982</v>
      </c>
      <c r="Z1270" s="77"/>
      <c r="AA1270" s="77"/>
      <c r="AB1270" s="77"/>
      <c r="AC1270" s="81" t="s">
        <v>2707</v>
      </c>
      <c r="AD1270" s="77" t="s">
        <v>2751</v>
      </c>
      <c r="AE1270" s="80" t="str">
        <f>HYPERLINK("https://twitter.com/inovies/status/1734117947705106686")</f>
        <v>https://twitter.com/inovies/status/1734117947705106686</v>
      </c>
      <c r="AF1270" s="79">
        <v>45271.3253587963</v>
      </c>
      <c r="AG1270" s="85">
        <v>45271</v>
      </c>
      <c r="AH1270" s="81" t="s">
        <v>3817</v>
      </c>
      <c r="AI1270" s="77" t="b">
        <v>0</v>
      </c>
      <c r="AJ1270" s="77"/>
      <c r="AK1270" s="77"/>
      <c r="AL1270" s="77"/>
      <c r="AM1270" s="77"/>
      <c r="AN1270" s="77"/>
      <c r="AO1270" s="77"/>
      <c r="AP1270" s="77"/>
      <c r="AQ1270" s="77"/>
      <c r="AR1270" s="77"/>
      <c r="AS1270" s="77"/>
      <c r="AT1270" s="77"/>
      <c r="AU1270" s="77"/>
      <c r="AV1270" s="80" t="str">
        <f>HYPERLINK("https://pbs.twimg.com/profile_images/833576943677214720/5ZyUgpEJ_normal.jpg")</f>
        <v>https://pbs.twimg.com/profile_images/833576943677214720/5ZyUgpEJ_normal.jpg</v>
      </c>
      <c r="AW1270" s="81" t="s">
        <v>5606</v>
      </c>
      <c r="AX1270" s="81" t="s">
        <v>5534</v>
      </c>
      <c r="AY1270" s="81" t="s">
        <v>5721</v>
      </c>
      <c r="AZ1270" s="81" t="s">
        <v>5607</v>
      </c>
      <c r="BA1270" s="81" t="s">
        <v>5773</v>
      </c>
      <c r="BB1270" s="81" t="s">
        <v>5773</v>
      </c>
      <c r="BC1270" s="81" t="s">
        <v>5607</v>
      </c>
      <c r="BD1270" s="77">
        <v>297885438</v>
      </c>
      <c r="BE1270" s="77"/>
      <c r="BF1270" s="77"/>
      <c r="BG1270" s="77"/>
      <c r="BH1270" s="77"/>
      <c r="BI1270" s="77"/>
    </row>
    <row r="1271" spans="1:61" ht="15">
      <c r="A1271" s="62" t="s">
        <v>299</v>
      </c>
      <c r="B1271" s="62" t="s">
        <v>299</v>
      </c>
      <c r="C1271" s="63"/>
      <c r="D1271" s="64"/>
      <c r="E1271" s="65"/>
      <c r="F1271" s="66"/>
      <c r="G1271" s="63"/>
      <c r="H1271" s="67"/>
      <c r="I1271" s="68"/>
      <c r="J1271" s="68"/>
      <c r="K1271" s="32" t="s">
        <v>65</v>
      </c>
      <c r="L1271" s="75">
        <v>1271</v>
      </c>
      <c r="M1271" s="75"/>
      <c r="N1271" s="70"/>
      <c r="O1271" s="77" t="s">
        <v>572</v>
      </c>
      <c r="P1271" s="79">
        <v>45271.3253587963</v>
      </c>
      <c r="Q1271" s="77" t="s">
        <v>1640</v>
      </c>
      <c r="R1271" s="77">
        <v>0</v>
      </c>
      <c r="S1271" s="77">
        <v>0</v>
      </c>
      <c r="T1271" s="77">
        <v>1</v>
      </c>
      <c r="U1271" s="77">
        <v>0</v>
      </c>
      <c r="V1271" s="77">
        <v>13</v>
      </c>
      <c r="W1271" s="81" t="s">
        <v>1880</v>
      </c>
      <c r="X1271" s="80" t="str">
        <f>HYPERLINK("https://inovies.com")</f>
        <v>https://inovies.com</v>
      </c>
      <c r="Y1271" s="77" t="s">
        <v>1982</v>
      </c>
      <c r="Z1271" s="77"/>
      <c r="AA1271" s="77"/>
      <c r="AB1271" s="77"/>
      <c r="AC1271" s="81" t="s">
        <v>2707</v>
      </c>
      <c r="AD1271" s="77" t="s">
        <v>2751</v>
      </c>
      <c r="AE1271" s="80" t="str">
        <f>HYPERLINK("https://twitter.com/inovies/status/1734117945217794508")</f>
        <v>https://twitter.com/inovies/status/1734117945217794508</v>
      </c>
      <c r="AF1271" s="79">
        <v>45271.3253587963</v>
      </c>
      <c r="AG1271" s="85">
        <v>45271</v>
      </c>
      <c r="AH1271" s="81" t="s">
        <v>3817</v>
      </c>
      <c r="AI1271" s="77" t="b">
        <v>0</v>
      </c>
      <c r="AJ1271" s="77"/>
      <c r="AK1271" s="77"/>
      <c r="AL1271" s="77"/>
      <c r="AM1271" s="77"/>
      <c r="AN1271" s="77"/>
      <c r="AO1271" s="77"/>
      <c r="AP1271" s="77"/>
      <c r="AQ1271" s="77"/>
      <c r="AR1271" s="77"/>
      <c r="AS1271" s="77"/>
      <c r="AT1271" s="77"/>
      <c r="AU1271" s="77"/>
      <c r="AV1271" s="80" t="str">
        <f>HYPERLINK("https://pbs.twimg.com/profile_images/833576943677214720/5ZyUgpEJ_normal.jpg")</f>
        <v>https://pbs.twimg.com/profile_images/833576943677214720/5ZyUgpEJ_normal.jpg</v>
      </c>
      <c r="AW1271" s="81" t="s">
        <v>5607</v>
      </c>
      <c r="AX1271" s="81" t="s">
        <v>5534</v>
      </c>
      <c r="AY1271" s="81" t="s">
        <v>5721</v>
      </c>
      <c r="AZ1271" s="81" t="s">
        <v>5374</v>
      </c>
      <c r="BA1271" s="81" t="s">
        <v>5773</v>
      </c>
      <c r="BB1271" s="81" t="s">
        <v>5773</v>
      </c>
      <c r="BC1271" s="81" t="s">
        <v>5374</v>
      </c>
      <c r="BD1271" s="77">
        <v>297885438</v>
      </c>
      <c r="BE1271" s="77"/>
      <c r="BF1271" s="77"/>
      <c r="BG1271" s="77"/>
      <c r="BH1271" s="77"/>
      <c r="BI1271" s="77"/>
    </row>
    <row r="1272" spans="1:61" ht="15">
      <c r="A1272" s="62" t="s">
        <v>299</v>
      </c>
      <c r="B1272" s="62" t="s">
        <v>299</v>
      </c>
      <c r="C1272" s="63"/>
      <c r="D1272" s="64"/>
      <c r="E1272" s="65"/>
      <c r="F1272" s="66"/>
      <c r="G1272" s="63"/>
      <c r="H1272" s="67"/>
      <c r="I1272" s="68"/>
      <c r="J1272" s="68"/>
      <c r="K1272" s="32" t="s">
        <v>65</v>
      </c>
      <c r="L1272" s="75">
        <v>1272</v>
      </c>
      <c r="M1272" s="75"/>
      <c r="N1272" s="70"/>
      <c r="O1272" s="77" t="s">
        <v>572</v>
      </c>
      <c r="P1272" s="79">
        <v>45271.32528935185</v>
      </c>
      <c r="Q1272" s="77" t="s">
        <v>1641</v>
      </c>
      <c r="R1272" s="77">
        <v>0</v>
      </c>
      <c r="S1272" s="77">
        <v>0</v>
      </c>
      <c r="T1272" s="77">
        <v>1</v>
      </c>
      <c r="U1272" s="77">
        <v>0</v>
      </c>
      <c r="V1272" s="77">
        <v>8</v>
      </c>
      <c r="W1272" s="81" t="s">
        <v>1880</v>
      </c>
      <c r="X1272" s="80" t="str">
        <f>HYPERLINK("https://inovies.com")</f>
        <v>https://inovies.com</v>
      </c>
      <c r="Y1272" s="77" t="s">
        <v>1982</v>
      </c>
      <c r="Z1272" s="77"/>
      <c r="AA1272" s="77"/>
      <c r="AB1272" s="77"/>
      <c r="AC1272" s="81" t="s">
        <v>2707</v>
      </c>
      <c r="AD1272" s="77" t="s">
        <v>2751</v>
      </c>
      <c r="AE1272" s="80" t="str">
        <f>HYPERLINK("https://twitter.com/inovies/status/1734117921884881049")</f>
        <v>https://twitter.com/inovies/status/1734117921884881049</v>
      </c>
      <c r="AF1272" s="79">
        <v>45271.32528935185</v>
      </c>
      <c r="AG1272" s="85">
        <v>45271</v>
      </c>
      <c r="AH1272" s="81" t="s">
        <v>3818</v>
      </c>
      <c r="AI1272" s="77" t="b">
        <v>0</v>
      </c>
      <c r="AJ1272" s="77"/>
      <c r="AK1272" s="77"/>
      <c r="AL1272" s="77"/>
      <c r="AM1272" s="77"/>
      <c r="AN1272" s="77"/>
      <c r="AO1272" s="77"/>
      <c r="AP1272" s="77"/>
      <c r="AQ1272" s="77"/>
      <c r="AR1272" s="77"/>
      <c r="AS1272" s="77"/>
      <c r="AT1272" s="77"/>
      <c r="AU1272" s="77"/>
      <c r="AV1272" s="80" t="str">
        <f>HYPERLINK("https://pbs.twimg.com/profile_images/833576943677214720/5ZyUgpEJ_normal.jpg")</f>
        <v>https://pbs.twimg.com/profile_images/833576943677214720/5ZyUgpEJ_normal.jpg</v>
      </c>
      <c r="AW1272" s="81" t="s">
        <v>5608</v>
      </c>
      <c r="AX1272" s="81" t="s">
        <v>5534</v>
      </c>
      <c r="AY1272" s="81" t="s">
        <v>5721</v>
      </c>
      <c r="AZ1272" s="81" t="s">
        <v>5609</v>
      </c>
      <c r="BA1272" s="81" t="s">
        <v>5773</v>
      </c>
      <c r="BB1272" s="81" t="s">
        <v>5773</v>
      </c>
      <c r="BC1272" s="81" t="s">
        <v>5609</v>
      </c>
      <c r="BD1272" s="77">
        <v>297885438</v>
      </c>
      <c r="BE1272" s="77"/>
      <c r="BF1272" s="77"/>
      <c r="BG1272" s="77"/>
      <c r="BH1272" s="77"/>
      <c r="BI1272" s="77"/>
    </row>
    <row r="1273" spans="1:61" ht="15">
      <c r="A1273" s="62" t="s">
        <v>299</v>
      </c>
      <c r="B1273" s="62" t="s">
        <v>299</v>
      </c>
      <c r="C1273" s="63"/>
      <c r="D1273" s="64"/>
      <c r="E1273" s="65"/>
      <c r="F1273" s="66"/>
      <c r="G1273" s="63"/>
      <c r="H1273" s="67"/>
      <c r="I1273" s="68"/>
      <c r="J1273" s="68"/>
      <c r="K1273" s="32" t="s">
        <v>65</v>
      </c>
      <c r="L1273" s="75">
        <v>1273</v>
      </c>
      <c r="M1273" s="75"/>
      <c r="N1273" s="70"/>
      <c r="O1273" s="77" t="s">
        <v>572</v>
      </c>
      <c r="P1273" s="79">
        <v>45271.32528935185</v>
      </c>
      <c r="Q1273" s="77" t="s">
        <v>1642</v>
      </c>
      <c r="R1273" s="77">
        <v>0</v>
      </c>
      <c r="S1273" s="77">
        <v>0</v>
      </c>
      <c r="T1273" s="77">
        <v>1</v>
      </c>
      <c r="U1273" s="77">
        <v>0</v>
      </c>
      <c r="V1273" s="77">
        <v>2</v>
      </c>
      <c r="W1273" s="81" t="s">
        <v>1880</v>
      </c>
      <c r="X1273" s="80" t="str">
        <f>HYPERLINK("https://inovies.com")</f>
        <v>https://inovies.com</v>
      </c>
      <c r="Y1273" s="77" t="s">
        <v>1982</v>
      </c>
      <c r="Z1273" s="77"/>
      <c r="AA1273" s="77"/>
      <c r="AB1273" s="77"/>
      <c r="AC1273" s="81" t="s">
        <v>2707</v>
      </c>
      <c r="AD1273" s="77" t="s">
        <v>2751</v>
      </c>
      <c r="AE1273" s="80" t="str">
        <f>HYPERLINK("https://twitter.com/inovies/status/1734117919770952029")</f>
        <v>https://twitter.com/inovies/status/1734117919770952029</v>
      </c>
      <c r="AF1273" s="79">
        <v>45271.32528935185</v>
      </c>
      <c r="AG1273" s="85">
        <v>45271</v>
      </c>
      <c r="AH1273" s="81" t="s">
        <v>3818</v>
      </c>
      <c r="AI1273" s="77" t="b">
        <v>0</v>
      </c>
      <c r="AJ1273" s="77"/>
      <c r="AK1273" s="77"/>
      <c r="AL1273" s="77"/>
      <c r="AM1273" s="77"/>
      <c r="AN1273" s="77"/>
      <c r="AO1273" s="77"/>
      <c r="AP1273" s="77"/>
      <c r="AQ1273" s="77"/>
      <c r="AR1273" s="77"/>
      <c r="AS1273" s="77"/>
      <c r="AT1273" s="77"/>
      <c r="AU1273" s="77"/>
      <c r="AV1273" s="80" t="str">
        <f>HYPERLINK("https://pbs.twimg.com/profile_images/833576943677214720/5ZyUgpEJ_normal.jpg")</f>
        <v>https://pbs.twimg.com/profile_images/833576943677214720/5ZyUgpEJ_normal.jpg</v>
      </c>
      <c r="AW1273" s="81" t="s">
        <v>5609</v>
      </c>
      <c r="AX1273" s="81" t="s">
        <v>5534</v>
      </c>
      <c r="AY1273" s="81" t="s">
        <v>5721</v>
      </c>
      <c r="AZ1273" s="81" t="s">
        <v>5343</v>
      </c>
      <c r="BA1273" s="81" t="s">
        <v>5773</v>
      </c>
      <c r="BB1273" s="81" t="s">
        <v>5773</v>
      </c>
      <c r="BC1273" s="81" t="s">
        <v>5343</v>
      </c>
      <c r="BD1273" s="77">
        <v>297885438</v>
      </c>
      <c r="BE1273" s="77"/>
      <c r="BF1273" s="77"/>
      <c r="BG1273" s="77"/>
      <c r="BH1273" s="77"/>
      <c r="BI1273" s="77"/>
    </row>
    <row r="1274" spans="1:61" ht="15">
      <c r="A1274" s="62" t="s">
        <v>299</v>
      </c>
      <c r="B1274" s="62" t="s">
        <v>299</v>
      </c>
      <c r="C1274" s="63"/>
      <c r="D1274" s="64"/>
      <c r="E1274" s="65"/>
      <c r="F1274" s="66"/>
      <c r="G1274" s="63"/>
      <c r="H1274" s="67"/>
      <c r="I1274" s="68"/>
      <c r="J1274" s="68"/>
      <c r="K1274" s="32" t="s">
        <v>65</v>
      </c>
      <c r="L1274" s="75">
        <v>1274</v>
      </c>
      <c r="M1274" s="75"/>
      <c r="N1274" s="70"/>
      <c r="O1274" s="77" t="s">
        <v>179</v>
      </c>
      <c r="P1274" s="79">
        <v>45271.31931712963</v>
      </c>
      <c r="Q1274" s="77" t="s">
        <v>1643</v>
      </c>
      <c r="R1274" s="77">
        <v>0</v>
      </c>
      <c r="S1274" s="77">
        <v>0</v>
      </c>
      <c r="T1274" s="77">
        <v>1</v>
      </c>
      <c r="U1274" s="77">
        <v>0</v>
      </c>
      <c r="V1274" s="77">
        <v>12</v>
      </c>
      <c r="W1274" s="81" t="s">
        <v>1880</v>
      </c>
      <c r="X1274" s="80" t="str">
        <f>HYPERLINK("https://www.inovies.com")</f>
        <v>https://www.inovies.com</v>
      </c>
      <c r="Y1274" s="77" t="s">
        <v>1982</v>
      </c>
      <c r="Z1274" s="77"/>
      <c r="AA1274" s="77"/>
      <c r="AB1274" s="77"/>
      <c r="AC1274" s="81" t="s">
        <v>2707</v>
      </c>
      <c r="AD1274" s="77" t="s">
        <v>2751</v>
      </c>
      <c r="AE1274" s="80" t="str">
        <f>HYPERLINK("https://twitter.com/inovies/status/1734115756302815381")</f>
        <v>https://twitter.com/inovies/status/1734115756302815381</v>
      </c>
      <c r="AF1274" s="79">
        <v>45271.31931712963</v>
      </c>
      <c r="AG1274" s="85">
        <v>45271</v>
      </c>
      <c r="AH1274" s="81" t="s">
        <v>3528</v>
      </c>
      <c r="AI1274" s="77" t="b">
        <v>0</v>
      </c>
      <c r="AJ1274" s="77"/>
      <c r="AK1274" s="77"/>
      <c r="AL1274" s="77"/>
      <c r="AM1274" s="77"/>
      <c r="AN1274" s="77"/>
      <c r="AO1274" s="77"/>
      <c r="AP1274" s="77"/>
      <c r="AQ1274" s="77"/>
      <c r="AR1274" s="77"/>
      <c r="AS1274" s="77"/>
      <c r="AT1274" s="77"/>
      <c r="AU1274" s="77"/>
      <c r="AV1274" s="80" t="str">
        <f>HYPERLINK("https://pbs.twimg.com/profile_images/833576943677214720/5ZyUgpEJ_normal.jpg")</f>
        <v>https://pbs.twimg.com/profile_images/833576943677214720/5ZyUgpEJ_normal.jpg</v>
      </c>
      <c r="AW1274" s="81" t="s">
        <v>5610</v>
      </c>
      <c r="AX1274" s="81" t="s">
        <v>5610</v>
      </c>
      <c r="AY1274" s="77"/>
      <c r="AZ1274" s="81" t="s">
        <v>5773</v>
      </c>
      <c r="BA1274" s="81" t="s">
        <v>5773</v>
      </c>
      <c r="BB1274" s="81" t="s">
        <v>5773</v>
      </c>
      <c r="BC1274" s="81" t="s">
        <v>5610</v>
      </c>
      <c r="BD1274" s="77">
        <v>297885438</v>
      </c>
      <c r="BE1274" s="77"/>
      <c r="BF1274" s="77"/>
      <c r="BG1274" s="77"/>
      <c r="BH1274" s="77"/>
      <c r="BI1274" s="77"/>
    </row>
    <row r="1275" spans="1:61" ht="15">
      <c r="A1275" s="62" t="s">
        <v>299</v>
      </c>
      <c r="B1275" s="62" t="s">
        <v>299</v>
      </c>
      <c r="C1275" s="63"/>
      <c r="D1275" s="64"/>
      <c r="E1275" s="65"/>
      <c r="F1275" s="66"/>
      <c r="G1275" s="63"/>
      <c r="H1275" s="67"/>
      <c r="I1275" s="68"/>
      <c r="J1275" s="68"/>
      <c r="K1275" s="32" t="s">
        <v>65</v>
      </c>
      <c r="L1275" s="75">
        <v>1275</v>
      </c>
      <c r="M1275" s="75"/>
      <c r="N1275" s="70"/>
      <c r="O1275" s="77" t="s">
        <v>572</v>
      </c>
      <c r="P1275" s="79">
        <v>45271.31112268518</v>
      </c>
      <c r="Q1275" s="77" t="s">
        <v>1644</v>
      </c>
      <c r="R1275" s="77">
        <v>0</v>
      </c>
      <c r="S1275" s="77">
        <v>0</v>
      </c>
      <c r="T1275" s="77">
        <v>0</v>
      </c>
      <c r="U1275" s="77">
        <v>0</v>
      </c>
      <c r="V1275" s="77">
        <v>10</v>
      </c>
      <c r="W1275" s="81" t="s">
        <v>1880</v>
      </c>
      <c r="X1275" s="77"/>
      <c r="Y1275" s="77"/>
      <c r="Z1275" s="77"/>
      <c r="AA1275" s="77"/>
      <c r="AB1275" s="77"/>
      <c r="AC1275" s="81" t="s">
        <v>2707</v>
      </c>
      <c r="AD1275" s="77" t="s">
        <v>2751</v>
      </c>
      <c r="AE1275" s="80" t="str">
        <f>HYPERLINK("https://twitter.com/inovies/status/1734112786777583889")</f>
        <v>https://twitter.com/inovies/status/1734112786777583889</v>
      </c>
      <c r="AF1275" s="79">
        <v>45271.31112268518</v>
      </c>
      <c r="AG1275" s="85">
        <v>45271</v>
      </c>
      <c r="AH1275" s="81" t="s">
        <v>3819</v>
      </c>
      <c r="AI1275" s="77"/>
      <c r="AJ1275" s="77"/>
      <c r="AK1275" s="77"/>
      <c r="AL1275" s="77"/>
      <c r="AM1275" s="77"/>
      <c r="AN1275" s="77"/>
      <c r="AO1275" s="77"/>
      <c r="AP1275" s="77"/>
      <c r="AQ1275" s="77"/>
      <c r="AR1275" s="77"/>
      <c r="AS1275" s="77"/>
      <c r="AT1275" s="77"/>
      <c r="AU1275" s="77"/>
      <c r="AV1275" s="80" t="str">
        <f>HYPERLINK("https://pbs.twimg.com/profile_images/833576943677214720/5ZyUgpEJ_normal.jpg")</f>
        <v>https://pbs.twimg.com/profile_images/833576943677214720/5ZyUgpEJ_normal.jpg</v>
      </c>
      <c r="AW1275" s="81" t="s">
        <v>5611</v>
      </c>
      <c r="AX1275" s="81" t="s">
        <v>5129</v>
      </c>
      <c r="AY1275" s="81" t="s">
        <v>5721</v>
      </c>
      <c r="AZ1275" s="81" t="s">
        <v>5599</v>
      </c>
      <c r="BA1275" s="81" t="s">
        <v>5773</v>
      </c>
      <c r="BB1275" s="81" t="s">
        <v>5773</v>
      </c>
      <c r="BC1275" s="81" t="s">
        <v>5599</v>
      </c>
      <c r="BD1275" s="77">
        <v>297885438</v>
      </c>
      <c r="BE1275" s="77"/>
      <c r="BF1275" s="77"/>
      <c r="BG1275" s="77"/>
      <c r="BH1275" s="77"/>
      <c r="BI1275" s="77"/>
    </row>
    <row r="1276" spans="1:61" ht="15">
      <c r="A1276" s="62" t="s">
        <v>299</v>
      </c>
      <c r="B1276" s="62" t="s">
        <v>299</v>
      </c>
      <c r="C1276" s="63"/>
      <c r="D1276" s="64"/>
      <c r="E1276" s="65"/>
      <c r="F1276" s="66"/>
      <c r="G1276" s="63"/>
      <c r="H1276" s="67"/>
      <c r="I1276" s="68"/>
      <c r="J1276" s="68"/>
      <c r="K1276" s="32" t="s">
        <v>65</v>
      </c>
      <c r="L1276" s="75">
        <v>1276</v>
      </c>
      <c r="M1276" s="75"/>
      <c r="N1276" s="70"/>
      <c r="O1276" s="77" t="s">
        <v>572</v>
      </c>
      <c r="P1276" s="79">
        <v>45271.311064814814</v>
      </c>
      <c r="Q1276" s="77" t="s">
        <v>1645</v>
      </c>
      <c r="R1276" s="77">
        <v>0</v>
      </c>
      <c r="S1276" s="77">
        <v>0</v>
      </c>
      <c r="T1276" s="77">
        <v>1</v>
      </c>
      <c r="U1276" s="77">
        <v>0</v>
      </c>
      <c r="V1276" s="77">
        <v>2</v>
      </c>
      <c r="W1276" s="81" t="s">
        <v>1951</v>
      </c>
      <c r="X1276" s="77"/>
      <c r="Y1276" s="77"/>
      <c r="Z1276" s="77"/>
      <c r="AA1276" s="77"/>
      <c r="AB1276" s="77"/>
      <c r="AC1276" s="81" t="s">
        <v>2707</v>
      </c>
      <c r="AD1276" s="77" t="s">
        <v>2751</v>
      </c>
      <c r="AE1276" s="80" t="str">
        <f>HYPERLINK("https://twitter.com/inovies/status/1734112766468751612")</f>
        <v>https://twitter.com/inovies/status/1734112766468751612</v>
      </c>
      <c r="AF1276" s="79">
        <v>45271.311064814814</v>
      </c>
      <c r="AG1276" s="85">
        <v>45271</v>
      </c>
      <c r="AH1276" s="81" t="s">
        <v>3379</v>
      </c>
      <c r="AI1276" s="77"/>
      <c r="AJ1276" s="77"/>
      <c r="AK1276" s="77"/>
      <c r="AL1276" s="77"/>
      <c r="AM1276" s="77"/>
      <c r="AN1276" s="77"/>
      <c r="AO1276" s="77"/>
      <c r="AP1276" s="77"/>
      <c r="AQ1276" s="77"/>
      <c r="AR1276" s="77"/>
      <c r="AS1276" s="77"/>
      <c r="AT1276" s="77"/>
      <c r="AU1276" s="77"/>
      <c r="AV1276" s="80" t="str">
        <f>HYPERLINK("https://pbs.twimg.com/profile_images/833576943677214720/5ZyUgpEJ_normal.jpg")</f>
        <v>https://pbs.twimg.com/profile_images/833576943677214720/5ZyUgpEJ_normal.jpg</v>
      </c>
      <c r="AW1276" s="81" t="s">
        <v>5612</v>
      </c>
      <c r="AX1276" s="81" t="s">
        <v>5129</v>
      </c>
      <c r="AY1276" s="81" t="s">
        <v>5721</v>
      </c>
      <c r="AZ1276" s="81" t="s">
        <v>5613</v>
      </c>
      <c r="BA1276" s="81" t="s">
        <v>5773</v>
      </c>
      <c r="BB1276" s="81" t="s">
        <v>5773</v>
      </c>
      <c r="BC1276" s="81" t="s">
        <v>5613</v>
      </c>
      <c r="BD1276" s="77">
        <v>297885438</v>
      </c>
      <c r="BE1276" s="77"/>
      <c r="BF1276" s="77"/>
      <c r="BG1276" s="77"/>
      <c r="BH1276" s="77"/>
      <c r="BI1276" s="77"/>
    </row>
    <row r="1277" spans="1:61" ht="15">
      <c r="A1277" s="62" t="s">
        <v>299</v>
      </c>
      <c r="B1277" s="62" t="s">
        <v>299</v>
      </c>
      <c r="C1277" s="63"/>
      <c r="D1277" s="64"/>
      <c r="E1277" s="65"/>
      <c r="F1277" s="66"/>
      <c r="G1277" s="63"/>
      <c r="H1277" s="67"/>
      <c r="I1277" s="68"/>
      <c r="J1277" s="68"/>
      <c r="K1277" s="32" t="s">
        <v>65</v>
      </c>
      <c r="L1277" s="75">
        <v>1277</v>
      </c>
      <c r="M1277" s="75"/>
      <c r="N1277" s="70"/>
      <c r="O1277" s="77" t="s">
        <v>572</v>
      </c>
      <c r="P1277" s="79">
        <v>45271.31105324074</v>
      </c>
      <c r="Q1277" s="77" t="s">
        <v>1646</v>
      </c>
      <c r="R1277" s="77">
        <v>0</v>
      </c>
      <c r="S1277" s="77">
        <v>0</v>
      </c>
      <c r="T1277" s="77">
        <v>1</v>
      </c>
      <c r="U1277" s="77">
        <v>0</v>
      </c>
      <c r="V1277" s="77">
        <v>2</v>
      </c>
      <c r="W1277" s="81" t="s">
        <v>1880</v>
      </c>
      <c r="X1277" s="77"/>
      <c r="Y1277" s="77"/>
      <c r="Z1277" s="77"/>
      <c r="AA1277" s="77"/>
      <c r="AB1277" s="77"/>
      <c r="AC1277" s="81" t="s">
        <v>2707</v>
      </c>
      <c r="AD1277" s="77" t="s">
        <v>2751</v>
      </c>
      <c r="AE1277" s="80" t="str">
        <f>HYPERLINK("https://twitter.com/inovies/status/1734112764396712225")</f>
        <v>https://twitter.com/inovies/status/1734112764396712225</v>
      </c>
      <c r="AF1277" s="79">
        <v>45271.31105324074</v>
      </c>
      <c r="AG1277" s="85">
        <v>45271</v>
      </c>
      <c r="AH1277" s="81" t="s">
        <v>3820</v>
      </c>
      <c r="AI1277" s="77"/>
      <c r="AJ1277" s="77"/>
      <c r="AK1277" s="77"/>
      <c r="AL1277" s="77"/>
      <c r="AM1277" s="77"/>
      <c r="AN1277" s="77"/>
      <c r="AO1277" s="77"/>
      <c r="AP1277" s="77"/>
      <c r="AQ1277" s="77"/>
      <c r="AR1277" s="77"/>
      <c r="AS1277" s="77"/>
      <c r="AT1277" s="77"/>
      <c r="AU1277" s="77"/>
      <c r="AV1277" s="80" t="str">
        <f>HYPERLINK("https://pbs.twimg.com/profile_images/833576943677214720/5ZyUgpEJ_normal.jpg")</f>
        <v>https://pbs.twimg.com/profile_images/833576943677214720/5ZyUgpEJ_normal.jpg</v>
      </c>
      <c r="AW1277" s="81" t="s">
        <v>5613</v>
      </c>
      <c r="AX1277" s="81" t="s">
        <v>5129</v>
      </c>
      <c r="AY1277" s="81" t="s">
        <v>5721</v>
      </c>
      <c r="AZ1277" s="81" t="s">
        <v>5614</v>
      </c>
      <c r="BA1277" s="81" t="s">
        <v>5773</v>
      </c>
      <c r="BB1277" s="81" t="s">
        <v>5773</v>
      </c>
      <c r="BC1277" s="81" t="s">
        <v>5614</v>
      </c>
      <c r="BD1277" s="77">
        <v>297885438</v>
      </c>
      <c r="BE1277" s="77"/>
      <c r="BF1277" s="77"/>
      <c r="BG1277" s="77"/>
      <c r="BH1277" s="77"/>
      <c r="BI1277" s="77"/>
    </row>
    <row r="1278" spans="1:61" ht="15">
      <c r="A1278" s="62" t="s">
        <v>299</v>
      </c>
      <c r="B1278" s="62" t="s">
        <v>299</v>
      </c>
      <c r="C1278" s="63"/>
      <c r="D1278" s="64"/>
      <c r="E1278" s="65"/>
      <c r="F1278" s="66"/>
      <c r="G1278" s="63"/>
      <c r="H1278" s="67"/>
      <c r="I1278" s="68"/>
      <c r="J1278" s="68"/>
      <c r="K1278" s="32" t="s">
        <v>65</v>
      </c>
      <c r="L1278" s="75">
        <v>1278</v>
      </c>
      <c r="M1278" s="75"/>
      <c r="N1278" s="70"/>
      <c r="O1278" s="77" t="s">
        <v>572</v>
      </c>
      <c r="P1278" s="79">
        <v>45271.31105324074</v>
      </c>
      <c r="Q1278" s="77" t="s">
        <v>1647</v>
      </c>
      <c r="R1278" s="77">
        <v>0</v>
      </c>
      <c r="S1278" s="77">
        <v>0</v>
      </c>
      <c r="T1278" s="77">
        <v>1</v>
      </c>
      <c r="U1278" s="77">
        <v>0</v>
      </c>
      <c r="V1278" s="77">
        <v>2</v>
      </c>
      <c r="W1278" s="81" t="s">
        <v>1880</v>
      </c>
      <c r="X1278" s="77"/>
      <c r="Y1278" s="77"/>
      <c r="Z1278" s="77"/>
      <c r="AA1278" s="77"/>
      <c r="AB1278" s="77"/>
      <c r="AC1278" s="81" t="s">
        <v>2707</v>
      </c>
      <c r="AD1278" s="77" t="s">
        <v>2751</v>
      </c>
      <c r="AE1278" s="80" t="str">
        <f>HYPERLINK("https://twitter.com/inovies/status/1734112761548878138")</f>
        <v>https://twitter.com/inovies/status/1734112761548878138</v>
      </c>
      <c r="AF1278" s="79">
        <v>45271.31105324074</v>
      </c>
      <c r="AG1278" s="85">
        <v>45271</v>
      </c>
      <c r="AH1278" s="81" t="s">
        <v>3820</v>
      </c>
      <c r="AI1278" s="77"/>
      <c r="AJ1278" s="77"/>
      <c r="AK1278" s="77"/>
      <c r="AL1278" s="77"/>
      <c r="AM1278" s="77"/>
      <c r="AN1278" s="77"/>
      <c r="AO1278" s="77"/>
      <c r="AP1278" s="77"/>
      <c r="AQ1278" s="77"/>
      <c r="AR1278" s="77"/>
      <c r="AS1278" s="77"/>
      <c r="AT1278" s="77"/>
      <c r="AU1278" s="77"/>
      <c r="AV1278" s="80" t="str">
        <f>HYPERLINK("https://pbs.twimg.com/profile_images/833576943677214720/5ZyUgpEJ_normal.jpg")</f>
        <v>https://pbs.twimg.com/profile_images/833576943677214720/5ZyUgpEJ_normal.jpg</v>
      </c>
      <c r="AW1278" s="81" t="s">
        <v>5614</v>
      </c>
      <c r="AX1278" s="81" t="s">
        <v>5129</v>
      </c>
      <c r="AY1278" s="81" t="s">
        <v>5721</v>
      </c>
      <c r="AZ1278" s="81" t="s">
        <v>5615</v>
      </c>
      <c r="BA1278" s="81" t="s">
        <v>5773</v>
      </c>
      <c r="BB1278" s="81" t="s">
        <v>5773</v>
      </c>
      <c r="BC1278" s="81" t="s">
        <v>5615</v>
      </c>
      <c r="BD1278" s="77">
        <v>297885438</v>
      </c>
      <c r="BE1278" s="77"/>
      <c r="BF1278" s="77"/>
      <c r="BG1278" s="77"/>
      <c r="BH1278" s="77"/>
      <c r="BI1278" s="77"/>
    </row>
    <row r="1279" spans="1:61" ht="15">
      <c r="A1279" s="62" t="s">
        <v>299</v>
      </c>
      <c r="B1279" s="62" t="s">
        <v>299</v>
      </c>
      <c r="C1279" s="63"/>
      <c r="D1279" s="64"/>
      <c r="E1279" s="65"/>
      <c r="F1279" s="66"/>
      <c r="G1279" s="63"/>
      <c r="H1279" s="67"/>
      <c r="I1279" s="68"/>
      <c r="J1279" s="68"/>
      <c r="K1279" s="32" t="s">
        <v>65</v>
      </c>
      <c r="L1279" s="75">
        <v>1279</v>
      </c>
      <c r="M1279" s="75"/>
      <c r="N1279" s="70"/>
      <c r="O1279" s="77" t="s">
        <v>572</v>
      </c>
      <c r="P1279" s="79">
        <v>45271.31104166667</v>
      </c>
      <c r="Q1279" s="77" t="s">
        <v>1648</v>
      </c>
      <c r="R1279" s="77">
        <v>0</v>
      </c>
      <c r="S1279" s="77">
        <v>0</v>
      </c>
      <c r="T1279" s="77">
        <v>1</v>
      </c>
      <c r="U1279" s="77">
        <v>0</v>
      </c>
      <c r="V1279" s="77">
        <v>3</v>
      </c>
      <c r="W1279" s="81" t="s">
        <v>1880</v>
      </c>
      <c r="X1279" s="77"/>
      <c r="Y1279" s="77"/>
      <c r="Z1279" s="77"/>
      <c r="AA1279" s="77"/>
      <c r="AB1279" s="77"/>
      <c r="AC1279" s="81" t="s">
        <v>2707</v>
      </c>
      <c r="AD1279" s="77" t="s">
        <v>2751</v>
      </c>
      <c r="AE1279" s="80" t="str">
        <f>HYPERLINK("https://twitter.com/inovies/status/1734112759552303131")</f>
        <v>https://twitter.com/inovies/status/1734112759552303131</v>
      </c>
      <c r="AF1279" s="79">
        <v>45271.31104166667</v>
      </c>
      <c r="AG1279" s="85">
        <v>45271</v>
      </c>
      <c r="AH1279" s="81" t="s">
        <v>3587</v>
      </c>
      <c r="AI1279" s="77"/>
      <c r="AJ1279" s="77"/>
      <c r="AK1279" s="77"/>
      <c r="AL1279" s="77"/>
      <c r="AM1279" s="77"/>
      <c r="AN1279" s="77"/>
      <c r="AO1279" s="77"/>
      <c r="AP1279" s="77"/>
      <c r="AQ1279" s="77"/>
      <c r="AR1279" s="77"/>
      <c r="AS1279" s="77"/>
      <c r="AT1279" s="77"/>
      <c r="AU1279" s="77"/>
      <c r="AV1279" s="80" t="str">
        <f>HYPERLINK("https://pbs.twimg.com/profile_images/833576943677214720/5ZyUgpEJ_normal.jpg")</f>
        <v>https://pbs.twimg.com/profile_images/833576943677214720/5ZyUgpEJ_normal.jpg</v>
      </c>
      <c r="AW1279" s="81" t="s">
        <v>5615</v>
      </c>
      <c r="AX1279" s="81" t="s">
        <v>5129</v>
      </c>
      <c r="AY1279" s="81" t="s">
        <v>5721</v>
      </c>
      <c r="AZ1279" s="81" t="s">
        <v>5351</v>
      </c>
      <c r="BA1279" s="81" t="s">
        <v>5773</v>
      </c>
      <c r="BB1279" s="81" t="s">
        <v>5773</v>
      </c>
      <c r="BC1279" s="81" t="s">
        <v>5351</v>
      </c>
      <c r="BD1279" s="77">
        <v>297885438</v>
      </c>
      <c r="BE1279" s="77"/>
      <c r="BF1279" s="77"/>
      <c r="BG1279" s="77"/>
      <c r="BH1279" s="77"/>
      <c r="BI1279" s="77"/>
    </row>
    <row r="1280" spans="1:61" ht="15">
      <c r="A1280" s="62" t="s">
        <v>299</v>
      </c>
      <c r="B1280" s="62" t="s">
        <v>299</v>
      </c>
      <c r="C1280" s="63"/>
      <c r="D1280" s="64"/>
      <c r="E1280" s="65"/>
      <c r="F1280" s="66"/>
      <c r="G1280" s="63"/>
      <c r="H1280" s="67"/>
      <c r="I1280" s="68"/>
      <c r="J1280" s="68"/>
      <c r="K1280" s="32" t="s">
        <v>65</v>
      </c>
      <c r="L1280" s="75">
        <v>1280</v>
      </c>
      <c r="M1280" s="75"/>
      <c r="N1280" s="70"/>
      <c r="O1280" s="77" t="s">
        <v>179</v>
      </c>
      <c r="P1280" s="79">
        <v>45271.1115625</v>
      </c>
      <c r="Q1280" s="77" t="s">
        <v>1649</v>
      </c>
      <c r="R1280" s="77">
        <v>0</v>
      </c>
      <c r="S1280" s="77">
        <v>2</v>
      </c>
      <c r="T1280" s="77">
        <v>0</v>
      </c>
      <c r="U1280" s="77">
        <v>0</v>
      </c>
      <c r="V1280" s="77">
        <v>18</v>
      </c>
      <c r="W1280" s="81" t="s">
        <v>1952</v>
      </c>
      <c r="X1280" s="80" t="str">
        <f>HYPERLINK("https://bit.ly/3Rj51nb")</f>
        <v>https://bit.ly/3Rj51nb</v>
      </c>
      <c r="Y1280" s="77" t="s">
        <v>1984</v>
      </c>
      <c r="Z1280" s="77"/>
      <c r="AA1280" s="77"/>
      <c r="AB1280" s="77"/>
      <c r="AC1280" s="81" t="s">
        <v>2707</v>
      </c>
      <c r="AD1280" s="77" t="s">
        <v>2751</v>
      </c>
      <c r="AE1280" s="80" t="str">
        <f>HYPERLINK("https://twitter.com/inovies/status/1734040468592181668")</f>
        <v>https://twitter.com/inovies/status/1734040468592181668</v>
      </c>
      <c r="AF1280" s="79">
        <v>45271.1115625</v>
      </c>
      <c r="AG1280" s="85">
        <v>45271</v>
      </c>
      <c r="AH1280" s="81" t="s">
        <v>3821</v>
      </c>
      <c r="AI1280" s="77" t="b">
        <v>0</v>
      </c>
      <c r="AJ1280" s="77"/>
      <c r="AK1280" s="77"/>
      <c r="AL1280" s="77"/>
      <c r="AM1280" s="77"/>
      <c r="AN1280" s="77"/>
      <c r="AO1280" s="77"/>
      <c r="AP1280" s="77"/>
      <c r="AQ1280" s="77"/>
      <c r="AR1280" s="77"/>
      <c r="AS1280" s="77"/>
      <c r="AT1280" s="77"/>
      <c r="AU1280" s="77"/>
      <c r="AV1280" s="80" t="str">
        <f>HYPERLINK("https://pbs.twimg.com/profile_images/833576943677214720/5ZyUgpEJ_normal.jpg")</f>
        <v>https://pbs.twimg.com/profile_images/833576943677214720/5ZyUgpEJ_normal.jpg</v>
      </c>
      <c r="AW1280" s="81" t="s">
        <v>5616</v>
      </c>
      <c r="AX1280" s="81" t="s">
        <v>5616</v>
      </c>
      <c r="AY1280" s="77"/>
      <c r="AZ1280" s="81" t="s">
        <v>5773</v>
      </c>
      <c r="BA1280" s="81" t="s">
        <v>5773</v>
      </c>
      <c r="BB1280" s="81" t="s">
        <v>5773</v>
      </c>
      <c r="BC1280" s="81" t="s">
        <v>5616</v>
      </c>
      <c r="BD1280" s="77">
        <v>297885438</v>
      </c>
      <c r="BE1280" s="77"/>
      <c r="BF1280" s="77"/>
      <c r="BG1280" s="77"/>
      <c r="BH1280" s="77"/>
      <c r="BI1280" s="77"/>
    </row>
    <row r="1281" spans="1:61" ht="15">
      <c r="A1281" s="62" t="s">
        <v>299</v>
      </c>
      <c r="B1281" s="62" t="s">
        <v>299</v>
      </c>
      <c r="C1281" s="63"/>
      <c r="D1281" s="64"/>
      <c r="E1281" s="65"/>
      <c r="F1281" s="66"/>
      <c r="G1281" s="63"/>
      <c r="H1281" s="67"/>
      <c r="I1281" s="68"/>
      <c r="J1281" s="68"/>
      <c r="K1281" s="32" t="s">
        <v>65</v>
      </c>
      <c r="L1281" s="75">
        <v>1281</v>
      </c>
      <c r="M1281" s="75"/>
      <c r="N1281" s="70"/>
      <c r="O1281" s="77" t="s">
        <v>179</v>
      </c>
      <c r="P1281" s="79">
        <v>45270.64923611111</v>
      </c>
      <c r="Q1281" s="77" t="s">
        <v>1650</v>
      </c>
      <c r="R1281" s="77">
        <v>0</v>
      </c>
      <c r="S1281" s="77">
        <v>0</v>
      </c>
      <c r="T1281" s="77">
        <v>0</v>
      </c>
      <c r="U1281" s="77">
        <v>0</v>
      </c>
      <c r="V1281" s="77">
        <v>11</v>
      </c>
      <c r="W1281" s="81" t="s">
        <v>1953</v>
      </c>
      <c r="X1281" s="80" t="str">
        <f>HYPERLINK("https://ec2-23-21-201-178.compute-1.amazonaws.com/Pages/Graph.aspx?graphID=294066")</f>
        <v>https://ec2-23-21-201-178.compute-1.amazonaws.com/Pages/Graph.aspx?graphID=294066</v>
      </c>
      <c r="Y1281" s="77" t="s">
        <v>2055</v>
      </c>
      <c r="Z1281" s="77"/>
      <c r="AA1281" s="77" t="s">
        <v>2649</v>
      </c>
      <c r="AB1281" s="77" t="s">
        <v>2696</v>
      </c>
      <c r="AC1281" s="81" t="s">
        <v>2707</v>
      </c>
      <c r="AD1281" s="77" t="s">
        <v>2752</v>
      </c>
      <c r="AE1281" s="80" t="str">
        <f>HYPERLINK("https://twitter.com/inovies/status/1733872926863024474")</f>
        <v>https://twitter.com/inovies/status/1733872926863024474</v>
      </c>
      <c r="AF1281" s="79">
        <v>45270.64923611111</v>
      </c>
      <c r="AG1281" s="85">
        <v>45270</v>
      </c>
      <c r="AH1281" s="81" t="s">
        <v>3822</v>
      </c>
      <c r="AI1281" s="77" t="b">
        <v>0</v>
      </c>
      <c r="AJ1281" s="77"/>
      <c r="AK1281" s="77"/>
      <c r="AL1281" s="77"/>
      <c r="AM1281" s="77"/>
      <c r="AN1281" s="77"/>
      <c r="AO1281" s="77"/>
      <c r="AP1281" s="77"/>
      <c r="AQ1281" s="77" t="s">
        <v>4463</v>
      </c>
      <c r="AR1281" s="77"/>
      <c r="AS1281" s="77"/>
      <c r="AT1281" s="77"/>
      <c r="AU1281" s="77"/>
      <c r="AV1281" s="80" t="str">
        <f>HYPERLINK("https://pbs.twimg.com/media/GA_0IsNWgAEnImx.jpg")</f>
        <v>https://pbs.twimg.com/media/GA_0IsNWgAEnImx.jpg</v>
      </c>
      <c r="AW1281" s="81" t="s">
        <v>5617</v>
      </c>
      <c r="AX1281" s="81" t="s">
        <v>5617</v>
      </c>
      <c r="AY1281" s="77"/>
      <c r="AZ1281" s="81" t="s">
        <v>5773</v>
      </c>
      <c r="BA1281" s="81" t="s">
        <v>5773</v>
      </c>
      <c r="BB1281" s="81" t="s">
        <v>5773</v>
      </c>
      <c r="BC1281" s="81" t="s">
        <v>5617</v>
      </c>
      <c r="BD1281" s="77">
        <v>297885438</v>
      </c>
      <c r="BE1281" s="77"/>
      <c r="BF1281" s="77"/>
      <c r="BG1281" s="77"/>
      <c r="BH1281" s="77"/>
      <c r="BI1281" s="77"/>
    </row>
    <row r="1282" spans="1:61" ht="15">
      <c r="A1282" s="62" t="s">
        <v>299</v>
      </c>
      <c r="B1282" s="62" t="s">
        <v>299</v>
      </c>
      <c r="C1282" s="63"/>
      <c r="D1282" s="64"/>
      <c r="E1282" s="65"/>
      <c r="F1282" s="66"/>
      <c r="G1282" s="63"/>
      <c r="H1282" s="67"/>
      <c r="I1282" s="68"/>
      <c r="J1282" s="68"/>
      <c r="K1282" s="32" t="s">
        <v>65</v>
      </c>
      <c r="L1282" s="75">
        <v>1282</v>
      </c>
      <c r="M1282" s="75"/>
      <c r="N1282" s="70"/>
      <c r="O1282" s="77" t="s">
        <v>179</v>
      </c>
      <c r="P1282" s="79">
        <v>45269.69599537037</v>
      </c>
      <c r="Q1282" s="77" t="s">
        <v>1651</v>
      </c>
      <c r="R1282" s="77">
        <v>0</v>
      </c>
      <c r="S1282" s="77">
        <v>1</v>
      </c>
      <c r="T1282" s="77">
        <v>0</v>
      </c>
      <c r="U1282" s="77">
        <v>0</v>
      </c>
      <c r="V1282" s="77">
        <v>23</v>
      </c>
      <c r="W1282" s="81" t="s">
        <v>1952</v>
      </c>
      <c r="X1282" s="80" t="str">
        <f>HYPERLINK("https://bit.ly/3Rj51nb")</f>
        <v>https://bit.ly/3Rj51nb</v>
      </c>
      <c r="Y1282" s="77" t="s">
        <v>1984</v>
      </c>
      <c r="Z1282" s="77"/>
      <c r="AA1282" s="77"/>
      <c r="AB1282" s="77"/>
      <c r="AC1282" s="81" t="s">
        <v>2707</v>
      </c>
      <c r="AD1282" s="77" t="s">
        <v>2751</v>
      </c>
      <c r="AE1282" s="80" t="str">
        <f>HYPERLINK("https://twitter.com/inovies/status/1733527483482341416")</f>
        <v>https://twitter.com/inovies/status/1733527483482341416</v>
      </c>
      <c r="AF1282" s="79">
        <v>45269.69599537037</v>
      </c>
      <c r="AG1282" s="85">
        <v>45269</v>
      </c>
      <c r="AH1282" s="81" t="s">
        <v>3823</v>
      </c>
      <c r="AI1282" s="77" t="b">
        <v>0</v>
      </c>
      <c r="AJ1282" s="77"/>
      <c r="AK1282" s="77"/>
      <c r="AL1282" s="77"/>
      <c r="AM1282" s="77"/>
      <c r="AN1282" s="77"/>
      <c r="AO1282" s="77"/>
      <c r="AP1282" s="77"/>
      <c r="AQ1282" s="77"/>
      <c r="AR1282" s="77"/>
      <c r="AS1282" s="77"/>
      <c r="AT1282" s="77"/>
      <c r="AU1282" s="77"/>
      <c r="AV1282" s="80" t="str">
        <f>HYPERLINK("https://pbs.twimg.com/profile_images/833576943677214720/5ZyUgpEJ_normal.jpg")</f>
        <v>https://pbs.twimg.com/profile_images/833576943677214720/5ZyUgpEJ_normal.jpg</v>
      </c>
      <c r="AW1282" s="81" t="s">
        <v>5618</v>
      </c>
      <c r="AX1282" s="81" t="s">
        <v>5618</v>
      </c>
      <c r="AY1282" s="77"/>
      <c r="AZ1282" s="81" t="s">
        <v>5773</v>
      </c>
      <c r="BA1282" s="81" t="s">
        <v>5773</v>
      </c>
      <c r="BB1282" s="81" t="s">
        <v>5773</v>
      </c>
      <c r="BC1282" s="81" t="s">
        <v>5618</v>
      </c>
      <c r="BD1282" s="77">
        <v>297885438</v>
      </c>
      <c r="BE1282" s="77"/>
      <c r="BF1282" s="77"/>
      <c r="BG1282" s="77"/>
      <c r="BH1282" s="77"/>
      <c r="BI1282" s="77"/>
    </row>
    <row r="1283" spans="1:61" ht="15">
      <c r="A1283" s="62" t="s">
        <v>299</v>
      </c>
      <c r="B1283" s="62" t="s">
        <v>299</v>
      </c>
      <c r="C1283" s="63"/>
      <c r="D1283" s="64"/>
      <c r="E1283" s="65"/>
      <c r="F1283" s="66"/>
      <c r="G1283" s="63"/>
      <c r="H1283" s="67"/>
      <c r="I1283" s="68"/>
      <c r="J1283" s="68"/>
      <c r="K1283" s="32" t="s">
        <v>65</v>
      </c>
      <c r="L1283" s="75">
        <v>1283</v>
      </c>
      <c r="M1283" s="75"/>
      <c r="N1283" s="70"/>
      <c r="O1283" s="77" t="s">
        <v>179</v>
      </c>
      <c r="P1283" s="79">
        <v>45269.41122685185</v>
      </c>
      <c r="Q1283" s="77" t="s">
        <v>1652</v>
      </c>
      <c r="R1283" s="77">
        <v>0</v>
      </c>
      <c r="S1283" s="77">
        <v>0</v>
      </c>
      <c r="T1283" s="77">
        <v>0</v>
      </c>
      <c r="U1283" s="77">
        <v>0</v>
      </c>
      <c r="V1283" s="77">
        <v>14</v>
      </c>
      <c r="W1283" s="81" t="s">
        <v>1881</v>
      </c>
      <c r="X1283" s="80" t="str">
        <f>HYPERLINK("https://inovies.com")</f>
        <v>https://inovies.com</v>
      </c>
      <c r="Y1283" s="77" t="s">
        <v>1982</v>
      </c>
      <c r="Z1283" s="77"/>
      <c r="AA1283" s="77" t="s">
        <v>2650</v>
      </c>
      <c r="AB1283" s="77" t="s">
        <v>2696</v>
      </c>
      <c r="AC1283" s="81" t="s">
        <v>2707</v>
      </c>
      <c r="AD1283" s="77" t="s">
        <v>2752</v>
      </c>
      <c r="AE1283" s="80" t="str">
        <f>HYPERLINK("https://twitter.com/inovies/status/1733424288613421442")</f>
        <v>https://twitter.com/inovies/status/1733424288613421442</v>
      </c>
      <c r="AF1283" s="79">
        <v>45269.41122685185</v>
      </c>
      <c r="AG1283" s="85">
        <v>45269</v>
      </c>
      <c r="AH1283" s="81" t="s">
        <v>3824</v>
      </c>
      <c r="AI1283" s="77" t="b">
        <v>0</v>
      </c>
      <c r="AJ1283" s="77"/>
      <c r="AK1283" s="77"/>
      <c r="AL1283" s="77"/>
      <c r="AM1283" s="77"/>
      <c r="AN1283" s="77"/>
      <c r="AO1283" s="77"/>
      <c r="AP1283" s="77"/>
      <c r="AQ1283" s="77" t="s">
        <v>4464</v>
      </c>
      <c r="AR1283" s="77"/>
      <c r="AS1283" s="77"/>
      <c r="AT1283" s="77"/>
      <c r="AU1283" s="77"/>
      <c r="AV1283" s="80" t="str">
        <f>HYPERLINK("https://pbs.twimg.com/media/GA5cGdnWMAAnDhi.png")</f>
        <v>https://pbs.twimg.com/media/GA5cGdnWMAAnDhi.png</v>
      </c>
      <c r="AW1283" s="81" t="s">
        <v>5619</v>
      </c>
      <c r="AX1283" s="81" t="s">
        <v>5619</v>
      </c>
      <c r="AY1283" s="77"/>
      <c r="AZ1283" s="81" t="s">
        <v>5773</v>
      </c>
      <c r="BA1283" s="81" t="s">
        <v>5773</v>
      </c>
      <c r="BB1283" s="81" t="s">
        <v>5773</v>
      </c>
      <c r="BC1283" s="81" t="s">
        <v>5619</v>
      </c>
      <c r="BD1283" s="77">
        <v>297885438</v>
      </c>
      <c r="BE1283" s="77"/>
      <c r="BF1283" s="77"/>
      <c r="BG1283" s="77"/>
      <c r="BH1283" s="77"/>
      <c r="BI1283" s="77"/>
    </row>
    <row r="1284" spans="1:61" ht="15">
      <c r="A1284" s="62" t="s">
        <v>299</v>
      </c>
      <c r="B1284" s="62" t="s">
        <v>299</v>
      </c>
      <c r="C1284" s="63"/>
      <c r="D1284" s="64"/>
      <c r="E1284" s="65"/>
      <c r="F1284" s="66"/>
      <c r="G1284" s="63"/>
      <c r="H1284" s="67"/>
      <c r="I1284" s="68"/>
      <c r="J1284" s="68"/>
      <c r="K1284" s="32" t="s">
        <v>65</v>
      </c>
      <c r="L1284" s="75">
        <v>1284</v>
      </c>
      <c r="M1284" s="75"/>
      <c r="N1284" s="70"/>
      <c r="O1284" s="77" t="s">
        <v>572</v>
      </c>
      <c r="P1284" s="79">
        <v>45268.32824074074</v>
      </c>
      <c r="Q1284" s="77" t="s">
        <v>1653</v>
      </c>
      <c r="R1284" s="77">
        <v>0</v>
      </c>
      <c r="S1284" s="77">
        <v>0</v>
      </c>
      <c r="T1284" s="77">
        <v>0</v>
      </c>
      <c r="U1284" s="77">
        <v>0</v>
      </c>
      <c r="V1284" s="77">
        <v>17</v>
      </c>
      <c r="W1284" s="81" t="s">
        <v>1871</v>
      </c>
      <c r="X1284" s="80" t="str">
        <f>HYPERLINK("https://inovies.com")</f>
        <v>https://inovies.com</v>
      </c>
      <c r="Y1284" s="77" t="s">
        <v>1982</v>
      </c>
      <c r="Z1284" s="77"/>
      <c r="AA1284" s="77" t="s">
        <v>2651</v>
      </c>
      <c r="AB1284" s="77" t="s">
        <v>2696</v>
      </c>
      <c r="AC1284" s="81" t="s">
        <v>2707</v>
      </c>
      <c r="AD1284" s="77" t="s">
        <v>2752</v>
      </c>
      <c r="AE1284" s="80" t="str">
        <f>HYPERLINK("https://twitter.com/inovies/status/1733031826220863617")</f>
        <v>https://twitter.com/inovies/status/1733031826220863617</v>
      </c>
      <c r="AF1284" s="79">
        <v>45268.32824074074</v>
      </c>
      <c r="AG1284" s="85">
        <v>45268</v>
      </c>
      <c r="AH1284" s="81" t="s">
        <v>3825</v>
      </c>
      <c r="AI1284" s="77" t="b">
        <v>0</v>
      </c>
      <c r="AJ1284" s="77"/>
      <c r="AK1284" s="77"/>
      <c r="AL1284" s="77"/>
      <c r="AM1284" s="77"/>
      <c r="AN1284" s="77"/>
      <c r="AO1284" s="77"/>
      <c r="AP1284" s="77"/>
      <c r="AQ1284" s="77" t="s">
        <v>4465</v>
      </c>
      <c r="AR1284" s="77"/>
      <c r="AS1284" s="77"/>
      <c r="AT1284" s="77"/>
      <c r="AU1284" s="77"/>
      <c r="AV1284" s="80" t="str">
        <f>HYPERLINK("https://pbs.twimg.com/media/GAz3Qg8W0AAVg2Y.jpg")</f>
        <v>https://pbs.twimg.com/media/GAz3Qg8W0AAVg2Y.jpg</v>
      </c>
      <c r="AW1284" s="81" t="s">
        <v>5620</v>
      </c>
      <c r="AX1284" s="81" t="s">
        <v>5557</v>
      </c>
      <c r="AY1284" s="81" t="s">
        <v>5721</v>
      </c>
      <c r="AZ1284" s="81" t="s">
        <v>5557</v>
      </c>
      <c r="BA1284" s="81" t="s">
        <v>5773</v>
      </c>
      <c r="BB1284" s="81" t="s">
        <v>5773</v>
      </c>
      <c r="BC1284" s="81" t="s">
        <v>5557</v>
      </c>
      <c r="BD1284" s="77">
        <v>297885438</v>
      </c>
      <c r="BE1284" s="77"/>
      <c r="BF1284" s="77"/>
      <c r="BG1284" s="77"/>
      <c r="BH1284" s="77"/>
      <c r="BI1284" s="77"/>
    </row>
    <row r="1285" spans="1:61" ht="15">
      <c r="A1285" s="62" t="s">
        <v>299</v>
      </c>
      <c r="B1285" s="62" t="s">
        <v>299</v>
      </c>
      <c r="C1285" s="63"/>
      <c r="D1285" s="64"/>
      <c r="E1285" s="65"/>
      <c r="F1285" s="66"/>
      <c r="G1285" s="63"/>
      <c r="H1285" s="67"/>
      <c r="I1285" s="68"/>
      <c r="J1285" s="68"/>
      <c r="K1285" s="32" t="s">
        <v>65</v>
      </c>
      <c r="L1285" s="75">
        <v>1285</v>
      </c>
      <c r="M1285" s="75"/>
      <c r="N1285" s="70"/>
      <c r="O1285" s="77" t="s">
        <v>572</v>
      </c>
      <c r="P1285" s="79">
        <v>45268.3278587963</v>
      </c>
      <c r="Q1285" s="77" t="s">
        <v>1654</v>
      </c>
      <c r="R1285" s="77">
        <v>0</v>
      </c>
      <c r="S1285" s="77">
        <v>0</v>
      </c>
      <c r="T1285" s="77">
        <v>0</v>
      </c>
      <c r="U1285" s="77">
        <v>0</v>
      </c>
      <c r="V1285" s="77">
        <v>13</v>
      </c>
      <c r="W1285" s="81" t="s">
        <v>1871</v>
      </c>
      <c r="X1285" s="80" t="str">
        <f>HYPERLINK("https://inovies.com")</f>
        <v>https://inovies.com</v>
      </c>
      <c r="Y1285" s="77" t="s">
        <v>1982</v>
      </c>
      <c r="Z1285" s="77"/>
      <c r="AA1285" s="77" t="s">
        <v>2652</v>
      </c>
      <c r="AB1285" s="77" t="s">
        <v>2696</v>
      </c>
      <c r="AC1285" s="81" t="s">
        <v>2707</v>
      </c>
      <c r="AD1285" s="77" t="s">
        <v>2752</v>
      </c>
      <c r="AE1285" s="80" t="str">
        <f>HYPERLINK("https://twitter.com/inovies/status/1733031688035271162")</f>
        <v>https://twitter.com/inovies/status/1733031688035271162</v>
      </c>
      <c r="AF1285" s="79">
        <v>45268.3278587963</v>
      </c>
      <c r="AG1285" s="85">
        <v>45268</v>
      </c>
      <c r="AH1285" s="81" t="s">
        <v>3826</v>
      </c>
      <c r="AI1285" s="77" t="b">
        <v>0</v>
      </c>
      <c r="AJ1285" s="77"/>
      <c r="AK1285" s="77"/>
      <c r="AL1285" s="77"/>
      <c r="AM1285" s="77"/>
      <c r="AN1285" s="77"/>
      <c r="AO1285" s="77"/>
      <c r="AP1285" s="77"/>
      <c r="AQ1285" s="77" t="s">
        <v>4466</v>
      </c>
      <c r="AR1285" s="77"/>
      <c r="AS1285" s="77"/>
      <c r="AT1285" s="77"/>
      <c r="AU1285" s="77"/>
      <c r="AV1285" s="80" t="str">
        <f>HYPERLINK("https://pbs.twimg.com/media/GAz3IazWkAAIV3w.jpg")</f>
        <v>https://pbs.twimg.com/media/GAz3IazWkAAIV3w.jpg</v>
      </c>
      <c r="AW1285" s="81" t="s">
        <v>5621</v>
      </c>
      <c r="AX1285" s="81" t="s">
        <v>5557</v>
      </c>
      <c r="AY1285" s="81" t="s">
        <v>5721</v>
      </c>
      <c r="AZ1285" s="81" t="s">
        <v>5557</v>
      </c>
      <c r="BA1285" s="81" t="s">
        <v>5773</v>
      </c>
      <c r="BB1285" s="81" t="s">
        <v>5773</v>
      </c>
      <c r="BC1285" s="81" t="s">
        <v>5557</v>
      </c>
      <c r="BD1285" s="77">
        <v>297885438</v>
      </c>
      <c r="BE1285" s="77"/>
      <c r="BF1285" s="77"/>
      <c r="BG1285" s="77"/>
      <c r="BH1285" s="77"/>
      <c r="BI1285" s="77"/>
    </row>
    <row r="1286" spans="1:61" ht="15">
      <c r="A1286" s="62" t="s">
        <v>299</v>
      </c>
      <c r="B1286" s="62" t="s">
        <v>299</v>
      </c>
      <c r="C1286" s="63"/>
      <c r="D1286" s="64"/>
      <c r="E1286" s="65"/>
      <c r="F1286" s="66"/>
      <c r="G1286" s="63"/>
      <c r="H1286" s="67"/>
      <c r="I1286" s="68"/>
      <c r="J1286" s="68"/>
      <c r="K1286" s="32" t="s">
        <v>65</v>
      </c>
      <c r="L1286" s="75">
        <v>1286</v>
      </c>
      <c r="M1286" s="75"/>
      <c r="N1286" s="70"/>
      <c r="O1286" s="77" t="s">
        <v>572</v>
      </c>
      <c r="P1286" s="79">
        <v>45268.327465277776</v>
      </c>
      <c r="Q1286" s="77" t="s">
        <v>1655</v>
      </c>
      <c r="R1286" s="77">
        <v>0</v>
      </c>
      <c r="S1286" s="77">
        <v>0</v>
      </c>
      <c r="T1286" s="77">
        <v>0</v>
      </c>
      <c r="U1286" s="77">
        <v>0</v>
      </c>
      <c r="V1286" s="77">
        <v>11</v>
      </c>
      <c r="W1286" s="81" t="s">
        <v>1871</v>
      </c>
      <c r="X1286" s="80" t="str">
        <f>HYPERLINK("https://inovies.com")</f>
        <v>https://inovies.com</v>
      </c>
      <c r="Y1286" s="77" t="s">
        <v>1982</v>
      </c>
      <c r="Z1286" s="77"/>
      <c r="AA1286" s="77" t="s">
        <v>2653</v>
      </c>
      <c r="AB1286" s="77" t="s">
        <v>2696</v>
      </c>
      <c r="AC1286" s="81" t="s">
        <v>2707</v>
      </c>
      <c r="AD1286" s="77" t="s">
        <v>2752</v>
      </c>
      <c r="AE1286" s="80" t="str">
        <f>HYPERLINK("https://twitter.com/inovies/status/1733031544904708605")</f>
        <v>https://twitter.com/inovies/status/1733031544904708605</v>
      </c>
      <c r="AF1286" s="79">
        <v>45268.327465277776</v>
      </c>
      <c r="AG1286" s="85">
        <v>45268</v>
      </c>
      <c r="AH1286" s="81" t="s">
        <v>3827</v>
      </c>
      <c r="AI1286" s="77" t="b">
        <v>0</v>
      </c>
      <c r="AJ1286" s="77"/>
      <c r="AK1286" s="77"/>
      <c r="AL1286" s="77"/>
      <c r="AM1286" s="77"/>
      <c r="AN1286" s="77"/>
      <c r="AO1286" s="77"/>
      <c r="AP1286" s="77"/>
      <c r="AQ1286" s="77" t="s">
        <v>4467</v>
      </c>
      <c r="AR1286" s="77"/>
      <c r="AS1286" s="77"/>
      <c r="AT1286" s="77"/>
      <c r="AU1286" s="77"/>
      <c r="AV1286" s="80" t="str">
        <f>HYPERLINK("https://pbs.twimg.com/media/GAz2_zYWMAAR180.jpg")</f>
        <v>https://pbs.twimg.com/media/GAz2_zYWMAAR180.jpg</v>
      </c>
      <c r="AW1286" s="81" t="s">
        <v>5622</v>
      </c>
      <c r="AX1286" s="81" t="s">
        <v>5557</v>
      </c>
      <c r="AY1286" s="81" t="s">
        <v>5721</v>
      </c>
      <c r="AZ1286" s="81" t="s">
        <v>5557</v>
      </c>
      <c r="BA1286" s="81" t="s">
        <v>5773</v>
      </c>
      <c r="BB1286" s="81" t="s">
        <v>5773</v>
      </c>
      <c r="BC1286" s="81" t="s">
        <v>5557</v>
      </c>
      <c r="BD1286" s="77">
        <v>297885438</v>
      </c>
      <c r="BE1286" s="77"/>
      <c r="BF1286" s="77"/>
      <c r="BG1286" s="77"/>
      <c r="BH1286" s="77"/>
      <c r="BI1286" s="77"/>
    </row>
    <row r="1287" spans="1:61" ht="15">
      <c r="A1287" s="62" t="s">
        <v>299</v>
      </c>
      <c r="B1287" s="62" t="s">
        <v>299</v>
      </c>
      <c r="C1287" s="63"/>
      <c r="D1287" s="64"/>
      <c r="E1287" s="65"/>
      <c r="F1287" s="66"/>
      <c r="G1287" s="63"/>
      <c r="H1287" s="67"/>
      <c r="I1287" s="68"/>
      <c r="J1287" s="68"/>
      <c r="K1287" s="32" t="s">
        <v>65</v>
      </c>
      <c r="L1287" s="75">
        <v>1287</v>
      </c>
      <c r="M1287" s="75"/>
      <c r="N1287" s="70"/>
      <c r="O1287" s="77" t="s">
        <v>572</v>
      </c>
      <c r="P1287" s="79">
        <v>45268.32702546296</v>
      </c>
      <c r="Q1287" s="77" t="s">
        <v>1656</v>
      </c>
      <c r="R1287" s="77">
        <v>0</v>
      </c>
      <c r="S1287" s="77">
        <v>0</v>
      </c>
      <c r="T1287" s="77">
        <v>0</v>
      </c>
      <c r="U1287" s="77">
        <v>0</v>
      </c>
      <c r="V1287" s="77">
        <v>11</v>
      </c>
      <c r="W1287" s="81" t="s">
        <v>1871</v>
      </c>
      <c r="X1287" s="80" t="str">
        <f>HYPERLINK("https://inovies.com")</f>
        <v>https://inovies.com</v>
      </c>
      <c r="Y1287" s="77" t="s">
        <v>1982</v>
      </c>
      <c r="Z1287" s="77"/>
      <c r="AA1287" s="77" t="s">
        <v>2654</v>
      </c>
      <c r="AB1287" s="77" t="s">
        <v>2696</v>
      </c>
      <c r="AC1287" s="81" t="s">
        <v>2707</v>
      </c>
      <c r="AD1287" s="77" t="s">
        <v>2752</v>
      </c>
      <c r="AE1287" s="80" t="str">
        <f>HYPERLINK("https://twitter.com/inovies/status/1733031386699743710")</f>
        <v>https://twitter.com/inovies/status/1733031386699743710</v>
      </c>
      <c r="AF1287" s="79">
        <v>45268.32702546296</v>
      </c>
      <c r="AG1287" s="85">
        <v>45268</v>
      </c>
      <c r="AH1287" s="81" t="s">
        <v>3828</v>
      </c>
      <c r="AI1287" s="77" t="b">
        <v>0</v>
      </c>
      <c r="AJ1287" s="77"/>
      <c r="AK1287" s="77"/>
      <c r="AL1287" s="77"/>
      <c r="AM1287" s="77"/>
      <c r="AN1287" s="77"/>
      <c r="AO1287" s="77"/>
      <c r="AP1287" s="77"/>
      <c r="AQ1287" s="77" t="s">
        <v>4468</v>
      </c>
      <c r="AR1287" s="77"/>
      <c r="AS1287" s="77"/>
      <c r="AT1287" s="77"/>
      <c r="AU1287" s="77"/>
      <c r="AV1287" s="80" t="str">
        <f>HYPERLINK("https://pbs.twimg.com/media/GAz226TWMAAtcY4.jpg")</f>
        <v>https://pbs.twimg.com/media/GAz226TWMAAtcY4.jpg</v>
      </c>
      <c r="AW1287" s="81" t="s">
        <v>5623</v>
      </c>
      <c r="AX1287" s="81" t="s">
        <v>5557</v>
      </c>
      <c r="AY1287" s="81" t="s">
        <v>5721</v>
      </c>
      <c r="AZ1287" s="81" t="s">
        <v>5557</v>
      </c>
      <c r="BA1287" s="81" t="s">
        <v>5773</v>
      </c>
      <c r="BB1287" s="81" t="s">
        <v>5773</v>
      </c>
      <c r="BC1287" s="81" t="s">
        <v>5557</v>
      </c>
      <c r="BD1287" s="77">
        <v>297885438</v>
      </c>
      <c r="BE1287" s="77"/>
      <c r="BF1287" s="77"/>
      <c r="BG1287" s="77"/>
      <c r="BH1287" s="77"/>
      <c r="BI1287" s="77"/>
    </row>
    <row r="1288" spans="1:61" ht="15">
      <c r="A1288" s="62" t="s">
        <v>299</v>
      </c>
      <c r="B1288" s="62" t="s">
        <v>299</v>
      </c>
      <c r="C1288" s="63"/>
      <c r="D1288" s="64"/>
      <c r="E1288" s="65"/>
      <c r="F1288" s="66"/>
      <c r="G1288" s="63"/>
      <c r="H1288" s="67"/>
      <c r="I1288" s="68"/>
      <c r="J1288" s="68"/>
      <c r="K1288" s="32" t="s">
        <v>65</v>
      </c>
      <c r="L1288" s="75">
        <v>1288</v>
      </c>
      <c r="M1288" s="75"/>
      <c r="N1288" s="70"/>
      <c r="O1288" s="77" t="s">
        <v>179</v>
      </c>
      <c r="P1288" s="79">
        <v>45267.8428587963</v>
      </c>
      <c r="Q1288" s="77" t="s">
        <v>1657</v>
      </c>
      <c r="R1288" s="77">
        <v>0</v>
      </c>
      <c r="S1288" s="77">
        <v>0</v>
      </c>
      <c r="T1288" s="77">
        <v>0</v>
      </c>
      <c r="U1288" s="77">
        <v>0</v>
      </c>
      <c r="V1288" s="77">
        <v>6</v>
      </c>
      <c r="W1288" s="81" t="s">
        <v>1871</v>
      </c>
      <c r="X1288" s="80" t="str">
        <f>HYPERLINK("https://inovies.com")</f>
        <v>https://inovies.com</v>
      </c>
      <c r="Y1288" s="77" t="s">
        <v>1982</v>
      </c>
      <c r="Z1288" s="77"/>
      <c r="AA1288" s="77" t="s">
        <v>2655</v>
      </c>
      <c r="AB1288" s="77" t="s">
        <v>2696</v>
      </c>
      <c r="AC1288" s="81" t="s">
        <v>2707</v>
      </c>
      <c r="AD1288" s="77" t="s">
        <v>2752</v>
      </c>
      <c r="AE1288" s="80" t="str">
        <f>HYPERLINK("https://twitter.com/inovies/status/1732855930155339930")</f>
        <v>https://twitter.com/inovies/status/1732855930155339930</v>
      </c>
      <c r="AF1288" s="79">
        <v>45267.8428587963</v>
      </c>
      <c r="AG1288" s="85">
        <v>45267</v>
      </c>
      <c r="AH1288" s="81" t="s">
        <v>3829</v>
      </c>
      <c r="AI1288" s="77" t="b">
        <v>0</v>
      </c>
      <c r="AJ1288" s="77"/>
      <c r="AK1288" s="77"/>
      <c r="AL1288" s="77"/>
      <c r="AM1288" s="77"/>
      <c r="AN1288" s="77"/>
      <c r="AO1288" s="77"/>
      <c r="AP1288" s="77"/>
      <c r="AQ1288" s="77" t="s">
        <v>4469</v>
      </c>
      <c r="AR1288" s="77"/>
      <c r="AS1288" s="77"/>
      <c r="AT1288" s="77"/>
      <c r="AU1288" s="77"/>
      <c r="AV1288" s="80" t="str">
        <f>HYPERLINK("https://pbs.twimg.com/media/GAxXRkpWgAAL0Pb.jpg")</f>
        <v>https://pbs.twimg.com/media/GAxXRkpWgAAL0Pb.jpg</v>
      </c>
      <c r="AW1288" s="81" t="s">
        <v>5624</v>
      </c>
      <c r="AX1288" s="81" t="s">
        <v>5624</v>
      </c>
      <c r="AY1288" s="77"/>
      <c r="AZ1288" s="81" t="s">
        <v>5773</v>
      </c>
      <c r="BA1288" s="81" t="s">
        <v>5773</v>
      </c>
      <c r="BB1288" s="81" t="s">
        <v>5773</v>
      </c>
      <c r="BC1288" s="81" t="s">
        <v>5624</v>
      </c>
      <c r="BD1288" s="77">
        <v>297885438</v>
      </c>
      <c r="BE1288" s="77"/>
      <c r="BF1288" s="77"/>
      <c r="BG1288" s="77"/>
      <c r="BH1288" s="77"/>
      <c r="BI1288" s="77"/>
    </row>
    <row r="1289" spans="1:61" ht="15">
      <c r="A1289" s="62" t="s">
        <v>299</v>
      </c>
      <c r="B1289" s="62" t="s">
        <v>299</v>
      </c>
      <c r="C1289" s="63"/>
      <c r="D1289" s="64"/>
      <c r="E1289" s="65"/>
      <c r="F1289" s="66"/>
      <c r="G1289" s="63"/>
      <c r="H1289" s="67"/>
      <c r="I1289" s="68"/>
      <c r="J1289" s="68"/>
      <c r="K1289" s="32" t="s">
        <v>65</v>
      </c>
      <c r="L1289" s="75">
        <v>1289</v>
      </c>
      <c r="M1289" s="75"/>
      <c r="N1289" s="70"/>
      <c r="O1289" s="77" t="s">
        <v>179</v>
      </c>
      <c r="P1289" s="79">
        <v>45267.84244212963</v>
      </c>
      <c r="Q1289" s="77" t="s">
        <v>1658</v>
      </c>
      <c r="R1289" s="77">
        <v>0</v>
      </c>
      <c r="S1289" s="77">
        <v>0</v>
      </c>
      <c r="T1289" s="77">
        <v>0</v>
      </c>
      <c r="U1289" s="77">
        <v>0</v>
      </c>
      <c r="V1289" s="77">
        <v>6</v>
      </c>
      <c r="W1289" s="81" t="s">
        <v>1871</v>
      </c>
      <c r="X1289" s="80" t="str">
        <f>HYPERLINK("https://inovies.com")</f>
        <v>https://inovies.com</v>
      </c>
      <c r="Y1289" s="77" t="s">
        <v>1982</v>
      </c>
      <c r="Z1289" s="77"/>
      <c r="AA1289" s="77" t="s">
        <v>2656</v>
      </c>
      <c r="AB1289" s="77" t="s">
        <v>2696</v>
      </c>
      <c r="AC1289" s="81" t="s">
        <v>2707</v>
      </c>
      <c r="AD1289" s="77" t="s">
        <v>2752</v>
      </c>
      <c r="AE1289" s="80" t="str">
        <f>HYPERLINK("https://twitter.com/inovies/status/1732855781974847665")</f>
        <v>https://twitter.com/inovies/status/1732855781974847665</v>
      </c>
      <c r="AF1289" s="79">
        <v>45267.84244212963</v>
      </c>
      <c r="AG1289" s="85">
        <v>45267</v>
      </c>
      <c r="AH1289" s="81" t="s">
        <v>3830</v>
      </c>
      <c r="AI1289" s="77" t="b">
        <v>0</v>
      </c>
      <c r="AJ1289" s="77"/>
      <c r="AK1289" s="77"/>
      <c r="AL1289" s="77"/>
      <c r="AM1289" s="77"/>
      <c r="AN1289" s="77"/>
      <c r="AO1289" s="77"/>
      <c r="AP1289" s="77"/>
      <c r="AQ1289" s="77" t="s">
        <v>4470</v>
      </c>
      <c r="AR1289" s="77"/>
      <c r="AS1289" s="77"/>
      <c r="AT1289" s="77"/>
      <c r="AU1289" s="77"/>
      <c r="AV1289" s="80" t="str">
        <f>HYPERLINK("https://pbs.twimg.com/media/GAxXI9zXcAAzogr.jpg")</f>
        <v>https://pbs.twimg.com/media/GAxXI9zXcAAzogr.jpg</v>
      </c>
      <c r="AW1289" s="81" t="s">
        <v>5625</v>
      </c>
      <c r="AX1289" s="81" t="s">
        <v>5625</v>
      </c>
      <c r="AY1289" s="77"/>
      <c r="AZ1289" s="81" t="s">
        <v>5773</v>
      </c>
      <c r="BA1289" s="81" t="s">
        <v>5773</v>
      </c>
      <c r="BB1289" s="81" t="s">
        <v>5773</v>
      </c>
      <c r="BC1289" s="81" t="s">
        <v>5625</v>
      </c>
      <c r="BD1289" s="77">
        <v>297885438</v>
      </c>
      <c r="BE1289" s="77"/>
      <c r="BF1289" s="77"/>
      <c r="BG1289" s="77"/>
      <c r="BH1289" s="77"/>
      <c r="BI1289" s="77"/>
    </row>
    <row r="1290" spans="1:61" ht="15">
      <c r="A1290" s="62" t="s">
        <v>299</v>
      </c>
      <c r="B1290" s="62" t="s">
        <v>299</v>
      </c>
      <c r="C1290" s="63"/>
      <c r="D1290" s="64"/>
      <c r="E1290" s="65"/>
      <c r="F1290" s="66"/>
      <c r="G1290" s="63"/>
      <c r="H1290" s="67"/>
      <c r="I1290" s="68"/>
      <c r="J1290" s="68"/>
      <c r="K1290" s="32" t="s">
        <v>65</v>
      </c>
      <c r="L1290" s="75">
        <v>1290</v>
      </c>
      <c r="M1290" s="75"/>
      <c r="N1290" s="70"/>
      <c r="O1290" s="77" t="s">
        <v>179</v>
      </c>
      <c r="P1290" s="79">
        <v>45267.841990740744</v>
      </c>
      <c r="Q1290" s="77" t="s">
        <v>1659</v>
      </c>
      <c r="R1290" s="77">
        <v>0</v>
      </c>
      <c r="S1290" s="77">
        <v>0</v>
      </c>
      <c r="T1290" s="77">
        <v>0</v>
      </c>
      <c r="U1290" s="77">
        <v>0</v>
      </c>
      <c r="V1290" s="77">
        <v>7</v>
      </c>
      <c r="W1290" s="81" t="s">
        <v>1871</v>
      </c>
      <c r="X1290" s="80" t="str">
        <f>HYPERLINK("https://inovies.com")</f>
        <v>https://inovies.com</v>
      </c>
      <c r="Y1290" s="77" t="s">
        <v>1982</v>
      </c>
      <c r="Z1290" s="77"/>
      <c r="AA1290" s="77" t="s">
        <v>2657</v>
      </c>
      <c r="AB1290" s="77" t="s">
        <v>2696</v>
      </c>
      <c r="AC1290" s="81" t="s">
        <v>2707</v>
      </c>
      <c r="AD1290" s="77" t="s">
        <v>2752</v>
      </c>
      <c r="AE1290" s="80" t="str">
        <f>HYPERLINK("https://twitter.com/inovies/status/1732855616660521363")</f>
        <v>https://twitter.com/inovies/status/1732855616660521363</v>
      </c>
      <c r="AF1290" s="79">
        <v>45267.841990740744</v>
      </c>
      <c r="AG1290" s="85">
        <v>45267</v>
      </c>
      <c r="AH1290" s="81" t="s">
        <v>3831</v>
      </c>
      <c r="AI1290" s="77" t="b">
        <v>0</v>
      </c>
      <c r="AJ1290" s="77"/>
      <c r="AK1290" s="77"/>
      <c r="AL1290" s="77"/>
      <c r="AM1290" s="77"/>
      <c r="AN1290" s="77"/>
      <c r="AO1290" s="77"/>
      <c r="AP1290" s="77"/>
      <c r="AQ1290" s="77" t="s">
        <v>4471</v>
      </c>
      <c r="AR1290" s="77"/>
      <c r="AS1290" s="77"/>
      <c r="AT1290" s="77"/>
      <c r="AU1290" s="77"/>
      <c r="AV1290" s="80" t="str">
        <f>HYPERLINK("https://pbs.twimg.com/media/GAxW_cMW8AA6Buv.jpg")</f>
        <v>https://pbs.twimg.com/media/GAxW_cMW8AA6Buv.jpg</v>
      </c>
      <c r="AW1290" s="81" t="s">
        <v>5626</v>
      </c>
      <c r="AX1290" s="81" t="s">
        <v>5626</v>
      </c>
      <c r="AY1290" s="77"/>
      <c r="AZ1290" s="81" t="s">
        <v>5773</v>
      </c>
      <c r="BA1290" s="81" t="s">
        <v>5773</v>
      </c>
      <c r="BB1290" s="81" t="s">
        <v>5773</v>
      </c>
      <c r="BC1290" s="81" t="s">
        <v>5626</v>
      </c>
      <c r="BD1290" s="77">
        <v>297885438</v>
      </c>
      <c r="BE1290" s="77"/>
      <c r="BF1290" s="77"/>
      <c r="BG1290" s="77"/>
      <c r="BH1290" s="77"/>
      <c r="BI1290" s="77"/>
    </row>
    <row r="1291" spans="1:61" ht="15">
      <c r="A1291" s="62" t="s">
        <v>299</v>
      </c>
      <c r="B1291" s="62" t="s">
        <v>299</v>
      </c>
      <c r="C1291" s="63"/>
      <c r="D1291" s="64"/>
      <c r="E1291" s="65"/>
      <c r="F1291" s="66"/>
      <c r="G1291" s="63"/>
      <c r="H1291" s="67"/>
      <c r="I1291" s="68"/>
      <c r="J1291" s="68"/>
      <c r="K1291" s="32" t="s">
        <v>65</v>
      </c>
      <c r="L1291" s="75">
        <v>1291</v>
      </c>
      <c r="M1291" s="75"/>
      <c r="N1291" s="70"/>
      <c r="O1291" s="77" t="s">
        <v>179</v>
      </c>
      <c r="P1291" s="79">
        <v>45267.84135416667</v>
      </c>
      <c r="Q1291" s="77" t="s">
        <v>1660</v>
      </c>
      <c r="R1291" s="77">
        <v>0</v>
      </c>
      <c r="S1291" s="77">
        <v>0</v>
      </c>
      <c r="T1291" s="77">
        <v>0</v>
      </c>
      <c r="U1291" s="77">
        <v>0</v>
      </c>
      <c r="V1291" s="77">
        <v>6</v>
      </c>
      <c r="W1291" s="81" t="s">
        <v>1871</v>
      </c>
      <c r="X1291" s="80" t="str">
        <f>HYPERLINK("https://inovies.com")</f>
        <v>https://inovies.com</v>
      </c>
      <c r="Y1291" s="77" t="s">
        <v>1982</v>
      </c>
      <c r="Z1291" s="77"/>
      <c r="AA1291" s="77" t="s">
        <v>2658</v>
      </c>
      <c r="AB1291" s="77" t="s">
        <v>2696</v>
      </c>
      <c r="AC1291" s="81" t="s">
        <v>2707</v>
      </c>
      <c r="AD1291" s="77" t="s">
        <v>2752</v>
      </c>
      <c r="AE1291" s="80" t="str">
        <f>HYPERLINK("https://twitter.com/inovies/status/1732855385562685679")</f>
        <v>https://twitter.com/inovies/status/1732855385562685679</v>
      </c>
      <c r="AF1291" s="79">
        <v>45267.84135416667</v>
      </c>
      <c r="AG1291" s="85">
        <v>45267</v>
      </c>
      <c r="AH1291" s="81" t="s">
        <v>3832</v>
      </c>
      <c r="AI1291" s="77" t="b">
        <v>0</v>
      </c>
      <c r="AJ1291" s="77"/>
      <c r="AK1291" s="77"/>
      <c r="AL1291" s="77"/>
      <c r="AM1291" s="77"/>
      <c r="AN1291" s="77"/>
      <c r="AO1291" s="77"/>
      <c r="AP1291" s="77"/>
      <c r="AQ1291" s="77" t="s">
        <v>4472</v>
      </c>
      <c r="AR1291" s="77"/>
      <c r="AS1291" s="77"/>
      <c r="AT1291" s="77"/>
      <c r="AU1291" s="77"/>
      <c r="AV1291" s="80" t="str">
        <f>HYPERLINK("https://pbs.twimg.com/media/GAxWx_MXkAAhHdY.jpg")</f>
        <v>https://pbs.twimg.com/media/GAxWx_MXkAAhHdY.jpg</v>
      </c>
      <c r="AW1291" s="81" t="s">
        <v>5627</v>
      </c>
      <c r="AX1291" s="81" t="s">
        <v>5627</v>
      </c>
      <c r="AY1291" s="77"/>
      <c r="AZ1291" s="81" t="s">
        <v>5773</v>
      </c>
      <c r="BA1291" s="81" t="s">
        <v>5773</v>
      </c>
      <c r="BB1291" s="81" t="s">
        <v>5773</v>
      </c>
      <c r="BC1291" s="81" t="s">
        <v>5627</v>
      </c>
      <c r="BD1291" s="77">
        <v>297885438</v>
      </c>
      <c r="BE1291" s="77"/>
      <c r="BF1291" s="77"/>
      <c r="BG1291" s="77"/>
      <c r="BH1291" s="77"/>
      <c r="BI1291" s="77"/>
    </row>
    <row r="1292" spans="1:61" ht="15">
      <c r="A1292" s="62" t="s">
        <v>299</v>
      </c>
      <c r="B1292" s="62" t="s">
        <v>299</v>
      </c>
      <c r="C1292" s="63"/>
      <c r="D1292" s="64"/>
      <c r="E1292" s="65"/>
      <c r="F1292" s="66"/>
      <c r="G1292" s="63"/>
      <c r="H1292" s="67"/>
      <c r="I1292" s="68"/>
      <c r="J1292" s="68"/>
      <c r="K1292" s="32" t="s">
        <v>65</v>
      </c>
      <c r="L1292" s="75">
        <v>1292</v>
      </c>
      <c r="M1292" s="75"/>
      <c r="N1292" s="70"/>
      <c r="O1292" s="77" t="s">
        <v>179</v>
      </c>
      <c r="P1292" s="79">
        <v>45267.840891203705</v>
      </c>
      <c r="Q1292" s="77" t="s">
        <v>1661</v>
      </c>
      <c r="R1292" s="77">
        <v>0</v>
      </c>
      <c r="S1292" s="77">
        <v>0</v>
      </c>
      <c r="T1292" s="77">
        <v>0</v>
      </c>
      <c r="U1292" s="77">
        <v>0</v>
      </c>
      <c r="V1292" s="77">
        <v>6</v>
      </c>
      <c r="W1292" s="81" t="s">
        <v>1871</v>
      </c>
      <c r="X1292" s="80" t="str">
        <f>HYPERLINK("https://inovies.com")</f>
        <v>https://inovies.com</v>
      </c>
      <c r="Y1292" s="77" t="s">
        <v>1982</v>
      </c>
      <c r="Z1292" s="77"/>
      <c r="AA1292" s="77" t="s">
        <v>2659</v>
      </c>
      <c r="AB1292" s="77" t="s">
        <v>2696</v>
      </c>
      <c r="AC1292" s="81" t="s">
        <v>2707</v>
      </c>
      <c r="AD1292" s="77" t="s">
        <v>2752</v>
      </c>
      <c r="AE1292" s="80" t="str">
        <f>HYPERLINK("https://twitter.com/inovies/status/1732855217182409079")</f>
        <v>https://twitter.com/inovies/status/1732855217182409079</v>
      </c>
      <c r="AF1292" s="79">
        <v>45267.840891203705</v>
      </c>
      <c r="AG1292" s="85">
        <v>45267</v>
      </c>
      <c r="AH1292" s="81" t="s">
        <v>3833</v>
      </c>
      <c r="AI1292" s="77" t="b">
        <v>0</v>
      </c>
      <c r="AJ1292" s="77"/>
      <c r="AK1292" s="77"/>
      <c r="AL1292" s="77"/>
      <c r="AM1292" s="77"/>
      <c r="AN1292" s="77"/>
      <c r="AO1292" s="77"/>
      <c r="AP1292" s="77"/>
      <c r="AQ1292" s="77" t="s">
        <v>4473</v>
      </c>
      <c r="AR1292" s="77"/>
      <c r="AS1292" s="77"/>
      <c r="AT1292" s="77"/>
      <c r="AU1292" s="77"/>
      <c r="AV1292" s="80" t="str">
        <f>HYPERLINK("https://pbs.twimg.com/media/GAxWoJ-XsAAghww.jpg")</f>
        <v>https://pbs.twimg.com/media/GAxWoJ-XsAAghww.jpg</v>
      </c>
      <c r="AW1292" s="81" t="s">
        <v>5628</v>
      </c>
      <c r="AX1292" s="81" t="s">
        <v>5628</v>
      </c>
      <c r="AY1292" s="77"/>
      <c r="AZ1292" s="81" t="s">
        <v>5773</v>
      </c>
      <c r="BA1292" s="81" t="s">
        <v>5773</v>
      </c>
      <c r="BB1292" s="81" t="s">
        <v>5773</v>
      </c>
      <c r="BC1292" s="81" t="s">
        <v>5628</v>
      </c>
      <c r="BD1292" s="77">
        <v>297885438</v>
      </c>
      <c r="BE1292" s="77"/>
      <c r="BF1292" s="77"/>
      <c r="BG1292" s="77"/>
      <c r="BH1292" s="77"/>
      <c r="BI1292" s="77"/>
    </row>
    <row r="1293" spans="1:61" ht="15">
      <c r="A1293" s="62" t="s">
        <v>299</v>
      </c>
      <c r="B1293" s="62" t="s">
        <v>299</v>
      </c>
      <c r="C1293" s="63"/>
      <c r="D1293" s="64"/>
      <c r="E1293" s="65"/>
      <c r="F1293" s="66"/>
      <c r="G1293" s="63"/>
      <c r="H1293" s="67"/>
      <c r="I1293" s="68"/>
      <c r="J1293" s="68"/>
      <c r="K1293" s="32" t="s">
        <v>65</v>
      </c>
      <c r="L1293" s="75">
        <v>1293</v>
      </c>
      <c r="M1293" s="75"/>
      <c r="N1293" s="70"/>
      <c r="O1293" s="77" t="s">
        <v>179</v>
      </c>
      <c r="P1293" s="79">
        <v>45267.840462962966</v>
      </c>
      <c r="Q1293" s="77" t="s">
        <v>1662</v>
      </c>
      <c r="R1293" s="77">
        <v>0</v>
      </c>
      <c r="S1293" s="77">
        <v>0</v>
      </c>
      <c r="T1293" s="77">
        <v>0</v>
      </c>
      <c r="U1293" s="77">
        <v>0</v>
      </c>
      <c r="V1293" s="77">
        <v>6</v>
      </c>
      <c r="W1293" s="81" t="s">
        <v>1871</v>
      </c>
      <c r="X1293" s="80" t="str">
        <f>HYPERLINK("https://inovies.com")</f>
        <v>https://inovies.com</v>
      </c>
      <c r="Y1293" s="77" t="s">
        <v>1982</v>
      </c>
      <c r="Z1293" s="77"/>
      <c r="AA1293" s="77" t="s">
        <v>2660</v>
      </c>
      <c r="AB1293" s="77" t="s">
        <v>2696</v>
      </c>
      <c r="AC1293" s="81" t="s">
        <v>2707</v>
      </c>
      <c r="AD1293" s="77" t="s">
        <v>2752</v>
      </c>
      <c r="AE1293" s="80" t="str">
        <f>HYPERLINK("https://twitter.com/inovies/status/1732855061968044291")</f>
        <v>https://twitter.com/inovies/status/1732855061968044291</v>
      </c>
      <c r="AF1293" s="79">
        <v>45267.840462962966</v>
      </c>
      <c r="AG1293" s="85">
        <v>45267</v>
      </c>
      <c r="AH1293" s="81" t="s">
        <v>3834</v>
      </c>
      <c r="AI1293" s="77" t="b">
        <v>0</v>
      </c>
      <c r="AJ1293" s="77"/>
      <c r="AK1293" s="77"/>
      <c r="AL1293" s="77"/>
      <c r="AM1293" s="77"/>
      <c r="AN1293" s="77"/>
      <c r="AO1293" s="77"/>
      <c r="AP1293" s="77"/>
      <c r="AQ1293" s="77" t="s">
        <v>4474</v>
      </c>
      <c r="AR1293" s="77"/>
      <c r="AS1293" s="77"/>
      <c r="AT1293" s="77"/>
      <c r="AU1293" s="77"/>
      <c r="AV1293" s="80" t="str">
        <f>HYPERLINK("https://pbs.twimg.com/media/GAxWfFyWYAAW6ob.jpg")</f>
        <v>https://pbs.twimg.com/media/GAxWfFyWYAAW6ob.jpg</v>
      </c>
      <c r="AW1293" s="81" t="s">
        <v>5629</v>
      </c>
      <c r="AX1293" s="81" t="s">
        <v>5629</v>
      </c>
      <c r="AY1293" s="77"/>
      <c r="AZ1293" s="81" t="s">
        <v>5773</v>
      </c>
      <c r="BA1293" s="81" t="s">
        <v>5773</v>
      </c>
      <c r="BB1293" s="81" t="s">
        <v>5773</v>
      </c>
      <c r="BC1293" s="81" t="s">
        <v>5629</v>
      </c>
      <c r="BD1293" s="77">
        <v>297885438</v>
      </c>
      <c r="BE1293" s="77"/>
      <c r="BF1293" s="77"/>
      <c r="BG1293" s="77"/>
      <c r="BH1293" s="77"/>
      <c r="BI1293" s="77"/>
    </row>
    <row r="1294" spans="1:61" ht="15">
      <c r="A1294" s="62" t="s">
        <v>299</v>
      </c>
      <c r="B1294" s="62" t="s">
        <v>299</v>
      </c>
      <c r="C1294" s="63"/>
      <c r="D1294" s="64"/>
      <c r="E1294" s="65"/>
      <c r="F1294" s="66"/>
      <c r="G1294" s="63"/>
      <c r="H1294" s="67"/>
      <c r="I1294" s="68"/>
      <c r="J1294" s="68"/>
      <c r="K1294" s="32" t="s">
        <v>65</v>
      </c>
      <c r="L1294" s="75">
        <v>1294</v>
      </c>
      <c r="M1294" s="75"/>
      <c r="N1294" s="70"/>
      <c r="O1294" s="77" t="s">
        <v>179</v>
      </c>
      <c r="P1294" s="79">
        <v>45267.839791666665</v>
      </c>
      <c r="Q1294" s="77" t="s">
        <v>1663</v>
      </c>
      <c r="R1294" s="77">
        <v>0</v>
      </c>
      <c r="S1294" s="77">
        <v>0</v>
      </c>
      <c r="T1294" s="77">
        <v>0</v>
      </c>
      <c r="U1294" s="77">
        <v>0</v>
      </c>
      <c r="V1294" s="77">
        <v>7</v>
      </c>
      <c r="W1294" s="81" t="s">
        <v>1871</v>
      </c>
      <c r="X1294" s="80" t="str">
        <f>HYPERLINK("https://inovies.com")</f>
        <v>https://inovies.com</v>
      </c>
      <c r="Y1294" s="77" t="s">
        <v>1982</v>
      </c>
      <c r="Z1294" s="77"/>
      <c r="AA1294" s="77" t="s">
        <v>2661</v>
      </c>
      <c r="AB1294" s="77" t="s">
        <v>2696</v>
      </c>
      <c r="AC1294" s="81" t="s">
        <v>2707</v>
      </c>
      <c r="AD1294" s="77" t="s">
        <v>2752</v>
      </c>
      <c r="AE1294" s="80" t="str">
        <f>HYPERLINK("https://twitter.com/inovies/status/1732854820757815423")</f>
        <v>https://twitter.com/inovies/status/1732854820757815423</v>
      </c>
      <c r="AF1294" s="79">
        <v>45267.839791666665</v>
      </c>
      <c r="AG1294" s="85">
        <v>45267</v>
      </c>
      <c r="AH1294" s="81" t="s">
        <v>3835</v>
      </c>
      <c r="AI1294" s="77" t="b">
        <v>0</v>
      </c>
      <c r="AJ1294" s="77"/>
      <c r="AK1294" s="77"/>
      <c r="AL1294" s="77"/>
      <c r="AM1294" s="77"/>
      <c r="AN1294" s="77"/>
      <c r="AO1294" s="77"/>
      <c r="AP1294" s="77"/>
      <c r="AQ1294" s="77" t="s">
        <v>4475</v>
      </c>
      <c r="AR1294" s="77"/>
      <c r="AS1294" s="77"/>
      <c r="AT1294" s="77"/>
      <c r="AU1294" s="77"/>
      <c r="AV1294" s="80" t="str">
        <f>HYPERLINK("https://pbs.twimg.com/media/GAxWRGlW8AEW8ri.jpg")</f>
        <v>https://pbs.twimg.com/media/GAxWRGlW8AEW8ri.jpg</v>
      </c>
      <c r="AW1294" s="81" t="s">
        <v>5630</v>
      </c>
      <c r="AX1294" s="81" t="s">
        <v>5630</v>
      </c>
      <c r="AY1294" s="77"/>
      <c r="AZ1294" s="81" t="s">
        <v>5773</v>
      </c>
      <c r="BA1294" s="81" t="s">
        <v>5773</v>
      </c>
      <c r="BB1294" s="81" t="s">
        <v>5773</v>
      </c>
      <c r="BC1294" s="81" t="s">
        <v>5630</v>
      </c>
      <c r="BD1294" s="77">
        <v>297885438</v>
      </c>
      <c r="BE1294" s="77"/>
      <c r="BF1294" s="77"/>
      <c r="BG1294" s="77"/>
      <c r="BH1294" s="77"/>
      <c r="BI1294" s="77"/>
    </row>
    <row r="1295" spans="1:61" ht="15">
      <c r="A1295" s="62" t="s">
        <v>299</v>
      </c>
      <c r="B1295" s="62" t="s">
        <v>299</v>
      </c>
      <c r="C1295" s="63"/>
      <c r="D1295" s="64"/>
      <c r="E1295" s="65"/>
      <c r="F1295" s="66"/>
      <c r="G1295" s="63"/>
      <c r="H1295" s="67"/>
      <c r="I1295" s="68"/>
      <c r="J1295" s="68"/>
      <c r="K1295" s="32" t="s">
        <v>65</v>
      </c>
      <c r="L1295" s="75">
        <v>1295</v>
      </c>
      <c r="M1295" s="75"/>
      <c r="N1295" s="70"/>
      <c r="O1295" s="77" t="s">
        <v>179</v>
      </c>
      <c r="P1295" s="79">
        <v>45267.839224537034</v>
      </c>
      <c r="Q1295" s="77" t="s">
        <v>1664</v>
      </c>
      <c r="R1295" s="77">
        <v>0</v>
      </c>
      <c r="S1295" s="77">
        <v>0</v>
      </c>
      <c r="T1295" s="77">
        <v>0</v>
      </c>
      <c r="U1295" s="77">
        <v>0</v>
      </c>
      <c r="V1295" s="77">
        <v>6</v>
      </c>
      <c r="W1295" s="81" t="s">
        <v>1871</v>
      </c>
      <c r="X1295" s="80" t="str">
        <f>HYPERLINK("https://inovies.com")</f>
        <v>https://inovies.com</v>
      </c>
      <c r="Y1295" s="77" t="s">
        <v>1982</v>
      </c>
      <c r="Z1295" s="77"/>
      <c r="AA1295" s="77" t="s">
        <v>2662</v>
      </c>
      <c r="AB1295" s="77" t="s">
        <v>2696</v>
      </c>
      <c r="AC1295" s="81" t="s">
        <v>2707</v>
      </c>
      <c r="AD1295" s="77" t="s">
        <v>2752</v>
      </c>
      <c r="AE1295" s="80" t="str">
        <f>HYPERLINK("https://twitter.com/inovies/status/1732854615945732595")</f>
        <v>https://twitter.com/inovies/status/1732854615945732595</v>
      </c>
      <c r="AF1295" s="79">
        <v>45267.839224537034</v>
      </c>
      <c r="AG1295" s="85">
        <v>45267</v>
      </c>
      <c r="AH1295" s="81" t="s">
        <v>3836</v>
      </c>
      <c r="AI1295" s="77" t="b">
        <v>0</v>
      </c>
      <c r="AJ1295" s="77"/>
      <c r="AK1295" s="77"/>
      <c r="AL1295" s="77"/>
      <c r="AM1295" s="77"/>
      <c r="AN1295" s="77"/>
      <c r="AO1295" s="77"/>
      <c r="AP1295" s="77"/>
      <c r="AQ1295" s="77" t="s">
        <v>4476</v>
      </c>
      <c r="AR1295" s="77"/>
      <c r="AS1295" s="77"/>
      <c r="AT1295" s="77"/>
      <c r="AU1295" s="77"/>
      <c r="AV1295" s="80" t="str">
        <f>HYPERLINK("https://pbs.twimg.com/media/GAxWFN2XQAAFIbL.jpg")</f>
        <v>https://pbs.twimg.com/media/GAxWFN2XQAAFIbL.jpg</v>
      </c>
      <c r="AW1295" s="81" t="s">
        <v>5631</v>
      </c>
      <c r="AX1295" s="81" t="s">
        <v>5631</v>
      </c>
      <c r="AY1295" s="77"/>
      <c r="AZ1295" s="81" t="s">
        <v>5773</v>
      </c>
      <c r="BA1295" s="81" t="s">
        <v>5773</v>
      </c>
      <c r="BB1295" s="81" t="s">
        <v>5773</v>
      </c>
      <c r="BC1295" s="81" t="s">
        <v>5631</v>
      </c>
      <c r="BD1295" s="77">
        <v>297885438</v>
      </c>
      <c r="BE1295" s="77"/>
      <c r="BF1295" s="77"/>
      <c r="BG1295" s="77"/>
      <c r="BH1295" s="77"/>
      <c r="BI1295" s="77"/>
    </row>
    <row r="1296" spans="1:61" ht="15">
      <c r="A1296" s="62" t="s">
        <v>299</v>
      </c>
      <c r="B1296" s="62" t="s">
        <v>299</v>
      </c>
      <c r="C1296" s="63"/>
      <c r="D1296" s="64"/>
      <c r="E1296" s="65"/>
      <c r="F1296" s="66"/>
      <c r="G1296" s="63"/>
      <c r="H1296" s="67"/>
      <c r="I1296" s="68"/>
      <c r="J1296" s="68"/>
      <c r="K1296" s="32" t="s">
        <v>65</v>
      </c>
      <c r="L1296" s="75">
        <v>1296</v>
      </c>
      <c r="M1296" s="75"/>
      <c r="N1296" s="70"/>
      <c r="O1296" s="77" t="s">
        <v>179</v>
      </c>
      <c r="P1296" s="79">
        <v>45267.80703703704</v>
      </c>
      <c r="Q1296" s="77" t="s">
        <v>1665</v>
      </c>
      <c r="R1296" s="77">
        <v>0</v>
      </c>
      <c r="S1296" s="77">
        <v>0</v>
      </c>
      <c r="T1296" s="77">
        <v>0</v>
      </c>
      <c r="U1296" s="77">
        <v>0</v>
      </c>
      <c r="V1296" s="77">
        <v>7</v>
      </c>
      <c r="W1296" s="81" t="s">
        <v>1871</v>
      </c>
      <c r="X1296" s="80" t="str">
        <f>HYPERLINK("https://inovies.com")</f>
        <v>https://inovies.com</v>
      </c>
      <c r="Y1296" s="77" t="s">
        <v>1982</v>
      </c>
      <c r="Z1296" s="77"/>
      <c r="AA1296" s="77" t="s">
        <v>2663</v>
      </c>
      <c r="AB1296" s="77" t="s">
        <v>2696</v>
      </c>
      <c r="AC1296" s="81" t="s">
        <v>2707</v>
      </c>
      <c r="AD1296" s="77" t="s">
        <v>2752</v>
      </c>
      <c r="AE1296" s="80" t="str">
        <f>HYPERLINK("https://twitter.com/inovies/status/1732842950629990556")</f>
        <v>https://twitter.com/inovies/status/1732842950629990556</v>
      </c>
      <c r="AF1296" s="79">
        <v>45267.80703703704</v>
      </c>
      <c r="AG1296" s="85">
        <v>45267</v>
      </c>
      <c r="AH1296" s="81" t="s">
        <v>3837</v>
      </c>
      <c r="AI1296" s="77" t="b">
        <v>0</v>
      </c>
      <c r="AJ1296" s="77"/>
      <c r="AK1296" s="77"/>
      <c r="AL1296" s="77"/>
      <c r="AM1296" s="77"/>
      <c r="AN1296" s="77"/>
      <c r="AO1296" s="77"/>
      <c r="AP1296" s="77"/>
      <c r="AQ1296" s="77" t="s">
        <v>4477</v>
      </c>
      <c r="AR1296" s="77"/>
      <c r="AS1296" s="77"/>
      <c r="AT1296" s="77"/>
      <c r="AU1296" s="77"/>
      <c r="AV1296" s="80" t="str">
        <f>HYPERLINK("https://pbs.twimg.com/media/GAxLeQ6XoAEeJtb.jpg")</f>
        <v>https://pbs.twimg.com/media/GAxLeQ6XoAEeJtb.jpg</v>
      </c>
      <c r="AW1296" s="81" t="s">
        <v>5632</v>
      </c>
      <c r="AX1296" s="81" t="s">
        <v>5632</v>
      </c>
      <c r="AY1296" s="77"/>
      <c r="AZ1296" s="81" t="s">
        <v>5773</v>
      </c>
      <c r="BA1296" s="81" t="s">
        <v>5773</v>
      </c>
      <c r="BB1296" s="81" t="s">
        <v>5773</v>
      </c>
      <c r="BC1296" s="81" t="s">
        <v>5632</v>
      </c>
      <c r="BD1296" s="77">
        <v>297885438</v>
      </c>
      <c r="BE1296" s="77"/>
      <c r="BF1296" s="77"/>
      <c r="BG1296" s="77"/>
      <c r="BH1296" s="77"/>
      <c r="BI1296" s="77"/>
    </row>
    <row r="1297" spans="1:61" ht="15">
      <c r="A1297" s="62" t="s">
        <v>299</v>
      </c>
      <c r="B1297" s="62" t="s">
        <v>299</v>
      </c>
      <c r="C1297" s="63"/>
      <c r="D1297" s="64"/>
      <c r="E1297" s="65"/>
      <c r="F1297" s="66"/>
      <c r="G1297" s="63"/>
      <c r="H1297" s="67"/>
      <c r="I1297" s="68"/>
      <c r="J1297" s="68"/>
      <c r="K1297" s="32" t="s">
        <v>65</v>
      </c>
      <c r="L1297" s="75">
        <v>1297</v>
      </c>
      <c r="M1297" s="75"/>
      <c r="N1297" s="70"/>
      <c r="O1297" s="77" t="s">
        <v>179</v>
      </c>
      <c r="P1297" s="79">
        <v>45267.806655092594</v>
      </c>
      <c r="Q1297" s="77" t="s">
        <v>1666</v>
      </c>
      <c r="R1297" s="77">
        <v>0</v>
      </c>
      <c r="S1297" s="77">
        <v>0</v>
      </c>
      <c r="T1297" s="77">
        <v>0</v>
      </c>
      <c r="U1297" s="77">
        <v>0</v>
      </c>
      <c r="V1297" s="77">
        <v>8</v>
      </c>
      <c r="W1297" s="81" t="s">
        <v>1871</v>
      </c>
      <c r="X1297" s="80" t="str">
        <f>HYPERLINK("https://inovies.com")</f>
        <v>https://inovies.com</v>
      </c>
      <c r="Y1297" s="77" t="s">
        <v>1982</v>
      </c>
      <c r="Z1297" s="77"/>
      <c r="AA1297" s="77" t="s">
        <v>2664</v>
      </c>
      <c r="AB1297" s="77" t="s">
        <v>2696</v>
      </c>
      <c r="AC1297" s="81" t="s">
        <v>2707</v>
      </c>
      <c r="AD1297" s="77" t="s">
        <v>2752</v>
      </c>
      <c r="AE1297" s="80" t="str">
        <f>HYPERLINK("https://twitter.com/inovies/status/1732842812624765336")</f>
        <v>https://twitter.com/inovies/status/1732842812624765336</v>
      </c>
      <c r="AF1297" s="79">
        <v>45267.806655092594</v>
      </c>
      <c r="AG1297" s="85">
        <v>45267</v>
      </c>
      <c r="AH1297" s="81" t="s">
        <v>3838</v>
      </c>
      <c r="AI1297" s="77" t="b">
        <v>0</v>
      </c>
      <c r="AJ1297" s="77"/>
      <c r="AK1297" s="77"/>
      <c r="AL1297" s="77"/>
      <c r="AM1297" s="77"/>
      <c r="AN1297" s="77"/>
      <c r="AO1297" s="77"/>
      <c r="AP1297" s="77"/>
      <c r="AQ1297" s="77" t="s">
        <v>4478</v>
      </c>
      <c r="AR1297" s="77"/>
      <c r="AS1297" s="77"/>
      <c r="AT1297" s="77"/>
      <c r="AU1297" s="77"/>
      <c r="AV1297" s="80" t="str">
        <f>HYPERLINK("https://pbs.twimg.com/media/GAxLWJnWYAAyODM.jpg")</f>
        <v>https://pbs.twimg.com/media/GAxLWJnWYAAyODM.jpg</v>
      </c>
      <c r="AW1297" s="81" t="s">
        <v>5633</v>
      </c>
      <c r="AX1297" s="81" t="s">
        <v>5633</v>
      </c>
      <c r="AY1297" s="77"/>
      <c r="AZ1297" s="81" t="s">
        <v>5773</v>
      </c>
      <c r="BA1297" s="81" t="s">
        <v>5773</v>
      </c>
      <c r="BB1297" s="81" t="s">
        <v>5773</v>
      </c>
      <c r="BC1297" s="81" t="s">
        <v>5633</v>
      </c>
      <c r="BD1297" s="77">
        <v>297885438</v>
      </c>
      <c r="BE1297" s="77"/>
      <c r="BF1297" s="77"/>
      <c r="BG1297" s="77"/>
      <c r="BH1297" s="77"/>
      <c r="BI1297" s="77"/>
    </row>
    <row r="1298" spans="1:61" ht="15">
      <c r="A1298" s="62" t="s">
        <v>299</v>
      </c>
      <c r="B1298" s="62" t="s">
        <v>299</v>
      </c>
      <c r="C1298" s="63"/>
      <c r="D1298" s="64"/>
      <c r="E1298" s="65"/>
      <c r="F1298" s="66"/>
      <c r="G1298" s="63"/>
      <c r="H1298" s="67"/>
      <c r="I1298" s="68"/>
      <c r="J1298" s="68"/>
      <c r="K1298" s="32" t="s">
        <v>65</v>
      </c>
      <c r="L1298" s="75">
        <v>1298</v>
      </c>
      <c r="M1298" s="75"/>
      <c r="N1298" s="70"/>
      <c r="O1298" s="77" t="s">
        <v>179</v>
      </c>
      <c r="P1298" s="79">
        <v>45267.80626157407</v>
      </c>
      <c r="Q1298" s="77" t="s">
        <v>1667</v>
      </c>
      <c r="R1298" s="77">
        <v>0</v>
      </c>
      <c r="S1298" s="77">
        <v>0</v>
      </c>
      <c r="T1298" s="77">
        <v>0</v>
      </c>
      <c r="U1298" s="77">
        <v>0</v>
      </c>
      <c r="V1298" s="77">
        <v>8</v>
      </c>
      <c r="W1298" s="81" t="s">
        <v>1871</v>
      </c>
      <c r="X1298" s="80" t="str">
        <f>HYPERLINK("https://inovies.com")</f>
        <v>https://inovies.com</v>
      </c>
      <c r="Y1298" s="77" t="s">
        <v>1982</v>
      </c>
      <c r="Z1298" s="77"/>
      <c r="AA1298" s="77" t="s">
        <v>2665</v>
      </c>
      <c r="AB1298" s="77" t="s">
        <v>2696</v>
      </c>
      <c r="AC1298" s="81" t="s">
        <v>2707</v>
      </c>
      <c r="AD1298" s="77" t="s">
        <v>2752</v>
      </c>
      <c r="AE1298" s="80" t="str">
        <f>HYPERLINK("https://twitter.com/inovies/status/1732842670177828874")</f>
        <v>https://twitter.com/inovies/status/1732842670177828874</v>
      </c>
      <c r="AF1298" s="79">
        <v>45267.80626157407</v>
      </c>
      <c r="AG1298" s="85">
        <v>45267</v>
      </c>
      <c r="AH1298" s="81" t="s">
        <v>3839</v>
      </c>
      <c r="AI1298" s="77" t="b">
        <v>0</v>
      </c>
      <c r="AJ1298" s="77"/>
      <c r="AK1298" s="77"/>
      <c r="AL1298" s="77"/>
      <c r="AM1298" s="77"/>
      <c r="AN1298" s="77"/>
      <c r="AO1298" s="77"/>
      <c r="AP1298" s="77"/>
      <c r="AQ1298" s="77" t="s">
        <v>4479</v>
      </c>
      <c r="AR1298" s="77"/>
      <c r="AS1298" s="77"/>
      <c r="AT1298" s="77"/>
      <c r="AU1298" s="77"/>
      <c r="AV1298" s="80" t="str">
        <f>HYPERLINK("https://pbs.twimg.com/media/GAxLNx5WsAAlllj.jpg")</f>
        <v>https://pbs.twimg.com/media/GAxLNx5WsAAlllj.jpg</v>
      </c>
      <c r="AW1298" s="81" t="s">
        <v>5634</v>
      </c>
      <c r="AX1298" s="81" t="s">
        <v>5634</v>
      </c>
      <c r="AY1298" s="77"/>
      <c r="AZ1298" s="81" t="s">
        <v>5773</v>
      </c>
      <c r="BA1298" s="81" t="s">
        <v>5773</v>
      </c>
      <c r="BB1298" s="81" t="s">
        <v>5773</v>
      </c>
      <c r="BC1298" s="81" t="s">
        <v>5634</v>
      </c>
      <c r="BD1298" s="77">
        <v>297885438</v>
      </c>
      <c r="BE1298" s="77"/>
      <c r="BF1298" s="77"/>
      <c r="BG1298" s="77"/>
      <c r="BH1298" s="77"/>
      <c r="BI1298" s="77"/>
    </row>
    <row r="1299" spans="1:61" ht="15">
      <c r="A1299" s="62" t="s">
        <v>299</v>
      </c>
      <c r="B1299" s="62" t="s">
        <v>299</v>
      </c>
      <c r="C1299" s="63"/>
      <c r="D1299" s="64"/>
      <c r="E1299" s="65"/>
      <c r="F1299" s="66"/>
      <c r="G1299" s="63"/>
      <c r="H1299" s="67"/>
      <c r="I1299" s="68"/>
      <c r="J1299" s="68"/>
      <c r="K1299" s="32" t="s">
        <v>65</v>
      </c>
      <c r="L1299" s="75">
        <v>1299</v>
      </c>
      <c r="M1299" s="75"/>
      <c r="N1299" s="70"/>
      <c r="O1299" s="77" t="s">
        <v>179</v>
      </c>
      <c r="P1299" s="79">
        <v>45267.80583333333</v>
      </c>
      <c r="Q1299" s="77" t="s">
        <v>1668</v>
      </c>
      <c r="R1299" s="77">
        <v>0</v>
      </c>
      <c r="S1299" s="77">
        <v>0</v>
      </c>
      <c r="T1299" s="77">
        <v>0</v>
      </c>
      <c r="U1299" s="77">
        <v>0</v>
      </c>
      <c r="V1299" s="77">
        <v>8</v>
      </c>
      <c r="W1299" s="81" t="s">
        <v>1871</v>
      </c>
      <c r="X1299" s="80" t="str">
        <f>HYPERLINK("https://inovies.com")</f>
        <v>https://inovies.com</v>
      </c>
      <c r="Y1299" s="77" t="s">
        <v>1982</v>
      </c>
      <c r="Z1299" s="77"/>
      <c r="AA1299" s="77" t="s">
        <v>2666</v>
      </c>
      <c r="AB1299" s="77" t="s">
        <v>2696</v>
      </c>
      <c r="AC1299" s="81" t="s">
        <v>2707</v>
      </c>
      <c r="AD1299" s="77" t="s">
        <v>2752</v>
      </c>
      <c r="AE1299" s="80" t="str">
        <f>HYPERLINK("https://twitter.com/inovies/status/1732842514296476052")</f>
        <v>https://twitter.com/inovies/status/1732842514296476052</v>
      </c>
      <c r="AF1299" s="79">
        <v>45267.80583333333</v>
      </c>
      <c r="AG1299" s="85">
        <v>45267</v>
      </c>
      <c r="AH1299" s="81" t="s">
        <v>3840</v>
      </c>
      <c r="AI1299" s="77" t="b">
        <v>0</v>
      </c>
      <c r="AJ1299" s="77"/>
      <c r="AK1299" s="77"/>
      <c r="AL1299" s="77"/>
      <c r="AM1299" s="77"/>
      <c r="AN1299" s="77"/>
      <c r="AO1299" s="77"/>
      <c r="AP1299" s="77"/>
      <c r="AQ1299" s="77" t="s">
        <v>4480</v>
      </c>
      <c r="AR1299" s="77"/>
      <c r="AS1299" s="77"/>
      <c r="AT1299" s="77"/>
      <c r="AU1299" s="77"/>
      <c r="AV1299" s="80" t="str">
        <f>HYPERLINK("https://pbs.twimg.com/media/GAxLExoXkAA1kmK.jpg")</f>
        <v>https://pbs.twimg.com/media/GAxLExoXkAA1kmK.jpg</v>
      </c>
      <c r="AW1299" s="81" t="s">
        <v>5635</v>
      </c>
      <c r="AX1299" s="81" t="s">
        <v>5635</v>
      </c>
      <c r="AY1299" s="77"/>
      <c r="AZ1299" s="81" t="s">
        <v>5773</v>
      </c>
      <c r="BA1299" s="81" t="s">
        <v>5773</v>
      </c>
      <c r="BB1299" s="81" t="s">
        <v>5773</v>
      </c>
      <c r="BC1299" s="81" t="s">
        <v>5635</v>
      </c>
      <c r="BD1299" s="77">
        <v>297885438</v>
      </c>
      <c r="BE1299" s="77"/>
      <c r="BF1299" s="77"/>
      <c r="BG1299" s="77"/>
      <c r="BH1299" s="77"/>
      <c r="BI1299" s="77"/>
    </row>
    <row r="1300" spans="1:61" ht="15">
      <c r="A1300" s="62" t="s">
        <v>299</v>
      </c>
      <c r="B1300" s="62" t="s">
        <v>299</v>
      </c>
      <c r="C1300" s="63"/>
      <c r="D1300" s="64"/>
      <c r="E1300" s="65"/>
      <c r="F1300" s="66"/>
      <c r="G1300" s="63"/>
      <c r="H1300" s="67"/>
      <c r="I1300" s="68"/>
      <c r="J1300" s="68"/>
      <c r="K1300" s="32" t="s">
        <v>65</v>
      </c>
      <c r="L1300" s="75">
        <v>1300</v>
      </c>
      <c r="M1300" s="75"/>
      <c r="N1300" s="70"/>
      <c r="O1300" s="77" t="s">
        <v>179</v>
      </c>
      <c r="P1300" s="79">
        <v>45267.80520833333</v>
      </c>
      <c r="Q1300" s="77" t="s">
        <v>1669</v>
      </c>
      <c r="R1300" s="77">
        <v>0</v>
      </c>
      <c r="S1300" s="77">
        <v>0</v>
      </c>
      <c r="T1300" s="77">
        <v>0</v>
      </c>
      <c r="U1300" s="77">
        <v>0</v>
      </c>
      <c r="V1300" s="77">
        <v>8</v>
      </c>
      <c r="W1300" s="81" t="s">
        <v>1871</v>
      </c>
      <c r="X1300" s="80" t="str">
        <f>HYPERLINK("https://inovies.com")</f>
        <v>https://inovies.com</v>
      </c>
      <c r="Y1300" s="77" t="s">
        <v>1982</v>
      </c>
      <c r="Z1300" s="77"/>
      <c r="AA1300" s="77" t="s">
        <v>2667</v>
      </c>
      <c r="AB1300" s="77" t="s">
        <v>2696</v>
      </c>
      <c r="AC1300" s="81" t="s">
        <v>2707</v>
      </c>
      <c r="AD1300" s="77" t="s">
        <v>2752</v>
      </c>
      <c r="AE1300" s="80" t="str">
        <f>HYPERLINK("https://twitter.com/inovies/status/1732842288173265325")</f>
        <v>https://twitter.com/inovies/status/1732842288173265325</v>
      </c>
      <c r="AF1300" s="79">
        <v>45267.80520833333</v>
      </c>
      <c r="AG1300" s="85">
        <v>45267</v>
      </c>
      <c r="AH1300" s="81" t="s">
        <v>3841</v>
      </c>
      <c r="AI1300" s="77" t="b">
        <v>0</v>
      </c>
      <c r="AJ1300" s="77"/>
      <c r="AK1300" s="77"/>
      <c r="AL1300" s="77"/>
      <c r="AM1300" s="77"/>
      <c r="AN1300" s="77"/>
      <c r="AO1300" s="77"/>
      <c r="AP1300" s="77"/>
      <c r="AQ1300" s="77" t="s">
        <v>4481</v>
      </c>
      <c r="AR1300" s="77"/>
      <c r="AS1300" s="77"/>
      <c r="AT1300" s="77"/>
      <c r="AU1300" s="77"/>
      <c r="AV1300" s="80" t="str">
        <f>HYPERLINK("https://pbs.twimg.com/media/GAxK3iUXQAAhdiS.jpg")</f>
        <v>https://pbs.twimg.com/media/GAxK3iUXQAAhdiS.jpg</v>
      </c>
      <c r="AW1300" s="81" t="s">
        <v>5636</v>
      </c>
      <c r="AX1300" s="81" t="s">
        <v>5636</v>
      </c>
      <c r="AY1300" s="77"/>
      <c r="AZ1300" s="81" t="s">
        <v>5773</v>
      </c>
      <c r="BA1300" s="81" t="s">
        <v>5773</v>
      </c>
      <c r="BB1300" s="81" t="s">
        <v>5773</v>
      </c>
      <c r="BC1300" s="81" t="s">
        <v>5636</v>
      </c>
      <c r="BD1300" s="77">
        <v>297885438</v>
      </c>
      <c r="BE1300" s="77"/>
      <c r="BF1300" s="77"/>
      <c r="BG1300" s="77"/>
      <c r="BH1300" s="77"/>
      <c r="BI1300" s="77"/>
    </row>
    <row r="1301" spans="1:61" ht="15">
      <c r="A1301" s="62" t="s">
        <v>299</v>
      </c>
      <c r="B1301" s="62" t="s">
        <v>299</v>
      </c>
      <c r="C1301" s="63"/>
      <c r="D1301" s="64"/>
      <c r="E1301" s="65"/>
      <c r="F1301" s="66"/>
      <c r="G1301" s="63"/>
      <c r="H1301" s="67"/>
      <c r="I1301" s="68"/>
      <c r="J1301" s="68"/>
      <c r="K1301" s="32" t="s">
        <v>65</v>
      </c>
      <c r="L1301" s="75">
        <v>1301</v>
      </c>
      <c r="M1301" s="75"/>
      <c r="N1301" s="70"/>
      <c r="O1301" s="77" t="s">
        <v>179</v>
      </c>
      <c r="P1301" s="79">
        <v>45267.80482638889</v>
      </c>
      <c r="Q1301" s="77" t="s">
        <v>1670</v>
      </c>
      <c r="R1301" s="77">
        <v>0</v>
      </c>
      <c r="S1301" s="77">
        <v>0</v>
      </c>
      <c r="T1301" s="77">
        <v>0</v>
      </c>
      <c r="U1301" s="77">
        <v>0</v>
      </c>
      <c r="V1301" s="77">
        <v>8</v>
      </c>
      <c r="W1301" s="81" t="s">
        <v>1871</v>
      </c>
      <c r="X1301" s="80" t="str">
        <f>HYPERLINK("https://inovies.com")</f>
        <v>https://inovies.com</v>
      </c>
      <c r="Y1301" s="77" t="s">
        <v>1982</v>
      </c>
      <c r="Z1301" s="77"/>
      <c r="AA1301" s="77" t="s">
        <v>2668</v>
      </c>
      <c r="AB1301" s="77" t="s">
        <v>2696</v>
      </c>
      <c r="AC1301" s="81" t="s">
        <v>2707</v>
      </c>
      <c r="AD1301" s="77" t="s">
        <v>2752</v>
      </c>
      <c r="AE1301" s="80" t="str">
        <f>HYPERLINK("https://twitter.com/inovies/status/1732842146435092524")</f>
        <v>https://twitter.com/inovies/status/1732842146435092524</v>
      </c>
      <c r="AF1301" s="79">
        <v>45267.80482638889</v>
      </c>
      <c r="AG1301" s="85">
        <v>45267</v>
      </c>
      <c r="AH1301" s="81" t="s">
        <v>3842</v>
      </c>
      <c r="AI1301" s="77" t="b">
        <v>0</v>
      </c>
      <c r="AJ1301" s="77"/>
      <c r="AK1301" s="77"/>
      <c r="AL1301" s="77"/>
      <c r="AM1301" s="77"/>
      <c r="AN1301" s="77"/>
      <c r="AO1301" s="77"/>
      <c r="AP1301" s="77"/>
      <c r="AQ1301" s="77" t="s">
        <v>4482</v>
      </c>
      <c r="AR1301" s="77"/>
      <c r="AS1301" s="77"/>
      <c r="AT1301" s="77"/>
      <c r="AU1301" s="77"/>
      <c r="AV1301" s="80" t="str">
        <f>HYPERLINK("https://pbs.twimg.com/media/GAxKvWPWwAAudSX.jpg")</f>
        <v>https://pbs.twimg.com/media/GAxKvWPWwAAudSX.jpg</v>
      </c>
      <c r="AW1301" s="81" t="s">
        <v>5637</v>
      </c>
      <c r="AX1301" s="81" t="s">
        <v>5637</v>
      </c>
      <c r="AY1301" s="77"/>
      <c r="AZ1301" s="81" t="s">
        <v>5773</v>
      </c>
      <c r="BA1301" s="81" t="s">
        <v>5773</v>
      </c>
      <c r="BB1301" s="81" t="s">
        <v>5773</v>
      </c>
      <c r="BC1301" s="81" t="s">
        <v>5637</v>
      </c>
      <c r="BD1301" s="77">
        <v>297885438</v>
      </c>
      <c r="BE1301" s="77"/>
      <c r="BF1301" s="77"/>
      <c r="BG1301" s="77"/>
      <c r="BH1301" s="77"/>
      <c r="BI1301" s="77"/>
    </row>
    <row r="1302" spans="1:61" ht="15">
      <c r="A1302" s="62" t="s">
        <v>299</v>
      </c>
      <c r="B1302" s="62" t="s">
        <v>299</v>
      </c>
      <c r="C1302" s="63"/>
      <c r="D1302" s="64"/>
      <c r="E1302" s="65"/>
      <c r="F1302" s="66"/>
      <c r="G1302" s="63"/>
      <c r="H1302" s="67"/>
      <c r="I1302" s="68"/>
      <c r="J1302" s="68"/>
      <c r="K1302" s="32" t="s">
        <v>65</v>
      </c>
      <c r="L1302" s="75">
        <v>1302</v>
      </c>
      <c r="M1302" s="75"/>
      <c r="N1302" s="70"/>
      <c r="O1302" s="77" t="s">
        <v>179</v>
      </c>
      <c r="P1302" s="79">
        <v>45267.80440972222</v>
      </c>
      <c r="Q1302" s="77" t="s">
        <v>1671</v>
      </c>
      <c r="R1302" s="77">
        <v>0</v>
      </c>
      <c r="S1302" s="77">
        <v>0</v>
      </c>
      <c r="T1302" s="77">
        <v>0</v>
      </c>
      <c r="U1302" s="77">
        <v>0</v>
      </c>
      <c r="V1302" s="77">
        <v>8</v>
      </c>
      <c r="W1302" s="81" t="s">
        <v>1871</v>
      </c>
      <c r="X1302" s="80" t="str">
        <f>HYPERLINK("https://inovies.com")</f>
        <v>https://inovies.com</v>
      </c>
      <c r="Y1302" s="77" t="s">
        <v>1982</v>
      </c>
      <c r="Z1302" s="77"/>
      <c r="AA1302" s="77" t="s">
        <v>2669</v>
      </c>
      <c r="AB1302" s="77" t="s">
        <v>2696</v>
      </c>
      <c r="AC1302" s="81" t="s">
        <v>2707</v>
      </c>
      <c r="AD1302" s="77" t="s">
        <v>2752</v>
      </c>
      <c r="AE1302" s="80" t="str">
        <f>HYPERLINK("https://twitter.com/inovies/status/1732841996157395108")</f>
        <v>https://twitter.com/inovies/status/1732841996157395108</v>
      </c>
      <c r="AF1302" s="79">
        <v>45267.80440972222</v>
      </c>
      <c r="AG1302" s="85">
        <v>45267</v>
      </c>
      <c r="AH1302" s="81" t="s">
        <v>3843</v>
      </c>
      <c r="AI1302" s="77" t="b">
        <v>0</v>
      </c>
      <c r="AJ1302" s="77"/>
      <c r="AK1302" s="77"/>
      <c r="AL1302" s="77"/>
      <c r="AM1302" s="77"/>
      <c r="AN1302" s="77"/>
      <c r="AO1302" s="77"/>
      <c r="AP1302" s="77"/>
      <c r="AQ1302" s="77" t="s">
        <v>4483</v>
      </c>
      <c r="AR1302" s="77"/>
      <c r="AS1302" s="77"/>
      <c r="AT1302" s="77"/>
      <c r="AU1302" s="77"/>
      <c r="AV1302" s="80" t="str">
        <f>HYPERLINK("https://pbs.twimg.com/media/GAxKmbCW8AAh-Hl.jpg")</f>
        <v>https://pbs.twimg.com/media/GAxKmbCW8AAh-Hl.jpg</v>
      </c>
      <c r="AW1302" s="81" t="s">
        <v>5638</v>
      </c>
      <c r="AX1302" s="81" t="s">
        <v>5638</v>
      </c>
      <c r="AY1302" s="77"/>
      <c r="AZ1302" s="81" t="s">
        <v>5773</v>
      </c>
      <c r="BA1302" s="81" t="s">
        <v>5773</v>
      </c>
      <c r="BB1302" s="81" t="s">
        <v>5773</v>
      </c>
      <c r="BC1302" s="81" t="s">
        <v>5638</v>
      </c>
      <c r="BD1302" s="77">
        <v>297885438</v>
      </c>
      <c r="BE1302" s="77"/>
      <c r="BF1302" s="77"/>
      <c r="BG1302" s="77"/>
      <c r="BH1302" s="77"/>
      <c r="BI1302" s="77"/>
    </row>
    <row r="1303" spans="1:61" ht="15">
      <c r="A1303" s="62" t="s">
        <v>299</v>
      </c>
      <c r="B1303" s="62" t="s">
        <v>299</v>
      </c>
      <c r="C1303" s="63"/>
      <c r="D1303" s="64"/>
      <c r="E1303" s="65"/>
      <c r="F1303" s="66"/>
      <c r="G1303" s="63"/>
      <c r="H1303" s="67"/>
      <c r="I1303" s="68"/>
      <c r="J1303" s="68"/>
      <c r="K1303" s="32" t="s">
        <v>65</v>
      </c>
      <c r="L1303" s="75">
        <v>1303</v>
      </c>
      <c r="M1303" s="75"/>
      <c r="N1303" s="70"/>
      <c r="O1303" s="77" t="s">
        <v>179</v>
      </c>
      <c r="P1303" s="79">
        <v>45267.803981481484</v>
      </c>
      <c r="Q1303" s="77" t="s">
        <v>1672</v>
      </c>
      <c r="R1303" s="77">
        <v>0</v>
      </c>
      <c r="S1303" s="77">
        <v>0</v>
      </c>
      <c r="T1303" s="77">
        <v>0</v>
      </c>
      <c r="U1303" s="77">
        <v>0</v>
      </c>
      <c r="V1303" s="77">
        <v>7</v>
      </c>
      <c r="W1303" s="81" t="s">
        <v>1871</v>
      </c>
      <c r="X1303" s="80" t="str">
        <f>HYPERLINK("https://inovies.com")</f>
        <v>https://inovies.com</v>
      </c>
      <c r="Y1303" s="77" t="s">
        <v>1982</v>
      </c>
      <c r="Z1303" s="77"/>
      <c r="AA1303" s="77" t="s">
        <v>2670</v>
      </c>
      <c r="AB1303" s="77" t="s">
        <v>2696</v>
      </c>
      <c r="AC1303" s="81" t="s">
        <v>2707</v>
      </c>
      <c r="AD1303" s="77" t="s">
        <v>2752</v>
      </c>
      <c r="AE1303" s="80" t="str">
        <f>HYPERLINK("https://twitter.com/inovies/status/1732841842050240895")</f>
        <v>https://twitter.com/inovies/status/1732841842050240895</v>
      </c>
      <c r="AF1303" s="79">
        <v>45267.803981481484</v>
      </c>
      <c r="AG1303" s="85">
        <v>45267</v>
      </c>
      <c r="AH1303" s="81" t="s">
        <v>3844</v>
      </c>
      <c r="AI1303" s="77" t="b">
        <v>0</v>
      </c>
      <c r="AJ1303" s="77"/>
      <c r="AK1303" s="77"/>
      <c r="AL1303" s="77"/>
      <c r="AM1303" s="77"/>
      <c r="AN1303" s="77"/>
      <c r="AO1303" s="77"/>
      <c r="AP1303" s="77"/>
      <c r="AQ1303" s="77" t="s">
        <v>4484</v>
      </c>
      <c r="AR1303" s="77"/>
      <c r="AS1303" s="77"/>
      <c r="AT1303" s="77"/>
      <c r="AU1303" s="77"/>
      <c r="AV1303" s="80" t="str">
        <f>HYPERLINK("https://pbs.twimg.com/media/GAxKdu4WQAA8Q1l.jpg")</f>
        <v>https://pbs.twimg.com/media/GAxKdu4WQAA8Q1l.jpg</v>
      </c>
      <c r="AW1303" s="81" t="s">
        <v>5639</v>
      </c>
      <c r="AX1303" s="81" t="s">
        <v>5639</v>
      </c>
      <c r="AY1303" s="77"/>
      <c r="AZ1303" s="81" t="s">
        <v>5773</v>
      </c>
      <c r="BA1303" s="81" t="s">
        <v>5773</v>
      </c>
      <c r="BB1303" s="81" t="s">
        <v>5773</v>
      </c>
      <c r="BC1303" s="81" t="s">
        <v>5639</v>
      </c>
      <c r="BD1303" s="77">
        <v>297885438</v>
      </c>
      <c r="BE1303" s="77"/>
      <c r="BF1303" s="77"/>
      <c r="BG1303" s="77"/>
      <c r="BH1303" s="77"/>
      <c r="BI1303" s="77"/>
    </row>
    <row r="1304" spans="1:61" ht="15">
      <c r="A1304" s="62" t="s">
        <v>299</v>
      </c>
      <c r="B1304" s="62" t="s">
        <v>299</v>
      </c>
      <c r="C1304" s="63"/>
      <c r="D1304" s="64"/>
      <c r="E1304" s="65"/>
      <c r="F1304" s="66"/>
      <c r="G1304" s="63"/>
      <c r="H1304" s="67"/>
      <c r="I1304" s="68"/>
      <c r="J1304" s="68"/>
      <c r="K1304" s="32" t="s">
        <v>65</v>
      </c>
      <c r="L1304" s="75">
        <v>1304</v>
      </c>
      <c r="M1304" s="75"/>
      <c r="N1304" s="70"/>
      <c r="O1304" s="77" t="s">
        <v>179</v>
      </c>
      <c r="P1304" s="79">
        <v>45267.761145833334</v>
      </c>
      <c r="Q1304" s="77" t="s">
        <v>1673</v>
      </c>
      <c r="R1304" s="77">
        <v>0</v>
      </c>
      <c r="S1304" s="77">
        <v>0</v>
      </c>
      <c r="T1304" s="77">
        <v>0</v>
      </c>
      <c r="U1304" s="77">
        <v>0</v>
      </c>
      <c r="V1304" s="77">
        <v>6</v>
      </c>
      <c r="W1304" s="81" t="s">
        <v>1871</v>
      </c>
      <c r="X1304" s="80" t="str">
        <f>HYPERLINK("https://inovies.com")</f>
        <v>https://inovies.com</v>
      </c>
      <c r="Y1304" s="77" t="s">
        <v>1982</v>
      </c>
      <c r="Z1304" s="77"/>
      <c r="AA1304" s="77" t="s">
        <v>2671</v>
      </c>
      <c r="AB1304" s="77" t="s">
        <v>2696</v>
      </c>
      <c r="AC1304" s="81" t="s">
        <v>2707</v>
      </c>
      <c r="AD1304" s="77" t="s">
        <v>2752</v>
      </c>
      <c r="AE1304" s="80" t="str">
        <f>HYPERLINK("https://twitter.com/inovies/status/1732826318801142177")</f>
        <v>https://twitter.com/inovies/status/1732826318801142177</v>
      </c>
      <c r="AF1304" s="79">
        <v>45267.761145833334</v>
      </c>
      <c r="AG1304" s="85">
        <v>45267</v>
      </c>
      <c r="AH1304" s="81" t="s">
        <v>3845</v>
      </c>
      <c r="AI1304" s="77" t="b">
        <v>0</v>
      </c>
      <c r="AJ1304" s="77"/>
      <c r="AK1304" s="77"/>
      <c r="AL1304" s="77"/>
      <c r="AM1304" s="77"/>
      <c r="AN1304" s="77"/>
      <c r="AO1304" s="77"/>
      <c r="AP1304" s="77"/>
      <c r="AQ1304" s="77" t="s">
        <v>4485</v>
      </c>
      <c r="AR1304" s="77"/>
      <c r="AS1304" s="77"/>
      <c r="AT1304" s="77"/>
      <c r="AU1304" s="77"/>
      <c r="AV1304" s="80" t="str">
        <f>HYPERLINK("https://pbs.twimg.com/media/GAw8WIbXkAA0wJN.jpg")</f>
        <v>https://pbs.twimg.com/media/GAw8WIbXkAA0wJN.jpg</v>
      </c>
      <c r="AW1304" s="81" t="s">
        <v>5640</v>
      </c>
      <c r="AX1304" s="81" t="s">
        <v>5640</v>
      </c>
      <c r="AY1304" s="77"/>
      <c r="AZ1304" s="81" t="s">
        <v>5773</v>
      </c>
      <c r="BA1304" s="81" t="s">
        <v>5773</v>
      </c>
      <c r="BB1304" s="81" t="s">
        <v>5773</v>
      </c>
      <c r="BC1304" s="81" t="s">
        <v>5640</v>
      </c>
      <c r="BD1304" s="77">
        <v>297885438</v>
      </c>
      <c r="BE1304" s="77"/>
      <c r="BF1304" s="77"/>
      <c r="BG1304" s="77"/>
      <c r="BH1304" s="77"/>
      <c r="BI1304" s="77"/>
    </row>
    <row r="1305" spans="1:61" ht="15">
      <c r="A1305" s="62" t="s">
        <v>299</v>
      </c>
      <c r="B1305" s="62" t="s">
        <v>299</v>
      </c>
      <c r="C1305" s="63"/>
      <c r="D1305" s="64"/>
      <c r="E1305" s="65"/>
      <c r="F1305" s="66"/>
      <c r="G1305" s="63"/>
      <c r="H1305" s="67"/>
      <c r="I1305" s="68"/>
      <c r="J1305" s="68"/>
      <c r="K1305" s="32" t="s">
        <v>65</v>
      </c>
      <c r="L1305" s="75">
        <v>1305</v>
      </c>
      <c r="M1305" s="75"/>
      <c r="N1305" s="70"/>
      <c r="O1305" s="77" t="s">
        <v>179</v>
      </c>
      <c r="P1305" s="79">
        <v>45267.76079861111</v>
      </c>
      <c r="Q1305" s="77" t="s">
        <v>1674</v>
      </c>
      <c r="R1305" s="77">
        <v>0</v>
      </c>
      <c r="S1305" s="77">
        <v>0</v>
      </c>
      <c r="T1305" s="77">
        <v>0</v>
      </c>
      <c r="U1305" s="77">
        <v>0</v>
      </c>
      <c r="V1305" s="77">
        <v>5</v>
      </c>
      <c r="W1305" s="81" t="s">
        <v>1871</v>
      </c>
      <c r="X1305" s="80" t="str">
        <f>HYPERLINK("https://inovies.com")</f>
        <v>https://inovies.com</v>
      </c>
      <c r="Y1305" s="77" t="s">
        <v>1982</v>
      </c>
      <c r="Z1305" s="77"/>
      <c r="AA1305" s="77" t="s">
        <v>2672</v>
      </c>
      <c r="AB1305" s="77" t="s">
        <v>2696</v>
      </c>
      <c r="AC1305" s="81" t="s">
        <v>2707</v>
      </c>
      <c r="AD1305" s="77" t="s">
        <v>2752</v>
      </c>
      <c r="AE1305" s="80" t="str">
        <f>HYPERLINK("https://twitter.com/inovies/status/1732826193554976937")</f>
        <v>https://twitter.com/inovies/status/1732826193554976937</v>
      </c>
      <c r="AF1305" s="79">
        <v>45267.76079861111</v>
      </c>
      <c r="AG1305" s="85">
        <v>45267</v>
      </c>
      <c r="AH1305" s="81" t="s">
        <v>3846</v>
      </c>
      <c r="AI1305" s="77" t="b">
        <v>0</v>
      </c>
      <c r="AJ1305" s="77"/>
      <c r="AK1305" s="77"/>
      <c r="AL1305" s="77"/>
      <c r="AM1305" s="77"/>
      <c r="AN1305" s="77"/>
      <c r="AO1305" s="77"/>
      <c r="AP1305" s="77"/>
      <c r="AQ1305" s="77" t="s">
        <v>4486</v>
      </c>
      <c r="AR1305" s="77"/>
      <c r="AS1305" s="77"/>
      <c r="AT1305" s="77"/>
      <c r="AU1305" s="77"/>
      <c r="AV1305" s="80" t="str">
        <f>HYPERLINK("https://pbs.twimg.com/media/GAw8O3OWcAAXy8W.jpg")</f>
        <v>https://pbs.twimg.com/media/GAw8O3OWcAAXy8W.jpg</v>
      </c>
      <c r="AW1305" s="81" t="s">
        <v>5641</v>
      </c>
      <c r="AX1305" s="81" t="s">
        <v>5641</v>
      </c>
      <c r="AY1305" s="77"/>
      <c r="AZ1305" s="81" t="s">
        <v>5773</v>
      </c>
      <c r="BA1305" s="81" t="s">
        <v>5773</v>
      </c>
      <c r="BB1305" s="81" t="s">
        <v>5773</v>
      </c>
      <c r="BC1305" s="81" t="s">
        <v>5641</v>
      </c>
      <c r="BD1305" s="77">
        <v>297885438</v>
      </c>
      <c r="BE1305" s="77"/>
      <c r="BF1305" s="77"/>
      <c r="BG1305" s="77"/>
      <c r="BH1305" s="77"/>
      <c r="BI1305" s="77"/>
    </row>
    <row r="1306" spans="1:61" ht="15">
      <c r="A1306" s="62" t="s">
        <v>299</v>
      </c>
      <c r="B1306" s="62" t="s">
        <v>299</v>
      </c>
      <c r="C1306" s="63"/>
      <c r="D1306" s="64"/>
      <c r="E1306" s="65"/>
      <c r="F1306" s="66"/>
      <c r="G1306" s="63"/>
      <c r="H1306" s="67"/>
      <c r="I1306" s="68"/>
      <c r="J1306" s="68"/>
      <c r="K1306" s="32" t="s">
        <v>65</v>
      </c>
      <c r="L1306" s="75">
        <v>1306</v>
      </c>
      <c r="M1306" s="75"/>
      <c r="N1306" s="70"/>
      <c r="O1306" s="77" t="s">
        <v>179</v>
      </c>
      <c r="P1306" s="79">
        <v>45267.76039351852</v>
      </c>
      <c r="Q1306" s="77" t="s">
        <v>1675</v>
      </c>
      <c r="R1306" s="77">
        <v>0</v>
      </c>
      <c r="S1306" s="77">
        <v>0</v>
      </c>
      <c r="T1306" s="77">
        <v>0</v>
      </c>
      <c r="U1306" s="77">
        <v>0</v>
      </c>
      <c r="V1306" s="77">
        <v>5</v>
      </c>
      <c r="W1306" s="81" t="s">
        <v>1871</v>
      </c>
      <c r="X1306" s="80" t="str">
        <f>HYPERLINK("https://inovies.com")</f>
        <v>https://inovies.com</v>
      </c>
      <c r="Y1306" s="77" t="s">
        <v>1982</v>
      </c>
      <c r="Z1306" s="77"/>
      <c r="AA1306" s="77" t="s">
        <v>2673</v>
      </c>
      <c r="AB1306" s="77" t="s">
        <v>2696</v>
      </c>
      <c r="AC1306" s="81" t="s">
        <v>2707</v>
      </c>
      <c r="AD1306" s="77" t="s">
        <v>2752</v>
      </c>
      <c r="AE1306" s="80" t="str">
        <f>HYPERLINK("https://twitter.com/inovies/status/1732826045542211755")</f>
        <v>https://twitter.com/inovies/status/1732826045542211755</v>
      </c>
      <c r="AF1306" s="79">
        <v>45267.76039351852</v>
      </c>
      <c r="AG1306" s="85">
        <v>45267</v>
      </c>
      <c r="AH1306" s="81" t="s">
        <v>3847</v>
      </c>
      <c r="AI1306" s="77" t="b">
        <v>0</v>
      </c>
      <c r="AJ1306" s="77"/>
      <c r="AK1306" s="77"/>
      <c r="AL1306" s="77"/>
      <c r="AM1306" s="77"/>
      <c r="AN1306" s="77"/>
      <c r="AO1306" s="77"/>
      <c r="AP1306" s="77"/>
      <c r="AQ1306" s="77" t="s">
        <v>4487</v>
      </c>
      <c r="AR1306" s="77"/>
      <c r="AS1306" s="77"/>
      <c r="AT1306" s="77"/>
      <c r="AU1306" s="77"/>
      <c r="AV1306" s="80" t="str">
        <f>HYPERLINK("https://pbs.twimg.com/media/GAw8GQMWwAANr9n.jpg")</f>
        <v>https://pbs.twimg.com/media/GAw8GQMWwAANr9n.jpg</v>
      </c>
      <c r="AW1306" s="81" t="s">
        <v>5642</v>
      </c>
      <c r="AX1306" s="81" t="s">
        <v>5642</v>
      </c>
      <c r="AY1306" s="77"/>
      <c r="AZ1306" s="81" t="s">
        <v>5773</v>
      </c>
      <c r="BA1306" s="81" t="s">
        <v>5773</v>
      </c>
      <c r="BB1306" s="81" t="s">
        <v>5773</v>
      </c>
      <c r="BC1306" s="81" t="s">
        <v>5642</v>
      </c>
      <c r="BD1306" s="77">
        <v>297885438</v>
      </c>
      <c r="BE1306" s="77"/>
      <c r="BF1306" s="77"/>
      <c r="BG1306" s="77"/>
      <c r="BH1306" s="77"/>
      <c r="BI1306" s="77"/>
    </row>
    <row r="1307" spans="1:61" ht="15">
      <c r="A1307" s="62" t="s">
        <v>299</v>
      </c>
      <c r="B1307" s="62" t="s">
        <v>299</v>
      </c>
      <c r="C1307" s="63"/>
      <c r="D1307" s="64"/>
      <c r="E1307" s="65"/>
      <c r="F1307" s="66"/>
      <c r="G1307" s="63"/>
      <c r="H1307" s="67"/>
      <c r="I1307" s="68"/>
      <c r="J1307" s="68"/>
      <c r="K1307" s="32" t="s">
        <v>65</v>
      </c>
      <c r="L1307" s="75">
        <v>1307</v>
      </c>
      <c r="M1307" s="75"/>
      <c r="N1307" s="70"/>
      <c r="O1307" s="77" t="s">
        <v>179</v>
      </c>
      <c r="P1307" s="79">
        <v>45267.759988425925</v>
      </c>
      <c r="Q1307" s="77" t="s">
        <v>1676</v>
      </c>
      <c r="R1307" s="77">
        <v>0</v>
      </c>
      <c r="S1307" s="77">
        <v>0</v>
      </c>
      <c r="T1307" s="77">
        <v>0</v>
      </c>
      <c r="U1307" s="77">
        <v>0</v>
      </c>
      <c r="V1307" s="77">
        <v>6</v>
      </c>
      <c r="W1307" s="81" t="s">
        <v>1871</v>
      </c>
      <c r="X1307" s="80" t="str">
        <f>HYPERLINK("https://inovies.com")</f>
        <v>https://inovies.com</v>
      </c>
      <c r="Y1307" s="77" t="s">
        <v>1982</v>
      </c>
      <c r="Z1307" s="77"/>
      <c r="AA1307" s="77" t="s">
        <v>2674</v>
      </c>
      <c r="AB1307" s="77" t="s">
        <v>2696</v>
      </c>
      <c r="AC1307" s="81" t="s">
        <v>2707</v>
      </c>
      <c r="AD1307" s="77" t="s">
        <v>2752</v>
      </c>
      <c r="AE1307" s="80" t="str">
        <f>HYPERLINK("https://twitter.com/inovies/status/1732825898242527391")</f>
        <v>https://twitter.com/inovies/status/1732825898242527391</v>
      </c>
      <c r="AF1307" s="79">
        <v>45267.759988425925</v>
      </c>
      <c r="AG1307" s="85">
        <v>45267</v>
      </c>
      <c r="AH1307" s="81" t="s">
        <v>3848</v>
      </c>
      <c r="AI1307" s="77" t="b">
        <v>0</v>
      </c>
      <c r="AJ1307" s="77"/>
      <c r="AK1307" s="77"/>
      <c r="AL1307" s="77"/>
      <c r="AM1307" s="77"/>
      <c r="AN1307" s="77"/>
      <c r="AO1307" s="77"/>
      <c r="AP1307" s="77"/>
      <c r="AQ1307" s="77" t="s">
        <v>4488</v>
      </c>
      <c r="AR1307" s="77"/>
      <c r="AS1307" s="77"/>
      <c r="AT1307" s="77"/>
      <c r="AU1307" s="77"/>
      <c r="AV1307" s="80" t="str">
        <f>HYPERLINK("https://pbs.twimg.com/media/GAw79tyW0AAfBtd.jpg")</f>
        <v>https://pbs.twimg.com/media/GAw79tyW0AAfBtd.jpg</v>
      </c>
      <c r="AW1307" s="81" t="s">
        <v>5643</v>
      </c>
      <c r="AX1307" s="81" t="s">
        <v>5643</v>
      </c>
      <c r="AY1307" s="77"/>
      <c r="AZ1307" s="81" t="s">
        <v>5773</v>
      </c>
      <c r="BA1307" s="81" t="s">
        <v>5773</v>
      </c>
      <c r="BB1307" s="81" t="s">
        <v>5773</v>
      </c>
      <c r="BC1307" s="81" t="s">
        <v>5643</v>
      </c>
      <c r="BD1307" s="77">
        <v>297885438</v>
      </c>
      <c r="BE1307" s="77"/>
      <c r="BF1307" s="77"/>
      <c r="BG1307" s="77"/>
      <c r="BH1307" s="77"/>
      <c r="BI1307" s="77"/>
    </row>
    <row r="1308" spans="1:61" ht="15">
      <c r="A1308" s="62" t="s">
        <v>299</v>
      </c>
      <c r="B1308" s="62" t="s">
        <v>299</v>
      </c>
      <c r="C1308" s="63"/>
      <c r="D1308" s="64"/>
      <c r="E1308" s="65"/>
      <c r="F1308" s="66"/>
      <c r="G1308" s="63"/>
      <c r="H1308" s="67"/>
      <c r="I1308" s="68"/>
      <c r="J1308" s="68"/>
      <c r="K1308" s="32" t="s">
        <v>65</v>
      </c>
      <c r="L1308" s="75">
        <v>1308</v>
      </c>
      <c r="M1308" s="75"/>
      <c r="N1308" s="70"/>
      <c r="O1308" s="77" t="s">
        <v>179</v>
      </c>
      <c r="P1308" s="79">
        <v>45267.759618055556</v>
      </c>
      <c r="Q1308" s="77" t="s">
        <v>1677</v>
      </c>
      <c r="R1308" s="77">
        <v>0</v>
      </c>
      <c r="S1308" s="77">
        <v>0</v>
      </c>
      <c r="T1308" s="77">
        <v>0</v>
      </c>
      <c r="U1308" s="77">
        <v>0</v>
      </c>
      <c r="V1308" s="77">
        <v>5</v>
      </c>
      <c r="W1308" s="81" t="s">
        <v>1871</v>
      </c>
      <c r="X1308" s="80" t="str">
        <f>HYPERLINK("https://inovies.com")</f>
        <v>https://inovies.com</v>
      </c>
      <c r="Y1308" s="77" t="s">
        <v>1982</v>
      </c>
      <c r="Z1308" s="77"/>
      <c r="AA1308" s="77" t="s">
        <v>2675</v>
      </c>
      <c r="AB1308" s="77" t="s">
        <v>2696</v>
      </c>
      <c r="AC1308" s="81" t="s">
        <v>2707</v>
      </c>
      <c r="AD1308" s="77" t="s">
        <v>2752</v>
      </c>
      <c r="AE1308" s="80" t="str">
        <f>HYPERLINK("https://twitter.com/inovies/status/1732825767153672427")</f>
        <v>https://twitter.com/inovies/status/1732825767153672427</v>
      </c>
      <c r="AF1308" s="79">
        <v>45267.759618055556</v>
      </c>
      <c r="AG1308" s="85">
        <v>45267</v>
      </c>
      <c r="AH1308" s="81" t="s">
        <v>3849</v>
      </c>
      <c r="AI1308" s="77" t="b">
        <v>0</v>
      </c>
      <c r="AJ1308" s="77"/>
      <c r="AK1308" s="77"/>
      <c r="AL1308" s="77"/>
      <c r="AM1308" s="77"/>
      <c r="AN1308" s="77"/>
      <c r="AO1308" s="77"/>
      <c r="AP1308" s="77"/>
      <c r="AQ1308" s="77" t="s">
        <v>4489</v>
      </c>
      <c r="AR1308" s="77"/>
      <c r="AS1308" s="77"/>
      <c r="AT1308" s="77"/>
      <c r="AU1308" s="77"/>
      <c r="AV1308" s="80" t="str">
        <f>HYPERLINK("https://pbs.twimg.com/media/GAw7170WcAAhBhU.jpg")</f>
        <v>https://pbs.twimg.com/media/GAw7170WcAAhBhU.jpg</v>
      </c>
      <c r="AW1308" s="81" t="s">
        <v>5644</v>
      </c>
      <c r="AX1308" s="81" t="s">
        <v>5644</v>
      </c>
      <c r="AY1308" s="77"/>
      <c r="AZ1308" s="81" t="s">
        <v>5773</v>
      </c>
      <c r="BA1308" s="81" t="s">
        <v>5773</v>
      </c>
      <c r="BB1308" s="81" t="s">
        <v>5773</v>
      </c>
      <c r="BC1308" s="81" t="s">
        <v>5644</v>
      </c>
      <c r="BD1308" s="77">
        <v>297885438</v>
      </c>
      <c r="BE1308" s="77"/>
      <c r="BF1308" s="77"/>
      <c r="BG1308" s="77"/>
      <c r="BH1308" s="77"/>
      <c r="BI1308" s="77"/>
    </row>
    <row r="1309" spans="1:61" ht="15">
      <c r="A1309" s="62" t="s">
        <v>299</v>
      </c>
      <c r="B1309" s="62" t="s">
        <v>299</v>
      </c>
      <c r="C1309" s="63"/>
      <c r="D1309" s="64"/>
      <c r="E1309" s="65"/>
      <c r="F1309" s="66"/>
      <c r="G1309" s="63"/>
      <c r="H1309" s="67"/>
      <c r="I1309" s="68"/>
      <c r="J1309" s="68"/>
      <c r="K1309" s="32" t="s">
        <v>65</v>
      </c>
      <c r="L1309" s="75">
        <v>1309</v>
      </c>
      <c r="M1309" s="75"/>
      <c r="N1309" s="70"/>
      <c r="O1309" s="77" t="s">
        <v>179</v>
      </c>
      <c r="P1309" s="79">
        <v>45267.759201388886</v>
      </c>
      <c r="Q1309" s="77" t="s">
        <v>1678</v>
      </c>
      <c r="R1309" s="77">
        <v>0</v>
      </c>
      <c r="S1309" s="77">
        <v>0</v>
      </c>
      <c r="T1309" s="77">
        <v>0</v>
      </c>
      <c r="U1309" s="77">
        <v>0</v>
      </c>
      <c r="V1309" s="77">
        <v>5</v>
      </c>
      <c r="W1309" s="81" t="s">
        <v>1871</v>
      </c>
      <c r="X1309" s="80" t="str">
        <f>HYPERLINK("https://inovies.com")</f>
        <v>https://inovies.com</v>
      </c>
      <c r="Y1309" s="77" t="s">
        <v>1982</v>
      </c>
      <c r="Z1309" s="77"/>
      <c r="AA1309" s="77" t="s">
        <v>2676</v>
      </c>
      <c r="AB1309" s="77" t="s">
        <v>2696</v>
      </c>
      <c r="AC1309" s="81" t="s">
        <v>2707</v>
      </c>
      <c r="AD1309" s="77" t="s">
        <v>2752</v>
      </c>
      <c r="AE1309" s="80" t="str">
        <f>HYPERLINK("https://twitter.com/inovies/status/1732825616020377611")</f>
        <v>https://twitter.com/inovies/status/1732825616020377611</v>
      </c>
      <c r="AF1309" s="79">
        <v>45267.759201388886</v>
      </c>
      <c r="AG1309" s="85">
        <v>45267</v>
      </c>
      <c r="AH1309" s="81" t="s">
        <v>3850</v>
      </c>
      <c r="AI1309" s="77" t="b">
        <v>0</v>
      </c>
      <c r="AJ1309" s="77"/>
      <c r="AK1309" s="77"/>
      <c r="AL1309" s="77"/>
      <c r="AM1309" s="77"/>
      <c r="AN1309" s="77"/>
      <c r="AO1309" s="77"/>
      <c r="AP1309" s="77"/>
      <c r="AQ1309" s="77" t="s">
        <v>4490</v>
      </c>
      <c r="AR1309" s="77"/>
      <c r="AS1309" s="77"/>
      <c r="AT1309" s="77"/>
      <c r="AU1309" s="77"/>
      <c r="AV1309" s="80" t="str">
        <f>HYPERLINK("https://pbs.twimg.com/media/GAw7tJEWoAEUH29.jpg")</f>
        <v>https://pbs.twimg.com/media/GAw7tJEWoAEUH29.jpg</v>
      </c>
      <c r="AW1309" s="81" t="s">
        <v>5645</v>
      </c>
      <c r="AX1309" s="81" t="s">
        <v>5645</v>
      </c>
      <c r="AY1309" s="77"/>
      <c r="AZ1309" s="81" t="s">
        <v>5773</v>
      </c>
      <c r="BA1309" s="81" t="s">
        <v>5773</v>
      </c>
      <c r="BB1309" s="81" t="s">
        <v>5773</v>
      </c>
      <c r="BC1309" s="81" t="s">
        <v>5645</v>
      </c>
      <c r="BD1309" s="77">
        <v>297885438</v>
      </c>
      <c r="BE1309" s="77"/>
      <c r="BF1309" s="77"/>
      <c r="BG1309" s="77"/>
      <c r="BH1309" s="77"/>
      <c r="BI1309" s="77"/>
    </row>
    <row r="1310" spans="1:61" ht="15">
      <c r="A1310" s="62" t="s">
        <v>299</v>
      </c>
      <c r="B1310" s="62" t="s">
        <v>299</v>
      </c>
      <c r="C1310" s="63"/>
      <c r="D1310" s="64"/>
      <c r="E1310" s="65"/>
      <c r="F1310" s="66"/>
      <c r="G1310" s="63"/>
      <c r="H1310" s="67"/>
      <c r="I1310" s="68"/>
      <c r="J1310" s="68"/>
      <c r="K1310" s="32" t="s">
        <v>65</v>
      </c>
      <c r="L1310" s="75">
        <v>1310</v>
      </c>
      <c r="M1310" s="75"/>
      <c r="N1310" s="70"/>
      <c r="O1310" s="77" t="s">
        <v>179</v>
      </c>
      <c r="P1310" s="79">
        <v>45267.75881944445</v>
      </c>
      <c r="Q1310" s="77" t="s">
        <v>1679</v>
      </c>
      <c r="R1310" s="77">
        <v>0</v>
      </c>
      <c r="S1310" s="77">
        <v>0</v>
      </c>
      <c r="T1310" s="77">
        <v>0</v>
      </c>
      <c r="U1310" s="77">
        <v>0</v>
      </c>
      <c r="V1310" s="77">
        <v>6</v>
      </c>
      <c r="W1310" s="81" t="s">
        <v>1871</v>
      </c>
      <c r="X1310" s="80" t="str">
        <f>HYPERLINK("https://inovies.com")</f>
        <v>https://inovies.com</v>
      </c>
      <c r="Y1310" s="77" t="s">
        <v>1982</v>
      </c>
      <c r="Z1310" s="77"/>
      <c r="AA1310" s="77" t="s">
        <v>2677</v>
      </c>
      <c r="AB1310" s="77" t="s">
        <v>2696</v>
      </c>
      <c r="AC1310" s="81" t="s">
        <v>2707</v>
      </c>
      <c r="AD1310" s="77" t="s">
        <v>2752</v>
      </c>
      <c r="AE1310" s="80" t="str">
        <f>HYPERLINK("https://twitter.com/inovies/status/1732825474408079497")</f>
        <v>https://twitter.com/inovies/status/1732825474408079497</v>
      </c>
      <c r="AF1310" s="79">
        <v>45267.75881944445</v>
      </c>
      <c r="AG1310" s="85">
        <v>45267</v>
      </c>
      <c r="AH1310" s="81" t="s">
        <v>3851</v>
      </c>
      <c r="AI1310" s="77" t="b">
        <v>0</v>
      </c>
      <c r="AJ1310" s="77"/>
      <c r="AK1310" s="77"/>
      <c r="AL1310" s="77"/>
      <c r="AM1310" s="77"/>
      <c r="AN1310" s="77"/>
      <c r="AO1310" s="77"/>
      <c r="AP1310" s="77"/>
      <c r="AQ1310" s="77" t="s">
        <v>4491</v>
      </c>
      <c r="AR1310" s="77"/>
      <c r="AS1310" s="77"/>
      <c r="AT1310" s="77"/>
      <c r="AU1310" s="77"/>
      <c r="AV1310" s="80" t="str">
        <f>HYPERLINK("https://pbs.twimg.com/media/GAw7k_7WoAgSOqN.jpg")</f>
        <v>https://pbs.twimg.com/media/GAw7k_7WoAgSOqN.jpg</v>
      </c>
      <c r="AW1310" s="81" t="s">
        <v>5646</v>
      </c>
      <c r="AX1310" s="81" t="s">
        <v>5646</v>
      </c>
      <c r="AY1310" s="77"/>
      <c r="AZ1310" s="81" t="s">
        <v>5773</v>
      </c>
      <c r="BA1310" s="81" t="s">
        <v>5773</v>
      </c>
      <c r="BB1310" s="81" t="s">
        <v>5773</v>
      </c>
      <c r="BC1310" s="81" t="s">
        <v>5646</v>
      </c>
      <c r="BD1310" s="77">
        <v>297885438</v>
      </c>
      <c r="BE1310" s="77"/>
      <c r="BF1310" s="77"/>
      <c r="BG1310" s="77"/>
      <c r="BH1310" s="77"/>
      <c r="BI1310" s="77"/>
    </row>
    <row r="1311" spans="1:61" ht="15">
      <c r="A1311" s="62" t="s">
        <v>299</v>
      </c>
      <c r="B1311" s="62" t="s">
        <v>299</v>
      </c>
      <c r="C1311" s="63"/>
      <c r="D1311" s="64"/>
      <c r="E1311" s="65"/>
      <c r="F1311" s="66"/>
      <c r="G1311" s="63"/>
      <c r="H1311" s="67"/>
      <c r="I1311" s="68"/>
      <c r="J1311" s="68"/>
      <c r="K1311" s="32" t="s">
        <v>65</v>
      </c>
      <c r="L1311" s="75">
        <v>1311</v>
      </c>
      <c r="M1311" s="75"/>
      <c r="N1311" s="70"/>
      <c r="O1311" s="77" t="s">
        <v>179</v>
      </c>
      <c r="P1311" s="79">
        <v>45267.758414351854</v>
      </c>
      <c r="Q1311" s="77" t="s">
        <v>1680</v>
      </c>
      <c r="R1311" s="77">
        <v>0</v>
      </c>
      <c r="S1311" s="77">
        <v>0</v>
      </c>
      <c r="T1311" s="77">
        <v>0</v>
      </c>
      <c r="U1311" s="77">
        <v>0</v>
      </c>
      <c r="V1311" s="77">
        <v>4</v>
      </c>
      <c r="W1311" s="81" t="s">
        <v>1871</v>
      </c>
      <c r="X1311" s="80" t="str">
        <f>HYPERLINK("https://inovies.com")</f>
        <v>https://inovies.com</v>
      </c>
      <c r="Y1311" s="77" t="s">
        <v>1982</v>
      </c>
      <c r="Z1311" s="77"/>
      <c r="AA1311" s="77" t="s">
        <v>2678</v>
      </c>
      <c r="AB1311" s="77" t="s">
        <v>2696</v>
      </c>
      <c r="AC1311" s="81" t="s">
        <v>2707</v>
      </c>
      <c r="AD1311" s="77" t="s">
        <v>2752</v>
      </c>
      <c r="AE1311" s="80" t="str">
        <f>HYPERLINK("https://twitter.com/inovies/status/1732825330543423708")</f>
        <v>https://twitter.com/inovies/status/1732825330543423708</v>
      </c>
      <c r="AF1311" s="79">
        <v>45267.758414351854</v>
      </c>
      <c r="AG1311" s="85">
        <v>45267</v>
      </c>
      <c r="AH1311" s="81" t="s">
        <v>3852</v>
      </c>
      <c r="AI1311" s="77" t="b">
        <v>0</v>
      </c>
      <c r="AJ1311" s="77"/>
      <c r="AK1311" s="77"/>
      <c r="AL1311" s="77"/>
      <c r="AM1311" s="77"/>
      <c r="AN1311" s="77"/>
      <c r="AO1311" s="77"/>
      <c r="AP1311" s="77"/>
      <c r="AQ1311" s="77" t="s">
        <v>4492</v>
      </c>
      <c r="AR1311" s="77"/>
      <c r="AS1311" s="77"/>
      <c r="AT1311" s="77"/>
      <c r="AU1311" s="77"/>
      <c r="AV1311" s="80" t="str">
        <f>HYPERLINK("https://pbs.twimg.com/media/GAw7bdtWsAAGdLI.jpg")</f>
        <v>https://pbs.twimg.com/media/GAw7bdtWsAAGdLI.jpg</v>
      </c>
      <c r="AW1311" s="81" t="s">
        <v>5647</v>
      </c>
      <c r="AX1311" s="81" t="s">
        <v>5647</v>
      </c>
      <c r="AY1311" s="77"/>
      <c r="AZ1311" s="81" t="s">
        <v>5773</v>
      </c>
      <c r="BA1311" s="81" t="s">
        <v>5773</v>
      </c>
      <c r="BB1311" s="81" t="s">
        <v>5773</v>
      </c>
      <c r="BC1311" s="81" t="s">
        <v>5647</v>
      </c>
      <c r="BD1311" s="77">
        <v>297885438</v>
      </c>
      <c r="BE1311" s="77"/>
      <c r="BF1311" s="77"/>
      <c r="BG1311" s="77"/>
      <c r="BH1311" s="77"/>
      <c r="BI1311" s="77"/>
    </row>
    <row r="1312" spans="1:61" ht="15">
      <c r="A1312" s="62" t="s">
        <v>299</v>
      </c>
      <c r="B1312" s="62" t="s">
        <v>299</v>
      </c>
      <c r="C1312" s="63"/>
      <c r="D1312" s="64"/>
      <c r="E1312" s="65"/>
      <c r="F1312" s="66"/>
      <c r="G1312" s="63"/>
      <c r="H1312" s="67"/>
      <c r="I1312" s="68"/>
      <c r="J1312" s="68"/>
      <c r="K1312" s="32" t="s">
        <v>65</v>
      </c>
      <c r="L1312" s="75">
        <v>1312</v>
      </c>
      <c r="M1312" s="75"/>
      <c r="N1312" s="70"/>
      <c r="O1312" s="77" t="s">
        <v>179</v>
      </c>
      <c r="P1312" s="79">
        <v>45267.7430787037</v>
      </c>
      <c r="Q1312" s="77" t="s">
        <v>1681</v>
      </c>
      <c r="R1312" s="77">
        <v>0</v>
      </c>
      <c r="S1312" s="77">
        <v>0</v>
      </c>
      <c r="T1312" s="77">
        <v>0</v>
      </c>
      <c r="U1312" s="77">
        <v>0</v>
      </c>
      <c r="V1312" s="77">
        <v>5</v>
      </c>
      <c r="W1312" s="81" t="s">
        <v>1871</v>
      </c>
      <c r="X1312" s="80" t="str">
        <f>HYPERLINK("https://inovies.com")</f>
        <v>https://inovies.com</v>
      </c>
      <c r="Y1312" s="77" t="s">
        <v>1982</v>
      </c>
      <c r="Z1312" s="77"/>
      <c r="AA1312" s="77" t="s">
        <v>2679</v>
      </c>
      <c r="AB1312" s="77" t="s">
        <v>2696</v>
      </c>
      <c r="AC1312" s="81" t="s">
        <v>2707</v>
      </c>
      <c r="AD1312" s="77" t="s">
        <v>2752</v>
      </c>
      <c r="AE1312" s="80" t="str">
        <f>HYPERLINK("https://twitter.com/inovies/status/1732819772927062143")</f>
        <v>https://twitter.com/inovies/status/1732819772927062143</v>
      </c>
      <c r="AF1312" s="79">
        <v>45267.7430787037</v>
      </c>
      <c r="AG1312" s="85">
        <v>45267</v>
      </c>
      <c r="AH1312" s="81" t="s">
        <v>3853</v>
      </c>
      <c r="AI1312" s="77" t="b">
        <v>0</v>
      </c>
      <c r="AJ1312" s="77"/>
      <c r="AK1312" s="77"/>
      <c r="AL1312" s="77"/>
      <c r="AM1312" s="77"/>
      <c r="AN1312" s="77"/>
      <c r="AO1312" s="77"/>
      <c r="AP1312" s="77"/>
      <c r="AQ1312" s="77" t="s">
        <v>4493</v>
      </c>
      <c r="AR1312" s="77"/>
      <c r="AS1312" s="77"/>
      <c r="AT1312" s="77"/>
      <c r="AU1312" s="77"/>
      <c r="AV1312" s="80" t="str">
        <f>HYPERLINK("https://pbs.twimg.com/media/GAw2ZEqWwAAZAr2.jpg")</f>
        <v>https://pbs.twimg.com/media/GAw2ZEqWwAAZAr2.jpg</v>
      </c>
      <c r="AW1312" s="81" t="s">
        <v>5648</v>
      </c>
      <c r="AX1312" s="81" t="s">
        <v>5648</v>
      </c>
      <c r="AY1312" s="77"/>
      <c r="AZ1312" s="81" t="s">
        <v>5773</v>
      </c>
      <c r="BA1312" s="81" t="s">
        <v>5773</v>
      </c>
      <c r="BB1312" s="81" t="s">
        <v>5773</v>
      </c>
      <c r="BC1312" s="81" t="s">
        <v>5648</v>
      </c>
      <c r="BD1312" s="77">
        <v>297885438</v>
      </c>
      <c r="BE1312" s="77"/>
      <c r="BF1312" s="77"/>
      <c r="BG1312" s="77"/>
      <c r="BH1312" s="77"/>
      <c r="BI1312" s="77"/>
    </row>
    <row r="1313" spans="1:61" ht="15">
      <c r="A1313" s="62" t="s">
        <v>299</v>
      </c>
      <c r="B1313" s="62" t="s">
        <v>299</v>
      </c>
      <c r="C1313" s="63"/>
      <c r="D1313" s="64"/>
      <c r="E1313" s="65"/>
      <c r="F1313" s="66"/>
      <c r="G1313" s="63"/>
      <c r="H1313" s="67"/>
      <c r="I1313" s="68"/>
      <c r="J1313" s="68"/>
      <c r="K1313" s="32" t="s">
        <v>65</v>
      </c>
      <c r="L1313" s="75">
        <v>1313</v>
      </c>
      <c r="M1313" s="75"/>
      <c r="N1313" s="70"/>
      <c r="O1313" s="77" t="s">
        <v>179</v>
      </c>
      <c r="P1313" s="79">
        <v>45267.742638888885</v>
      </c>
      <c r="Q1313" s="77" t="s">
        <v>1682</v>
      </c>
      <c r="R1313" s="77">
        <v>0</v>
      </c>
      <c r="S1313" s="77">
        <v>0</v>
      </c>
      <c r="T1313" s="77">
        <v>0</v>
      </c>
      <c r="U1313" s="77">
        <v>0</v>
      </c>
      <c r="V1313" s="77">
        <v>5</v>
      </c>
      <c r="W1313" s="81" t="s">
        <v>1871</v>
      </c>
      <c r="X1313" s="80" t="str">
        <f>HYPERLINK("https://inovies.com")</f>
        <v>https://inovies.com</v>
      </c>
      <c r="Y1313" s="77" t="s">
        <v>1982</v>
      </c>
      <c r="Z1313" s="77"/>
      <c r="AA1313" s="77" t="s">
        <v>2680</v>
      </c>
      <c r="AB1313" s="77" t="s">
        <v>2696</v>
      </c>
      <c r="AC1313" s="81" t="s">
        <v>2707</v>
      </c>
      <c r="AD1313" s="77" t="s">
        <v>2752</v>
      </c>
      <c r="AE1313" s="80" t="str">
        <f>HYPERLINK("https://twitter.com/inovies/status/1732819613258224099")</f>
        <v>https://twitter.com/inovies/status/1732819613258224099</v>
      </c>
      <c r="AF1313" s="79">
        <v>45267.742638888885</v>
      </c>
      <c r="AG1313" s="85">
        <v>45267</v>
      </c>
      <c r="AH1313" s="81" t="s">
        <v>3854</v>
      </c>
      <c r="AI1313" s="77" t="b">
        <v>0</v>
      </c>
      <c r="AJ1313" s="77"/>
      <c r="AK1313" s="77"/>
      <c r="AL1313" s="77"/>
      <c r="AM1313" s="77"/>
      <c r="AN1313" s="77"/>
      <c r="AO1313" s="77"/>
      <c r="AP1313" s="77"/>
      <c r="AQ1313" s="77" t="s">
        <v>4494</v>
      </c>
      <c r="AR1313" s="77"/>
      <c r="AS1313" s="77"/>
      <c r="AT1313" s="77"/>
      <c r="AU1313" s="77"/>
      <c r="AV1313" s="80" t="str">
        <f>HYPERLINK("https://pbs.twimg.com/media/GAw2P1jXEAA7fTn.jpg")</f>
        <v>https://pbs.twimg.com/media/GAw2P1jXEAA7fTn.jpg</v>
      </c>
      <c r="AW1313" s="81" t="s">
        <v>5649</v>
      </c>
      <c r="AX1313" s="81" t="s">
        <v>5649</v>
      </c>
      <c r="AY1313" s="77"/>
      <c r="AZ1313" s="81" t="s">
        <v>5773</v>
      </c>
      <c r="BA1313" s="81" t="s">
        <v>5773</v>
      </c>
      <c r="BB1313" s="81" t="s">
        <v>5773</v>
      </c>
      <c r="BC1313" s="81" t="s">
        <v>5649</v>
      </c>
      <c r="BD1313" s="77">
        <v>297885438</v>
      </c>
      <c r="BE1313" s="77"/>
      <c r="BF1313" s="77"/>
      <c r="BG1313" s="77"/>
      <c r="BH1313" s="77"/>
      <c r="BI1313" s="77"/>
    </row>
    <row r="1314" spans="1:61" ht="15">
      <c r="A1314" s="62" t="s">
        <v>299</v>
      </c>
      <c r="B1314" s="62" t="s">
        <v>299</v>
      </c>
      <c r="C1314" s="63"/>
      <c r="D1314" s="64"/>
      <c r="E1314" s="65"/>
      <c r="F1314" s="66"/>
      <c r="G1314" s="63"/>
      <c r="H1314" s="67"/>
      <c r="I1314" s="68"/>
      <c r="J1314" s="68"/>
      <c r="K1314" s="32" t="s">
        <v>65</v>
      </c>
      <c r="L1314" s="75">
        <v>1314</v>
      </c>
      <c r="M1314" s="75"/>
      <c r="N1314" s="70"/>
      <c r="O1314" s="77" t="s">
        <v>179</v>
      </c>
      <c r="P1314" s="79">
        <v>45267.742164351854</v>
      </c>
      <c r="Q1314" s="77" t="s">
        <v>1683</v>
      </c>
      <c r="R1314" s="77">
        <v>0</v>
      </c>
      <c r="S1314" s="77">
        <v>0</v>
      </c>
      <c r="T1314" s="77">
        <v>0</v>
      </c>
      <c r="U1314" s="77">
        <v>0</v>
      </c>
      <c r="V1314" s="77">
        <v>5</v>
      </c>
      <c r="W1314" s="81" t="s">
        <v>1871</v>
      </c>
      <c r="X1314" s="80" t="str">
        <f>HYPERLINK("https://inovies.com")</f>
        <v>https://inovies.com</v>
      </c>
      <c r="Y1314" s="77" t="s">
        <v>1982</v>
      </c>
      <c r="Z1314" s="77"/>
      <c r="AA1314" s="77" t="s">
        <v>2681</v>
      </c>
      <c r="AB1314" s="77" t="s">
        <v>2696</v>
      </c>
      <c r="AC1314" s="81" t="s">
        <v>2707</v>
      </c>
      <c r="AD1314" s="77" t="s">
        <v>2752</v>
      </c>
      <c r="AE1314" s="80" t="str">
        <f>HYPERLINK("https://twitter.com/inovies/status/1732819442290110766")</f>
        <v>https://twitter.com/inovies/status/1732819442290110766</v>
      </c>
      <c r="AF1314" s="79">
        <v>45267.742164351854</v>
      </c>
      <c r="AG1314" s="85">
        <v>45267</v>
      </c>
      <c r="AH1314" s="81" t="s">
        <v>3855</v>
      </c>
      <c r="AI1314" s="77" t="b">
        <v>0</v>
      </c>
      <c r="AJ1314" s="77"/>
      <c r="AK1314" s="77"/>
      <c r="AL1314" s="77"/>
      <c r="AM1314" s="77"/>
      <c r="AN1314" s="77"/>
      <c r="AO1314" s="77"/>
      <c r="AP1314" s="77"/>
      <c r="AQ1314" s="77" t="s">
        <v>4495</v>
      </c>
      <c r="AR1314" s="77"/>
      <c r="AS1314" s="77"/>
      <c r="AT1314" s="77"/>
      <c r="AU1314" s="77"/>
      <c r="AV1314" s="80" t="str">
        <f>HYPERLINK("https://pbs.twimg.com/media/GAw2F0eX0AAArTS.jpg")</f>
        <v>https://pbs.twimg.com/media/GAw2F0eX0AAArTS.jpg</v>
      </c>
      <c r="AW1314" s="81" t="s">
        <v>5650</v>
      </c>
      <c r="AX1314" s="81" t="s">
        <v>5650</v>
      </c>
      <c r="AY1314" s="77"/>
      <c r="AZ1314" s="81" t="s">
        <v>5773</v>
      </c>
      <c r="BA1314" s="81" t="s">
        <v>5773</v>
      </c>
      <c r="BB1314" s="81" t="s">
        <v>5773</v>
      </c>
      <c r="BC1314" s="81" t="s">
        <v>5650</v>
      </c>
      <c r="BD1314" s="77">
        <v>297885438</v>
      </c>
      <c r="BE1314" s="77"/>
      <c r="BF1314" s="77"/>
      <c r="BG1314" s="77"/>
      <c r="BH1314" s="77"/>
      <c r="BI1314" s="77"/>
    </row>
    <row r="1315" spans="1:61" ht="15">
      <c r="A1315" s="62" t="s">
        <v>299</v>
      </c>
      <c r="B1315" s="62" t="s">
        <v>299</v>
      </c>
      <c r="C1315" s="63"/>
      <c r="D1315" s="64"/>
      <c r="E1315" s="65"/>
      <c r="F1315" s="66"/>
      <c r="G1315" s="63"/>
      <c r="H1315" s="67"/>
      <c r="I1315" s="68"/>
      <c r="J1315" s="68"/>
      <c r="K1315" s="32" t="s">
        <v>65</v>
      </c>
      <c r="L1315" s="75">
        <v>1315</v>
      </c>
      <c r="M1315" s="75"/>
      <c r="N1315" s="70"/>
      <c r="O1315" s="77" t="s">
        <v>179</v>
      </c>
      <c r="P1315" s="79">
        <v>45267.74122685185</v>
      </c>
      <c r="Q1315" s="77" t="s">
        <v>1684</v>
      </c>
      <c r="R1315" s="77">
        <v>0</v>
      </c>
      <c r="S1315" s="77">
        <v>0</v>
      </c>
      <c r="T1315" s="77">
        <v>0</v>
      </c>
      <c r="U1315" s="77">
        <v>0</v>
      </c>
      <c r="V1315" s="77">
        <v>4</v>
      </c>
      <c r="W1315" s="81" t="s">
        <v>1871</v>
      </c>
      <c r="X1315" s="80" t="str">
        <f>HYPERLINK("https://inovies.com")</f>
        <v>https://inovies.com</v>
      </c>
      <c r="Y1315" s="77" t="s">
        <v>1982</v>
      </c>
      <c r="Z1315" s="77"/>
      <c r="AA1315" s="77" t="s">
        <v>2682</v>
      </c>
      <c r="AB1315" s="77" t="s">
        <v>2696</v>
      </c>
      <c r="AC1315" s="81" t="s">
        <v>2707</v>
      </c>
      <c r="AD1315" s="77" t="s">
        <v>2752</v>
      </c>
      <c r="AE1315" s="80" t="str">
        <f>HYPERLINK("https://twitter.com/inovies/status/1732819099187552704")</f>
        <v>https://twitter.com/inovies/status/1732819099187552704</v>
      </c>
      <c r="AF1315" s="79">
        <v>45267.74122685185</v>
      </c>
      <c r="AG1315" s="85">
        <v>45267</v>
      </c>
      <c r="AH1315" s="81" t="s">
        <v>3856</v>
      </c>
      <c r="AI1315" s="77" t="b">
        <v>0</v>
      </c>
      <c r="AJ1315" s="77"/>
      <c r="AK1315" s="77"/>
      <c r="AL1315" s="77"/>
      <c r="AM1315" s="77"/>
      <c r="AN1315" s="77"/>
      <c r="AO1315" s="77"/>
      <c r="AP1315" s="77"/>
      <c r="AQ1315" s="77" t="s">
        <v>4496</v>
      </c>
      <c r="AR1315" s="77"/>
      <c r="AS1315" s="77"/>
      <c r="AT1315" s="77"/>
      <c r="AU1315" s="77"/>
      <c r="AV1315" s="80" t="str">
        <f>HYPERLINK("https://pbs.twimg.com/media/GAw1x1UW4AAHNNK.jpg")</f>
        <v>https://pbs.twimg.com/media/GAw1x1UW4AAHNNK.jpg</v>
      </c>
      <c r="AW1315" s="81" t="s">
        <v>5651</v>
      </c>
      <c r="AX1315" s="81" t="s">
        <v>5651</v>
      </c>
      <c r="AY1315" s="77"/>
      <c r="AZ1315" s="81" t="s">
        <v>5773</v>
      </c>
      <c r="BA1315" s="81" t="s">
        <v>5773</v>
      </c>
      <c r="BB1315" s="81" t="s">
        <v>5773</v>
      </c>
      <c r="BC1315" s="81" t="s">
        <v>5651</v>
      </c>
      <c r="BD1315" s="77">
        <v>297885438</v>
      </c>
      <c r="BE1315" s="77"/>
      <c r="BF1315" s="77"/>
      <c r="BG1315" s="77"/>
      <c r="BH1315" s="77"/>
      <c r="BI1315" s="77"/>
    </row>
    <row r="1316" spans="1:61" ht="15">
      <c r="A1316" s="62" t="s">
        <v>299</v>
      </c>
      <c r="B1316" s="62" t="s">
        <v>299</v>
      </c>
      <c r="C1316" s="63"/>
      <c r="D1316" s="64"/>
      <c r="E1316" s="65"/>
      <c r="F1316" s="66"/>
      <c r="G1316" s="63"/>
      <c r="H1316" s="67"/>
      <c r="I1316" s="68"/>
      <c r="J1316" s="68"/>
      <c r="K1316" s="32" t="s">
        <v>65</v>
      </c>
      <c r="L1316" s="75">
        <v>1316</v>
      </c>
      <c r="M1316" s="75"/>
      <c r="N1316" s="70"/>
      <c r="O1316" s="77" t="s">
        <v>179</v>
      </c>
      <c r="P1316" s="79">
        <v>45267.74071759259</v>
      </c>
      <c r="Q1316" s="77" t="s">
        <v>1685</v>
      </c>
      <c r="R1316" s="77">
        <v>0</v>
      </c>
      <c r="S1316" s="77">
        <v>0</v>
      </c>
      <c r="T1316" s="77">
        <v>0</v>
      </c>
      <c r="U1316" s="77">
        <v>0</v>
      </c>
      <c r="V1316" s="77">
        <v>4</v>
      </c>
      <c r="W1316" s="81" t="s">
        <v>1871</v>
      </c>
      <c r="X1316" s="80" t="str">
        <f>HYPERLINK("https://inovies.com")</f>
        <v>https://inovies.com</v>
      </c>
      <c r="Y1316" s="77" t="s">
        <v>1982</v>
      </c>
      <c r="Z1316" s="77"/>
      <c r="AA1316" s="77" t="s">
        <v>2683</v>
      </c>
      <c r="AB1316" s="77" t="s">
        <v>2696</v>
      </c>
      <c r="AC1316" s="81" t="s">
        <v>2707</v>
      </c>
      <c r="AD1316" s="77" t="s">
        <v>2752</v>
      </c>
      <c r="AE1316" s="80" t="str">
        <f>HYPERLINK("https://twitter.com/inovies/status/1732818916622176697")</f>
        <v>https://twitter.com/inovies/status/1732818916622176697</v>
      </c>
      <c r="AF1316" s="79">
        <v>45267.74071759259</v>
      </c>
      <c r="AG1316" s="85">
        <v>45267</v>
      </c>
      <c r="AH1316" s="81" t="s">
        <v>3857</v>
      </c>
      <c r="AI1316" s="77" t="b">
        <v>0</v>
      </c>
      <c r="AJ1316" s="77"/>
      <c r="AK1316" s="77"/>
      <c r="AL1316" s="77"/>
      <c r="AM1316" s="77"/>
      <c r="AN1316" s="77"/>
      <c r="AO1316" s="77"/>
      <c r="AP1316" s="77"/>
      <c r="AQ1316" s="77" t="s">
        <v>4497</v>
      </c>
      <c r="AR1316" s="77"/>
      <c r="AS1316" s="77"/>
      <c r="AT1316" s="77"/>
      <c r="AU1316" s="77"/>
      <c r="AV1316" s="80" t="str">
        <f>HYPERLINK("https://pbs.twimg.com/media/GAw1nJUX0AAkdW-.jpg")</f>
        <v>https://pbs.twimg.com/media/GAw1nJUX0AAkdW-.jpg</v>
      </c>
      <c r="AW1316" s="81" t="s">
        <v>5652</v>
      </c>
      <c r="AX1316" s="81" t="s">
        <v>5652</v>
      </c>
      <c r="AY1316" s="77"/>
      <c r="AZ1316" s="81" t="s">
        <v>5773</v>
      </c>
      <c r="BA1316" s="81" t="s">
        <v>5773</v>
      </c>
      <c r="BB1316" s="81" t="s">
        <v>5773</v>
      </c>
      <c r="BC1316" s="81" t="s">
        <v>5652</v>
      </c>
      <c r="BD1316" s="77">
        <v>297885438</v>
      </c>
      <c r="BE1316" s="77"/>
      <c r="BF1316" s="77"/>
      <c r="BG1316" s="77"/>
      <c r="BH1316" s="77"/>
      <c r="BI1316" s="77"/>
    </row>
    <row r="1317" spans="1:61" ht="15">
      <c r="A1317" s="62" t="s">
        <v>299</v>
      </c>
      <c r="B1317" s="62" t="s">
        <v>299</v>
      </c>
      <c r="C1317" s="63"/>
      <c r="D1317" s="64"/>
      <c r="E1317" s="65"/>
      <c r="F1317" s="66"/>
      <c r="G1317" s="63"/>
      <c r="H1317" s="67"/>
      <c r="I1317" s="68"/>
      <c r="J1317" s="68"/>
      <c r="K1317" s="32" t="s">
        <v>65</v>
      </c>
      <c r="L1317" s="75">
        <v>1317</v>
      </c>
      <c r="M1317" s="75"/>
      <c r="N1317" s="70"/>
      <c r="O1317" s="77" t="s">
        <v>179</v>
      </c>
      <c r="P1317" s="79">
        <v>45267.74025462963</v>
      </c>
      <c r="Q1317" s="77" t="s">
        <v>1686</v>
      </c>
      <c r="R1317" s="77">
        <v>0</v>
      </c>
      <c r="S1317" s="77">
        <v>0</v>
      </c>
      <c r="T1317" s="77">
        <v>0</v>
      </c>
      <c r="U1317" s="77">
        <v>0</v>
      </c>
      <c r="V1317" s="77">
        <v>5</v>
      </c>
      <c r="W1317" s="81" t="s">
        <v>1871</v>
      </c>
      <c r="X1317" s="80" t="str">
        <f>HYPERLINK("https://inovies.com")</f>
        <v>https://inovies.com</v>
      </c>
      <c r="Y1317" s="77" t="s">
        <v>1982</v>
      </c>
      <c r="Z1317" s="77"/>
      <c r="AA1317" s="77" t="s">
        <v>2684</v>
      </c>
      <c r="AB1317" s="77" t="s">
        <v>2696</v>
      </c>
      <c r="AC1317" s="81" t="s">
        <v>2707</v>
      </c>
      <c r="AD1317" s="77" t="s">
        <v>2752</v>
      </c>
      <c r="AE1317" s="80" t="str">
        <f>HYPERLINK("https://twitter.com/inovies/status/1732818748615127234")</f>
        <v>https://twitter.com/inovies/status/1732818748615127234</v>
      </c>
      <c r="AF1317" s="79">
        <v>45267.74025462963</v>
      </c>
      <c r="AG1317" s="85">
        <v>45267</v>
      </c>
      <c r="AH1317" s="81" t="s">
        <v>3858</v>
      </c>
      <c r="AI1317" s="77" t="b">
        <v>0</v>
      </c>
      <c r="AJ1317" s="77"/>
      <c r="AK1317" s="77"/>
      <c r="AL1317" s="77"/>
      <c r="AM1317" s="77"/>
      <c r="AN1317" s="77"/>
      <c r="AO1317" s="77"/>
      <c r="AP1317" s="77"/>
      <c r="AQ1317" s="77" t="s">
        <v>4498</v>
      </c>
      <c r="AR1317" s="77"/>
      <c r="AS1317" s="77"/>
      <c r="AT1317" s="77"/>
      <c r="AU1317" s="77"/>
      <c r="AV1317" s="80" t="str">
        <f>HYPERLINK("https://pbs.twimg.com/media/GAw1danXoAA57jE.jpg")</f>
        <v>https://pbs.twimg.com/media/GAw1danXoAA57jE.jpg</v>
      </c>
      <c r="AW1317" s="81" t="s">
        <v>5653</v>
      </c>
      <c r="AX1317" s="81" t="s">
        <v>5653</v>
      </c>
      <c r="AY1317" s="77"/>
      <c r="AZ1317" s="81" t="s">
        <v>5773</v>
      </c>
      <c r="BA1317" s="81" t="s">
        <v>5773</v>
      </c>
      <c r="BB1317" s="81" t="s">
        <v>5773</v>
      </c>
      <c r="BC1317" s="81" t="s">
        <v>5653</v>
      </c>
      <c r="BD1317" s="77">
        <v>297885438</v>
      </c>
      <c r="BE1317" s="77"/>
      <c r="BF1317" s="77"/>
      <c r="BG1317" s="77"/>
      <c r="BH1317" s="77"/>
      <c r="BI1317" s="77"/>
    </row>
    <row r="1318" spans="1:61" ht="15">
      <c r="A1318" s="62" t="s">
        <v>299</v>
      </c>
      <c r="B1318" s="62" t="s">
        <v>299</v>
      </c>
      <c r="C1318" s="63"/>
      <c r="D1318" s="64"/>
      <c r="E1318" s="65"/>
      <c r="F1318" s="66"/>
      <c r="G1318" s="63"/>
      <c r="H1318" s="67"/>
      <c r="I1318" s="68"/>
      <c r="J1318" s="68"/>
      <c r="K1318" s="32" t="s">
        <v>65</v>
      </c>
      <c r="L1318" s="75">
        <v>1318</v>
      </c>
      <c r="M1318" s="75"/>
      <c r="N1318" s="70"/>
      <c r="O1318" s="77" t="s">
        <v>179</v>
      </c>
      <c r="P1318" s="79">
        <v>45267.739340277774</v>
      </c>
      <c r="Q1318" s="77" t="s">
        <v>1687</v>
      </c>
      <c r="R1318" s="77">
        <v>0</v>
      </c>
      <c r="S1318" s="77">
        <v>0</v>
      </c>
      <c r="T1318" s="77">
        <v>0</v>
      </c>
      <c r="U1318" s="77">
        <v>0</v>
      </c>
      <c r="V1318" s="77">
        <v>4</v>
      </c>
      <c r="W1318" s="81" t="s">
        <v>1871</v>
      </c>
      <c r="X1318" s="80" t="str">
        <f>HYPERLINK("https://inovies.com")</f>
        <v>https://inovies.com</v>
      </c>
      <c r="Y1318" s="77" t="s">
        <v>1982</v>
      </c>
      <c r="Z1318" s="77"/>
      <c r="AA1318" s="77" t="s">
        <v>2685</v>
      </c>
      <c r="AB1318" s="77" t="s">
        <v>2696</v>
      </c>
      <c r="AC1318" s="81" t="s">
        <v>2707</v>
      </c>
      <c r="AD1318" s="77" t="s">
        <v>2752</v>
      </c>
      <c r="AE1318" s="80" t="str">
        <f>HYPERLINK("https://twitter.com/inovies/status/1732818416342376455")</f>
        <v>https://twitter.com/inovies/status/1732818416342376455</v>
      </c>
      <c r="AF1318" s="79">
        <v>45267.739340277774</v>
      </c>
      <c r="AG1318" s="85">
        <v>45267</v>
      </c>
      <c r="AH1318" s="81" t="s">
        <v>3859</v>
      </c>
      <c r="AI1318" s="77" t="b">
        <v>0</v>
      </c>
      <c r="AJ1318" s="77"/>
      <c r="AK1318" s="77"/>
      <c r="AL1318" s="77"/>
      <c r="AM1318" s="77"/>
      <c r="AN1318" s="77"/>
      <c r="AO1318" s="77"/>
      <c r="AP1318" s="77"/>
      <c r="AQ1318" s="77" t="s">
        <v>4499</v>
      </c>
      <c r="AR1318" s="77"/>
      <c r="AS1318" s="77"/>
      <c r="AT1318" s="77"/>
      <c r="AU1318" s="77"/>
      <c r="AV1318" s="80" t="str">
        <f>HYPERLINK("https://pbs.twimg.com/media/GAw1KMqWcAA5fOE.jpg")</f>
        <v>https://pbs.twimg.com/media/GAw1KMqWcAA5fOE.jpg</v>
      </c>
      <c r="AW1318" s="81" t="s">
        <v>5654</v>
      </c>
      <c r="AX1318" s="81" t="s">
        <v>5654</v>
      </c>
      <c r="AY1318" s="77"/>
      <c r="AZ1318" s="81" t="s">
        <v>5773</v>
      </c>
      <c r="BA1318" s="81" t="s">
        <v>5773</v>
      </c>
      <c r="BB1318" s="81" t="s">
        <v>5773</v>
      </c>
      <c r="BC1318" s="81" t="s">
        <v>5654</v>
      </c>
      <c r="BD1318" s="77">
        <v>297885438</v>
      </c>
      <c r="BE1318" s="77"/>
      <c r="BF1318" s="77"/>
      <c r="BG1318" s="77"/>
      <c r="BH1318" s="77"/>
      <c r="BI1318" s="77"/>
    </row>
    <row r="1319" spans="1:61" ht="15">
      <c r="A1319" s="62" t="s">
        <v>299</v>
      </c>
      <c r="B1319" s="62" t="s">
        <v>299</v>
      </c>
      <c r="C1319" s="63"/>
      <c r="D1319" s="64"/>
      <c r="E1319" s="65"/>
      <c r="F1319" s="66"/>
      <c r="G1319" s="63"/>
      <c r="H1319" s="67"/>
      <c r="I1319" s="68"/>
      <c r="J1319" s="68"/>
      <c r="K1319" s="32" t="s">
        <v>65</v>
      </c>
      <c r="L1319" s="75">
        <v>1319</v>
      </c>
      <c r="M1319" s="75"/>
      <c r="N1319" s="70"/>
      <c r="O1319" s="77" t="s">
        <v>179</v>
      </c>
      <c r="P1319" s="79">
        <v>45267.73883101852</v>
      </c>
      <c r="Q1319" s="77" t="s">
        <v>1688</v>
      </c>
      <c r="R1319" s="77">
        <v>0</v>
      </c>
      <c r="S1319" s="77">
        <v>0</v>
      </c>
      <c r="T1319" s="77">
        <v>0</v>
      </c>
      <c r="U1319" s="77">
        <v>0</v>
      </c>
      <c r="V1319" s="77">
        <v>5</v>
      </c>
      <c r="W1319" s="81" t="s">
        <v>1871</v>
      </c>
      <c r="X1319" s="80" t="str">
        <f>HYPERLINK("https://inovies.com")</f>
        <v>https://inovies.com</v>
      </c>
      <c r="Y1319" s="77" t="s">
        <v>1982</v>
      </c>
      <c r="Z1319" s="77"/>
      <c r="AA1319" s="77" t="s">
        <v>2686</v>
      </c>
      <c r="AB1319" s="77" t="s">
        <v>2696</v>
      </c>
      <c r="AC1319" s="81" t="s">
        <v>2707</v>
      </c>
      <c r="AD1319" s="77" t="s">
        <v>2752</v>
      </c>
      <c r="AE1319" s="80" t="str">
        <f>HYPERLINK("https://twitter.com/inovies/status/1732818231524511791")</f>
        <v>https://twitter.com/inovies/status/1732818231524511791</v>
      </c>
      <c r="AF1319" s="79">
        <v>45267.73883101852</v>
      </c>
      <c r="AG1319" s="85">
        <v>45267</v>
      </c>
      <c r="AH1319" s="81" t="s">
        <v>3860</v>
      </c>
      <c r="AI1319" s="77" t="b">
        <v>0</v>
      </c>
      <c r="AJ1319" s="77"/>
      <c r="AK1319" s="77"/>
      <c r="AL1319" s="77"/>
      <c r="AM1319" s="77"/>
      <c r="AN1319" s="77"/>
      <c r="AO1319" s="77"/>
      <c r="AP1319" s="77"/>
      <c r="AQ1319" s="77" t="s">
        <v>4500</v>
      </c>
      <c r="AR1319" s="77"/>
      <c r="AS1319" s="77"/>
      <c r="AT1319" s="77"/>
      <c r="AU1319" s="77"/>
      <c r="AV1319" s="80" t="str">
        <f>HYPERLINK("https://pbs.twimg.com/media/GAw0_bRXQAAQiGx.jpg")</f>
        <v>https://pbs.twimg.com/media/GAw0_bRXQAAQiGx.jpg</v>
      </c>
      <c r="AW1319" s="81" t="s">
        <v>5655</v>
      </c>
      <c r="AX1319" s="81" t="s">
        <v>5655</v>
      </c>
      <c r="AY1319" s="77"/>
      <c r="AZ1319" s="81" t="s">
        <v>5773</v>
      </c>
      <c r="BA1319" s="81" t="s">
        <v>5773</v>
      </c>
      <c r="BB1319" s="81" t="s">
        <v>5773</v>
      </c>
      <c r="BC1319" s="81" t="s">
        <v>5655</v>
      </c>
      <c r="BD1319" s="77">
        <v>297885438</v>
      </c>
      <c r="BE1319" s="77"/>
      <c r="BF1319" s="77"/>
      <c r="BG1319" s="77"/>
      <c r="BH1319" s="77"/>
      <c r="BI1319" s="77"/>
    </row>
    <row r="1320" spans="1:61" ht="15">
      <c r="A1320" s="62" t="s">
        <v>299</v>
      </c>
      <c r="B1320" s="62" t="s">
        <v>299</v>
      </c>
      <c r="C1320" s="63"/>
      <c r="D1320" s="64"/>
      <c r="E1320" s="65"/>
      <c r="F1320" s="66"/>
      <c r="G1320" s="63"/>
      <c r="H1320" s="67"/>
      <c r="I1320" s="68"/>
      <c r="J1320" s="68"/>
      <c r="K1320" s="32" t="s">
        <v>65</v>
      </c>
      <c r="L1320" s="75">
        <v>1320</v>
      </c>
      <c r="M1320" s="75"/>
      <c r="N1320" s="70"/>
      <c r="O1320" s="77" t="s">
        <v>179</v>
      </c>
      <c r="P1320" s="79">
        <v>45267.73825231481</v>
      </c>
      <c r="Q1320" s="77" t="s">
        <v>1689</v>
      </c>
      <c r="R1320" s="77">
        <v>0</v>
      </c>
      <c r="S1320" s="77">
        <v>0</v>
      </c>
      <c r="T1320" s="77">
        <v>0</v>
      </c>
      <c r="U1320" s="77">
        <v>0</v>
      </c>
      <c r="V1320" s="77">
        <v>4</v>
      </c>
      <c r="W1320" s="81" t="s">
        <v>1871</v>
      </c>
      <c r="X1320" s="80" t="str">
        <f>HYPERLINK("https://inovies.com")</f>
        <v>https://inovies.com</v>
      </c>
      <c r="Y1320" s="77" t="s">
        <v>1982</v>
      </c>
      <c r="Z1320" s="77"/>
      <c r="AA1320" s="77" t="s">
        <v>2687</v>
      </c>
      <c r="AB1320" s="77" t="s">
        <v>2696</v>
      </c>
      <c r="AC1320" s="81" t="s">
        <v>2707</v>
      </c>
      <c r="AD1320" s="77" t="s">
        <v>2752</v>
      </c>
      <c r="AE1320" s="80" t="str">
        <f>HYPERLINK("https://twitter.com/inovies/status/1732818022774001795")</f>
        <v>https://twitter.com/inovies/status/1732818022774001795</v>
      </c>
      <c r="AF1320" s="79">
        <v>45267.73825231481</v>
      </c>
      <c r="AG1320" s="85">
        <v>45267</v>
      </c>
      <c r="AH1320" s="81" t="s">
        <v>3861</v>
      </c>
      <c r="AI1320" s="77" t="b">
        <v>0</v>
      </c>
      <c r="AJ1320" s="77"/>
      <c r="AK1320" s="77"/>
      <c r="AL1320" s="77"/>
      <c r="AM1320" s="77"/>
      <c r="AN1320" s="77"/>
      <c r="AO1320" s="77"/>
      <c r="AP1320" s="77"/>
      <c r="AQ1320" s="77" t="s">
        <v>4501</v>
      </c>
      <c r="AR1320" s="77"/>
      <c r="AS1320" s="77"/>
      <c r="AT1320" s="77"/>
      <c r="AU1320" s="77"/>
      <c r="AV1320" s="80" t="str">
        <f>HYPERLINK("https://pbs.twimg.com/media/GAw0zO8WgAACjCK.jpg")</f>
        <v>https://pbs.twimg.com/media/GAw0zO8WgAACjCK.jpg</v>
      </c>
      <c r="AW1320" s="81" t="s">
        <v>5656</v>
      </c>
      <c r="AX1320" s="81" t="s">
        <v>5656</v>
      </c>
      <c r="AY1320" s="77"/>
      <c r="AZ1320" s="81" t="s">
        <v>5773</v>
      </c>
      <c r="BA1320" s="81" t="s">
        <v>5773</v>
      </c>
      <c r="BB1320" s="81" t="s">
        <v>5773</v>
      </c>
      <c r="BC1320" s="81" t="s">
        <v>5656</v>
      </c>
      <c r="BD1320" s="77">
        <v>297885438</v>
      </c>
      <c r="BE1320" s="77"/>
      <c r="BF1320" s="77"/>
      <c r="BG1320" s="77"/>
      <c r="BH1320" s="77"/>
      <c r="BI1320" s="77"/>
    </row>
    <row r="1321" spans="1:61" ht="15">
      <c r="A1321" s="62" t="s">
        <v>299</v>
      </c>
      <c r="B1321" s="62" t="s">
        <v>299</v>
      </c>
      <c r="C1321" s="63"/>
      <c r="D1321" s="64"/>
      <c r="E1321" s="65"/>
      <c r="F1321" s="66"/>
      <c r="G1321" s="63"/>
      <c r="H1321" s="67"/>
      <c r="I1321" s="68"/>
      <c r="J1321" s="68"/>
      <c r="K1321" s="32" t="s">
        <v>65</v>
      </c>
      <c r="L1321" s="75">
        <v>1321</v>
      </c>
      <c r="M1321" s="75"/>
      <c r="N1321" s="70"/>
      <c r="O1321" s="77" t="s">
        <v>179</v>
      </c>
      <c r="P1321" s="79">
        <v>45267.73771990741</v>
      </c>
      <c r="Q1321" s="77" t="s">
        <v>1690</v>
      </c>
      <c r="R1321" s="77">
        <v>0</v>
      </c>
      <c r="S1321" s="77">
        <v>0</v>
      </c>
      <c r="T1321" s="77">
        <v>0</v>
      </c>
      <c r="U1321" s="77">
        <v>0</v>
      </c>
      <c r="V1321" s="77">
        <v>5</v>
      </c>
      <c r="W1321" s="81" t="s">
        <v>1871</v>
      </c>
      <c r="X1321" s="80" t="str">
        <f>HYPERLINK("https://inovies.com")</f>
        <v>https://inovies.com</v>
      </c>
      <c r="Y1321" s="77" t="s">
        <v>1982</v>
      </c>
      <c r="Z1321" s="77"/>
      <c r="AA1321" s="77" t="s">
        <v>2688</v>
      </c>
      <c r="AB1321" s="77" t="s">
        <v>2696</v>
      </c>
      <c r="AC1321" s="81" t="s">
        <v>2707</v>
      </c>
      <c r="AD1321" s="77" t="s">
        <v>2752</v>
      </c>
      <c r="AE1321" s="80" t="str">
        <f>HYPERLINK("https://twitter.com/inovies/status/1732817830142255548")</f>
        <v>https://twitter.com/inovies/status/1732817830142255548</v>
      </c>
      <c r="AF1321" s="79">
        <v>45267.73771990741</v>
      </c>
      <c r="AG1321" s="85">
        <v>45267</v>
      </c>
      <c r="AH1321" s="81" t="s">
        <v>3862</v>
      </c>
      <c r="AI1321" s="77" t="b">
        <v>0</v>
      </c>
      <c r="AJ1321" s="77"/>
      <c r="AK1321" s="77"/>
      <c r="AL1321" s="77"/>
      <c r="AM1321" s="77"/>
      <c r="AN1321" s="77"/>
      <c r="AO1321" s="77"/>
      <c r="AP1321" s="77"/>
      <c r="AQ1321" s="77" t="s">
        <v>4502</v>
      </c>
      <c r="AR1321" s="77"/>
      <c r="AS1321" s="77"/>
      <c r="AT1321" s="77"/>
      <c r="AU1321" s="77"/>
      <c r="AV1321" s="80" t="str">
        <f>HYPERLINK("https://pbs.twimg.com/media/GAw0oDHWAAAQeQA.jpg")</f>
        <v>https://pbs.twimg.com/media/GAw0oDHWAAAQeQA.jpg</v>
      </c>
      <c r="AW1321" s="81" t="s">
        <v>5657</v>
      </c>
      <c r="AX1321" s="81" t="s">
        <v>5657</v>
      </c>
      <c r="AY1321" s="77"/>
      <c r="AZ1321" s="81" t="s">
        <v>5773</v>
      </c>
      <c r="BA1321" s="81" t="s">
        <v>5773</v>
      </c>
      <c r="BB1321" s="81" t="s">
        <v>5773</v>
      </c>
      <c r="BC1321" s="81" t="s">
        <v>5657</v>
      </c>
      <c r="BD1321" s="77">
        <v>297885438</v>
      </c>
      <c r="BE1321" s="77"/>
      <c r="BF1321" s="77"/>
      <c r="BG1321" s="77"/>
      <c r="BH1321" s="77"/>
      <c r="BI1321" s="77"/>
    </row>
    <row r="1322" spans="1:61" ht="15">
      <c r="A1322" s="62" t="s">
        <v>299</v>
      </c>
      <c r="B1322" s="62" t="s">
        <v>299</v>
      </c>
      <c r="C1322" s="63"/>
      <c r="D1322" s="64"/>
      <c r="E1322" s="65"/>
      <c r="F1322" s="66"/>
      <c r="G1322" s="63"/>
      <c r="H1322" s="67"/>
      <c r="I1322" s="68"/>
      <c r="J1322" s="68"/>
      <c r="K1322" s="32" t="s">
        <v>65</v>
      </c>
      <c r="L1322" s="75">
        <v>1322</v>
      </c>
      <c r="M1322" s="75"/>
      <c r="N1322" s="70"/>
      <c r="O1322" s="77" t="s">
        <v>179</v>
      </c>
      <c r="P1322" s="79">
        <v>45267.7371412037</v>
      </c>
      <c r="Q1322" s="77" t="s">
        <v>1691</v>
      </c>
      <c r="R1322" s="77">
        <v>0</v>
      </c>
      <c r="S1322" s="77">
        <v>0</v>
      </c>
      <c r="T1322" s="77">
        <v>0</v>
      </c>
      <c r="U1322" s="77">
        <v>0</v>
      </c>
      <c r="V1322" s="77">
        <v>5</v>
      </c>
      <c r="W1322" s="81" t="s">
        <v>1871</v>
      </c>
      <c r="X1322" s="80" t="str">
        <f>HYPERLINK("https://inovies.com")</f>
        <v>https://inovies.com</v>
      </c>
      <c r="Y1322" s="77" t="s">
        <v>1982</v>
      </c>
      <c r="Z1322" s="77"/>
      <c r="AA1322" s="77" t="s">
        <v>2689</v>
      </c>
      <c r="AB1322" s="77" t="s">
        <v>2696</v>
      </c>
      <c r="AC1322" s="81" t="s">
        <v>2707</v>
      </c>
      <c r="AD1322" s="77" t="s">
        <v>2752</v>
      </c>
      <c r="AE1322" s="80" t="str">
        <f>HYPERLINK("https://twitter.com/inovies/status/1732817620452221081")</f>
        <v>https://twitter.com/inovies/status/1732817620452221081</v>
      </c>
      <c r="AF1322" s="79">
        <v>45267.7371412037</v>
      </c>
      <c r="AG1322" s="85">
        <v>45267</v>
      </c>
      <c r="AH1322" s="81" t="s">
        <v>3863</v>
      </c>
      <c r="AI1322" s="77" t="b">
        <v>0</v>
      </c>
      <c r="AJ1322" s="77"/>
      <c r="AK1322" s="77"/>
      <c r="AL1322" s="77"/>
      <c r="AM1322" s="77"/>
      <c r="AN1322" s="77"/>
      <c r="AO1322" s="77"/>
      <c r="AP1322" s="77"/>
      <c r="AQ1322" s="77" t="s">
        <v>4503</v>
      </c>
      <c r="AR1322" s="77"/>
      <c r="AS1322" s="77"/>
      <c r="AT1322" s="77"/>
      <c r="AU1322" s="77"/>
      <c r="AV1322" s="80" t="str">
        <f>HYPERLINK("https://pbs.twimg.com/media/GAw0b0rXAAAFccc.jpg")</f>
        <v>https://pbs.twimg.com/media/GAw0b0rXAAAFccc.jpg</v>
      </c>
      <c r="AW1322" s="81" t="s">
        <v>5658</v>
      </c>
      <c r="AX1322" s="81" t="s">
        <v>5658</v>
      </c>
      <c r="AY1322" s="77"/>
      <c r="AZ1322" s="81" t="s">
        <v>5773</v>
      </c>
      <c r="BA1322" s="81" t="s">
        <v>5773</v>
      </c>
      <c r="BB1322" s="81" t="s">
        <v>5773</v>
      </c>
      <c r="BC1322" s="81" t="s">
        <v>5658</v>
      </c>
      <c r="BD1322" s="77">
        <v>297885438</v>
      </c>
      <c r="BE1322" s="77"/>
      <c r="BF1322" s="77"/>
      <c r="BG1322" s="77"/>
      <c r="BH1322" s="77"/>
      <c r="BI1322" s="77"/>
    </row>
    <row r="1323" spans="1:61" ht="15">
      <c r="A1323" s="62" t="s">
        <v>299</v>
      </c>
      <c r="B1323" s="62" t="s">
        <v>299</v>
      </c>
      <c r="C1323" s="63"/>
      <c r="D1323" s="64"/>
      <c r="E1323" s="65"/>
      <c r="F1323" s="66"/>
      <c r="G1323" s="63"/>
      <c r="H1323" s="67"/>
      <c r="I1323" s="68"/>
      <c r="J1323" s="68"/>
      <c r="K1323" s="32" t="s">
        <v>65</v>
      </c>
      <c r="L1323" s="75">
        <v>1323</v>
      </c>
      <c r="M1323" s="75"/>
      <c r="N1323" s="70"/>
      <c r="O1323" s="77" t="s">
        <v>179</v>
      </c>
      <c r="P1323" s="79">
        <v>45267.736493055556</v>
      </c>
      <c r="Q1323" s="77" t="s">
        <v>1692</v>
      </c>
      <c r="R1323" s="77">
        <v>0</v>
      </c>
      <c r="S1323" s="77">
        <v>0</v>
      </c>
      <c r="T1323" s="77">
        <v>0</v>
      </c>
      <c r="U1323" s="77">
        <v>0</v>
      </c>
      <c r="V1323" s="77">
        <v>6</v>
      </c>
      <c r="W1323" s="81" t="s">
        <v>1871</v>
      </c>
      <c r="X1323" s="80" t="str">
        <f>HYPERLINK("https://inovies.com")</f>
        <v>https://inovies.com</v>
      </c>
      <c r="Y1323" s="77" t="s">
        <v>1982</v>
      </c>
      <c r="Z1323" s="77"/>
      <c r="AA1323" s="77" t="s">
        <v>2690</v>
      </c>
      <c r="AB1323" s="77" t="s">
        <v>2696</v>
      </c>
      <c r="AC1323" s="81" t="s">
        <v>2707</v>
      </c>
      <c r="AD1323" s="77" t="s">
        <v>2752</v>
      </c>
      <c r="AE1323" s="80" t="str">
        <f>HYPERLINK("https://twitter.com/inovies/status/1732817384463823357")</f>
        <v>https://twitter.com/inovies/status/1732817384463823357</v>
      </c>
      <c r="AF1323" s="79">
        <v>45267.736493055556</v>
      </c>
      <c r="AG1323" s="85">
        <v>45267</v>
      </c>
      <c r="AH1323" s="81" t="s">
        <v>3864</v>
      </c>
      <c r="AI1323" s="77" t="b">
        <v>0</v>
      </c>
      <c r="AJ1323" s="77"/>
      <c r="AK1323" s="77"/>
      <c r="AL1323" s="77"/>
      <c r="AM1323" s="77"/>
      <c r="AN1323" s="77"/>
      <c r="AO1323" s="77"/>
      <c r="AP1323" s="77"/>
      <c r="AQ1323" s="77" t="s">
        <v>4504</v>
      </c>
      <c r="AR1323" s="77"/>
      <c r="AS1323" s="77"/>
      <c r="AT1323" s="77"/>
      <c r="AU1323" s="77"/>
      <c r="AV1323" s="80" t="str">
        <f>HYPERLINK("https://pbs.twimg.com/media/GAw0N8yWAAAyGL3.jpg")</f>
        <v>https://pbs.twimg.com/media/GAw0N8yWAAAyGL3.jpg</v>
      </c>
      <c r="AW1323" s="81" t="s">
        <v>5659</v>
      </c>
      <c r="AX1323" s="81" t="s">
        <v>5659</v>
      </c>
      <c r="AY1323" s="77"/>
      <c r="AZ1323" s="81" t="s">
        <v>5773</v>
      </c>
      <c r="BA1323" s="81" t="s">
        <v>5773</v>
      </c>
      <c r="BB1323" s="81" t="s">
        <v>5773</v>
      </c>
      <c r="BC1323" s="81" t="s">
        <v>5659</v>
      </c>
      <c r="BD1323" s="77">
        <v>297885438</v>
      </c>
      <c r="BE1323" s="77"/>
      <c r="BF1323" s="77"/>
      <c r="BG1323" s="77"/>
      <c r="BH1323" s="77"/>
      <c r="BI1323" s="77"/>
    </row>
    <row r="1324" spans="1:61" ht="15">
      <c r="A1324" s="62" t="s">
        <v>299</v>
      </c>
      <c r="B1324" s="62" t="s">
        <v>299</v>
      </c>
      <c r="C1324" s="63"/>
      <c r="D1324" s="64"/>
      <c r="E1324" s="65"/>
      <c r="F1324" s="66"/>
      <c r="G1324" s="63"/>
      <c r="H1324" s="67"/>
      <c r="I1324" s="68"/>
      <c r="J1324" s="68"/>
      <c r="K1324" s="32" t="s">
        <v>65</v>
      </c>
      <c r="L1324" s="75">
        <v>1324</v>
      </c>
      <c r="M1324" s="75"/>
      <c r="N1324" s="70"/>
      <c r="O1324" s="77" t="s">
        <v>179</v>
      </c>
      <c r="P1324" s="79">
        <v>45267.7355787037</v>
      </c>
      <c r="Q1324" s="77" t="s">
        <v>1693</v>
      </c>
      <c r="R1324" s="77">
        <v>0</v>
      </c>
      <c r="S1324" s="77">
        <v>1</v>
      </c>
      <c r="T1324" s="77">
        <v>0</v>
      </c>
      <c r="U1324" s="77">
        <v>0</v>
      </c>
      <c r="V1324" s="77">
        <v>7</v>
      </c>
      <c r="W1324" s="81" t="s">
        <v>1871</v>
      </c>
      <c r="X1324" s="80" t="str">
        <f>HYPERLINK("https://www.inovies.com")</f>
        <v>https://www.inovies.com</v>
      </c>
      <c r="Y1324" s="77" t="s">
        <v>1982</v>
      </c>
      <c r="Z1324" s="77"/>
      <c r="AA1324" s="77" t="s">
        <v>2691</v>
      </c>
      <c r="AB1324" s="77" t="s">
        <v>2696</v>
      </c>
      <c r="AC1324" s="81" t="s">
        <v>2707</v>
      </c>
      <c r="AD1324" s="77" t="s">
        <v>2752</v>
      </c>
      <c r="AE1324" s="80" t="str">
        <f>HYPERLINK("https://twitter.com/inovies/status/1732817053600432252")</f>
        <v>https://twitter.com/inovies/status/1732817053600432252</v>
      </c>
      <c r="AF1324" s="79">
        <v>45267.7355787037</v>
      </c>
      <c r="AG1324" s="85">
        <v>45267</v>
      </c>
      <c r="AH1324" s="81" t="s">
        <v>3865</v>
      </c>
      <c r="AI1324" s="77" t="b">
        <v>0</v>
      </c>
      <c r="AJ1324" s="77"/>
      <c r="AK1324" s="77"/>
      <c r="AL1324" s="77"/>
      <c r="AM1324" s="77"/>
      <c r="AN1324" s="77"/>
      <c r="AO1324" s="77"/>
      <c r="AP1324" s="77"/>
      <c r="AQ1324" s="77" t="s">
        <v>4505</v>
      </c>
      <c r="AR1324" s="77"/>
      <c r="AS1324" s="77"/>
      <c r="AT1324" s="77"/>
      <c r="AU1324" s="77"/>
      <c r="AV1324" s="80" t="str">
        <f>HYPERLINK("https://pbs.twimg.com/media/GAwz6DFWsAA_Y-Q.jpg")</f>
        <v>https://pbs.twimg.com/media/GAwz6DFWsAA_Y-Q.jpg</v>
      </c>
      <c r="AW1324" s="81" t="s">
        <v>5660</v>
      </c>
      <c r="AX1324" s="81" t="s">
        <v>5660</v>
      </c>
      <c r="AY1324" s="77"/>
      <c r="AZ1324" s="81" t="s">
        <v>5773</v>
      </c>
      <c r="BA1324" s="81" t="s">
        <v>5773</v>
      </c>
      <c r="BB1324" s="81" t="s">
        <v>5773</v>
      </c>
      <c r="BC1324" s="81" t="s">
        <v>5660</v>
      </c>
      <c r="BD1324" s="77">
        <v>297885438</v>
      </c>
      <c r="BE1324" s="77"/>
      <c r="BF1324" s="77"/>
      <c r="BG1324" s="77"/>
      <c r="BH1324" s="77"/>
      <c r="BI1324" s="77"/>
    </row>
    <row r="1325" spans="1:61" ht="15">
      <c r="A1325" s="62" t="s">
        <v>299</v>
      </c>
      <c r="B1325" s="62" t="s">
        <v>299</v>
      </c>
      <c r="C1325" s="63"/>
      <c r="D1325" s="64"/>
      <c r="E1325" s="65"/>
      <c r="F1325" s="66"/>
      <c r="G1325" s="63"/>
      <c r="H1325" s="67"/>
      <c r="I1325" s="68"/>
      <c r="J1325" s="68"/>
      <c r="K1325" s="32" t="s">
        <v>65</v>
      </c>
      <c r="L1325" s="75">
        <v>1325</v>
      </c>
      <c r="M1325" s="75"/>
      <c r="N1325" s="70"/>
      <c r="O1325" s="77" t="s">
        <v>572</v>
      </c>
      <c r="P1325" s="79">
        <v>45267.586388888885</v>
      </c>
      <c r="Q1325" s="77" t="s">
        <v>1694</v>
      </c>
      <c r="R1325" s="77">
        <v>0</v>
      </c>
      <c r="S1325" s="77">
        <v>0</v>
      </c>
      <c r="T1325" s="77">
        <v>0</v>
      </c>
      <c r="U1325" s="77">
        <v>0</v>
      </c>
      <c r="V1325" s="77">
        <v>12</v>
      </c>
      <c r="W1325" s="81" t="s">
        <v>1872</v>
      </c>
      <c r="X1325" s="77"/>
      <c r="Y1325" s="77"/>
      <c r="Z1325" s="77"/>
      <c r="AA1325" s="77"/>
      <c r="AB1325" s="77"/>
      <c r="AC1325" s="81" t="s">
        <v>2707</v>
      </c>
      <c r="AD1325" s="77" t="s">
        <v>2751</v>
      </c>
      <c r="AE1325" s="80" t="str">
        <f>HYPERLINK("https://twitter.com/inovies/status/1732762991358013863")</f>
        <v>https://twitter.com/inovies/status/1732762991358013863</v>
      </c>
      <c r="AF1325" s="79">
        <v>45267.586388888885</v>
      </c>
      <c r="AG1325" s="85">
        <v>45267</v>
      </c>
      <c r="AH1325" s="81" t="s">
        <v>3866</v>
      </c>
      <c r="AI1325" s="77"/>
      <c r="AJ1325" s="77"/>
      <c r="AK1325" s="77"/>
      <c r="AL1325" s="77"/>
      <c r="AM1325" s="77"/>
      <c r="AN1325" s="77"/>
      <c r="AO1325" s="77"/>
      <c r="AP1325" s="77"/>
      <c r="AQ1325" s="77"/>
      <c r="AR1325" s="77"/>
      <c r="AS1325" s="77"/>
      <c r="AT1325" s="77"/>
      <c r="AU1325" s="77"/>
      <c r="AV1325" s="80" t="str">
        <f>HYPERLINK("https://pbs.twimg.com/profile_images/833576943677214720/5ZyUgpEJ_normal.jpg")</f>
        <v>https://pbs.twimg.com/profile_images/833576943677214720/5ZyUgpEJ_normal.jpg</v>
      </c>
      <c r="AW1325" s="81" t="s">
        <v>5661</v>
      </c>
      <c r="AX1325" s="81" t="s">
        <v>5321</v>
      </c>
      <c r="AY1325" s="81" t="s">
        <v>5721</v>
      </c>
      <c r="AZ1325" s="81" t="s">
        <v>5662</v>
      </c>
      <c r="BA1325" s="81" t="s">
        <v>5773</v>
      </c>
      <c r="BB1325" s="81" t="s">
        <v>5773</v>
      </c>
      <c r="BC1325" s="81" t="s">
        <v>5662</v>
      </c>
      <c r="BD1325" s="77">
        <v>297885438</v>
      </c>
      <c r="BE1325" s="77"/>
      <c r="BF1325" s="77"/>
      <c r="BG1325" s="77"/>
      <c r="BH1325" s="77"/>
      <c r="BI1325" s="77"/>
    </row>
    <row r="1326" spans="1:61" ht="15">
      <c r="A1326" s="62" t="s">
        <v>299</v>
      </c>
      <c r="B1326" s="62" t="s">
        <v>299</v>
      </c>
      <c r="C1326" s="63"/>
      <c r="D1326" s="64"/>
      <c r="E1326" s="65"/>
      <c r="F1326" s="66"/>
      <c r="G1326" s="63"/>
      <c r="H1326" s="67"/>
      <c r="I1326" s="68"/>
      <c r="J1326" s="68"/>
      <c r="K1326" s="32" t="s">
        <v>65</v>
      </c>
      <c r="L1326" s="75">
        <v>1326</v>
      </c>
      <c r="M1326" s="75"/>
      <c r="N1326" s="70"/>
      <c r="O1326" s="77" t="s">
        <v>572</v>
      </c>
      <c r="P1326" s="79">
        <v>45267.585960648146</v>
      </c>
      <c r="Q1326" s="77" t="s">
        <v>1695</v>
      </c>
      <c r="R1326" s="77">
        <v>0</v>
      </c>
      <c r="S1326" s="77">
        <v>0</v>
      </c>
      <c r="T1326" s="77">
        <v>1</v>
      </c>
      <c r="U1326" s="77">
        <v>0</v>
      </c>
      <c r="V1326" s="77">
        <v>12</v>
      </c>
      <c r="W1326" s="81" t="s">
        <v>1918</v>
      </c>
      <c r="X1326" s="77"/>
      <c r="Y1326" s="77"/>
      <c r="Z1326" s="77"/>
      <c r="AA1326" s="77"/>
      <c r="AB1326" s="77"/>
      <c r="AC1326" s="81" t="s">
        <v>2707</v>
      </c>
      <c r="AD1326" s="77" t="s">
        <v>2751</v>
      </c>
      <c r="AE1326" s="80" t="str">
        <f>HYPERLINK("https://twitter.com/inovies/status/1732762834176495928")</f>
        <v>https://twitter.com/inovies/status/1732762834176495928</v>
      </c>
      <c r="AF1326" s="79">
        <v>45267.585960648146</v>
      </c>
      <c r="AG1326" s="85">
        <v>45267</v>
      </c>
      <c r="AH1326" s="81" t="s">
        <v>3867</v>
      </c>
      <c r="AI1326" s="77"/>
      <c r="AJ1326" s="77"/>
      <c r="AK1326" s="77"/>
      <c r="AL1326" s="77"/>
      <c r="AM1326" s="77"/>
      <c r="AN1326" s="77"/>
      <c r="AO1326" s="77"/>
      <c r="AP1326" s="77"/>
      <c r="AQ1326" s="77"/>
      <c r="AR1326" s="77"/>
      <c r="AS1326" s="77"/>
      <c r="AT1326" s="77"/>
      <c r="AU1326" s="77"/>
      <c r="AV1326" s="80" t="str">
        <f>HYPERLINK("https://pbs.twimg.com/profile_images/833576943677214720/5ZyUgpEJ_normal.jpg")</f>
        <v>https://pbs.twimg.com/profile_images/833576943677214720/5ZyUgpEJ_normal.jpg</v>
      </c>
      <c r="AW1326" s="81" t="s">
        <v>5662</v>
      </c>
      <c r="AX1326" s="81" t="s">
        <v>5321</v>
      </c>
      <c r="AY1326" s="81" t="s">
        <v>5721</v>
      </c>
      <c r="AZ1326" s="81" t="s">
        <v>5663</v>
      </c>
      <c r="BA1326" s="81" t="s">
        <v>5773</v>
      </c>
      <c r="BB1326" s="81" t="s">
        <v>5773</v>
      </c>
      <c r="BC1326" s="81" t="s">
        <v>5663</v>
      </c>
      <c r="BD1326" s="77">
        <v>297885438</v>
      </c>
      <c r="BE1326" s="77"/>
      <c r="BF1326" s="77"/>
      <c r="BG1326" s="77"/>
      <c r="BH1326" s="77"/>
      <c r="BI1326" s="77"/>
    </row>
    <row r="1327" spans="1:61" ht="15">
      <c r="A1327" s="62" t="s">
        <v>299</v>
      </c>
      <c r="B1327" s="62" t="s">
        <v>299</v>
      </c>
      <c r="C1327" s="63"/>
      <c r="D1327" s="64"/>
      <c r="E1327" s="65"/>
      <c r="F1327" s="66"/>
      <c r="G1327" s="63"/>
      <c r="H1327" s="67"/>
      <c r="I1327" s="68"/>
      <c r="J1327" s="68"/>
      <c r="K1327" s="32" t="s">
        <v>65</v>
      </c>
      <c r="L1327" s="75">
        <v>1327</v>
      </c>
      <c r="M1327" s="75"/>
      <c r="N1327" s="70"/>
      <c r="O1327" s="77" t="s">
        <v>572</v>
      </c>
      <c r="P1327" s="79">
        <v>45267.58497685185</v>
      </c>
      <c r="Q1327" s="77" t="s">
        <v>1696</v>
      </c>
      <c r="R1327" s="77">
        <v>0</v>
      </c>
      <c r="S1327" s="77">
        <v>0</v>
      </c>
      <c r="T1327" s="77">
        <v>1</v>
      </c>
      <c r="U1327" s="77">
        <v>0</v>
      </c>
      <c r="V1327" s="77">
        <v>11</v>
      </c>
      <c r="W1327" s="81" t="s">
        <v>1954</v>
      </c>
      <c r="X1327" s="77"/>
      <c r="Y1327" s="77"/>
      <c r="Z1327" s="77"/>
      <c r="AA1327" s="77"/>
      <c r="AB1327" s="77"/>
      <c r="AC1327" s="81" t="s">
        <v>2707</v>
      </c>
      <c r="AD1327" s="77" t="s">
        <v>2751</v>
      </c>
      <c r="AE1327" s="80" t="str">
        <f>HYPERLINK("https://twitter.com/inovies/status/1732762479229321723")</f>
        <v>https://twitter.com/inovies/status/1732762479229321723</v>
      </c>
      <c r="AF1327" s="79">
        <v>45267.58497685185</v>
      </c>
      <c r="AG1327" s="85">
        <v>45267</v>
      </c>
      <c r="AH1327" s="81" t="s">
        <v>3868</v>
      </c>
      <c r="AI1327" s="77"/>
      <c r="AJ1327" s="77"/>
      <c r="AK1327" s="77"/>
      <c r="AL1327" s="77"/>
      <c r="AM1327" s="77"/>
      <c r="AN1327" s="77"/>
      <c r="AO1327" s="77"/>
      <c r="AP1327" s="77"/>
      <c r="AQ1327" s="77"/>
      <c r="AR1327" s="77"/>
      <c r="AS1327" s="77"/>
      <c r="AT1327" s="77"/>
      <c r="AU1327" s="77"/>
      <c r="AV1327" s="80" t="str">
        <f>HYPERLINK("https://pbs.twimg.com/profile_images/833576943677214720/5ZyUgpEJ_normal.jpg")</f>
        <v>https://pbs.twimg.com/profile_images/833576943677214720/5ZyUgpEJ_normal.jpg</v>
      </c>
      <c r="AW1327" s="81" t="s">
        <v>5663</v>
      </c>
      <c r="AX1327" s="81" t="s">
        <v>5321</v>
      </c>
      <c r="AY1327" s="81" t="s">
        <v>5721</v>
      </c>
      <c r="AZ1327" s="81" t="s">
        <v>5312</v>
      </c>
      <c r="BA1327" s="81" t="s">
        <v>5773</v>
      </c>
      <c r="BB1327" s="81" t="s">
        <v>5773</v>
      </c>
      <c r="BC1327" s="81" t="s">
        <v>5312</v>
      </c>
      <c r="BD1327" s="77">
        <v>297885438</v>
      </c>
      <c r="BE1327" s="77"/>
      <c r="BF1327" s="77"/>
      <c r="BG1327" s="77"/>
      <c r="BH1327" s="77"/>
      <c r="BI1327" s="77"/>
    </row>
    <row r="1328" spans="1:61" ht="15">
      <c r="A1328" s="62" t="s">
        <v>299</v>
      </c>
      <c r="B1328" s="62" t="s">
        <v>299</v>
      </c>
      <c r="C1328" s="63"/>
      <c r="D1328" s="64"/>
      <c r="E1328" s="65"/>
      <c r="F1328" s="66"/>
      <c r="G1328" s="63"/>
      <c r="H1328" s="67"/>
      <c r="I1328" s="68"/>
      <c r="J1328" s="68"/>
      <c r="K1328" s="32" t="s">
        <v>65</v>
      </c>
      <c r="L1328" s="75">
        <v>1328</v>
      </c>
      <c r="M1328" s="75"/>
      <c r="N1328" s="70"/>
      <c r="O1328" s="77" t="s">
        <v>179</v>
      </c>
      <c r="P1328" s="79">
        <v>43173.35497685185</v>
      </c>
      <c r="Q1328" s="77" t="s">
        <v>1697</v>
      </c>
      <c r="R1328" s="77">
        <v>0</v>
      </c>
      <c r="S1328" s="77">
        <v>2</v>
      </c>
      <c r="T1328" s="77">
        <v>0</v>
      </c>
      <c r="U1328" s="77">
        <v>0</v>
      </c>
      <c r="V1328" s="77"/>
      <c r="W1328" s="77"/>
      <c r="X1328" s="77"/>
      <c r="Y1328" s="77"/>
      <c r="Z1328" s="77"/>
      <c r="AA1328" s="77"/>
      <c r="AB1328" s="77"/>
      <c r="AC1328" s="81" t="s">
        <v>2704</v>
      </c>
      <c r="AD1328" s="77" t="s">
        <v>2751</v>
      </c>
      <c r="AE1328" s="80" t="str">
        <f>HYPERLINK("https://twitter.com/inovies/status/973838936660496385")</f>
        <v>https://twitter.com/inovies/status/973838936660496385</v>
      </c>
      <c r="AF1328" s="79">
        <v>43173.35497685185</v>
      </c>
      <c r="AG1328" s="85">
        <v>43173</v>
      </c>
      <c r="AH1328" s="81" t="s">
        <v>3869</v>
      </c>
      <c r="AI1328" s="77"/>
      <c r="AJ1328" s="77" t="s">
        <v>3882</v>
      </c>
      <c r="AK1328" s="77" t="s">
        <v>3889</v>
      </c>
      <c r="AL1328" s="77" t="s">
        <v>3892</v>
      </c>
      <c r="AM1328" s="77" t="s">
        <v>3896</v>
      </c>
      <c r="AN1328" s="77" t="s">
        <v>3903</v>
      </c>
      <c r="AO1328" s="77" t="s">
        <v>3911</v>
      </c>
      <c r="AP1328" s="77" t="s">
        <v>3917</v>
      </c>
      <c r="AQ1328" s="77"/>
      <c r="AR1328" s="77"/>
      <c r="AS1328" s="77"/>
      <c r="AT1328" s="77"/>
      <c r="AU1328" s="77"/>
      <c r="AV1328" s="80" t="str">
        <f>HYPERLINK("https://pbs.twimg.com/profile_images/833576943677214720/5ZyUgpEJ_normal.jpg")</f>
        <v>https://pbs.twimg.com/profile_images/833576943677214720/5ZyUgpEJ_normal.jpg</v>
      </c>
      <c r="AW1328" s="81" t="s">
        <v>5664</v>
      </c>
      <c r="AX1328" s="81" t="s">
        <v>5664</v>
      </c>
      <c r="AY1328" s="77"/>
      <c r="AZ1328" s="81" t="s">
        <v>5773</v>
      </c>
      <c r="BA1328" s="81" t="s">
        <v>5773</v>
      </c>
      <c r="BB1328" s="81" t="s">
        <v>5773</v>
      </c>
      <c r="BC1328" s="81" t="s">
        <v>5664</v>
      </c>
      <c r="BD1328" s="77">
        <v>297885438</v>
      </c>
      <c r="BE1328" s="77"/>
      <c r="BF1328" s="77"/>
      <c r="BG1328" s="77"/>
      <c r="BH1328" s="77"/>
      <c r="BI1328" s="77"/>
    </row>
    <row r="1329" spans="1:61" ht="15">
      <c r="A1329" s="62" t="s">
        <v>299</v>
      </c>
      <c r="B1329" s="62" t="s">
        <v>299</v>
      </c>
      <c r="C1329" s="63"/>
      <c r="D1329" s="64"/>
      <c r="E1329" s="65"/>
      <c r="F1329" s="66"/>
      <c r="G1329" s="63"/>
      <c r="H1329" s="67"/>
      <c r="I1329" s="68"/>
      <c r="J1329" s="68"/>
      <c r="K1329" s="32" t="s">
        <v>65</v>
      </c>
      <c r="L1329" s="75">
        <v>1329</v>
      </c>
      <c r="M1329" s="75"/>
      <c r="N1329" s="70"/>
      <c r="O1329" s="77" t="s">
        <v>179</v>
      </c>
      <c r="P1329" s="79">
        <v>43138.64576388889</v>
      </c>
      <c r="Q1329" s="80" t="str">
        <f>HYPERLINK("https://t.co/2YmztqyaBc")</f>
        <v>https://t.co/2YmztqyaBc</v>
      </c>
      <c r="R1329" s="77">
        <v>0</v>
      </c>
      <c r="S1329" s="77">
        <v>1</v>
      </c>
      <c r="T1329" s="77">
        <v>0</v>
      </c>
      <c r="U1329" s="77">
        <v>0</v>
      </c>
      <c r="V1329" s="77"/>
      <c r="W1329" s="77"/>
      <c r="X1329" s="80" t="str">
        <f>HYPERLINK("https://www.inovies.com/insights/blog/intellectual-property-ip-strategy-that-start-ups-follow")</f>
        <v>https://www.inovies.com/insights/blog/intellectual-property-ip-strategy-that-start-ups-follow</v>
      </c>
      <c r="Y1329" s="77" t="s">
        <v>1982</v>
      </c>
      <c r="Z1329" s="77"/>
      <c r="AA1329" s="77"/>
      <c r="AB1329" s="77"/>
      <c r="AC1329" s="81" t="s">
        <v>2704</v>
      </c>
      <c r="AD1329" s="77" t="s">
        <v>2756</v>
      </c>
      <c r="AE1329" s="80" t="str">
        <f>HYPERLINK("https://twitter.com/inovies/status/961260739737485313")</f>
        <v>https://twitter.com/inovies/status/961260739737485313</v>
      </c>
      <c r="AF1329" s="79">
        <v>43138.64576388889</v>
      </c>
      <c r="AG1329" s="85">
        <v>43138</v>
      </c>
      <c r="AH1329" s="81" t="s">
        <v>3870</v>
      </c>
      <c r="AI1329" s="77" t="b">
        <v>0</v>
      </c>
      <c r="AJ1329" s="77" t="s">
        <v>3882</v>
      </c>
      <c r="AK1329" s="77" t="s">
        <v>3889</v>
      </c>
      <c r="AL1329" s="77" t="s">
        <v>3892</v>
      </c>
      <c r="AM1329" s="77" t="s">
        <v>3896</v>
      </c>
      <c r="AN1329" s="77" t="s">
        <v>3903</v>
      </c>
      <c r="AO1329" s="77" t="s">
        <v>3911</v>
      </c>
      <c r="AP1329" s="77" t="s">
        <v>3917</v>
      </c>
      <c r="AQ1329" s="77"/>
      <c r="AR1329" s="77"/>
      <c r="AS1329" s="77"/>
      <c r="AT1329" s="77"/>
      <c r="AU1329" s="77"/>
      <c r="AV1329" s="80" t="str">
        <f>HYPERLINK("https://pbs.twimg.com/profile_images/833576943677214720/5ZyUgpEJ_normal.jpg")</f>
        <v>https://pbs.twimg.com/profile_images/833576943677214720/5ZyUgpEJ_normal.jpg</v>
      </c>
      <c r="AW1329" s="81" t="s">
        <v>5665</v>
      </c>
      <c r="AX1329" s="81" t="s">
        <v>5665</v>
      </c>
      <c r="AY1329" s="77"/>
      <c r="AZ1329" s="81" t="s">
        <v>5773</v>
      </c>
      <c r="BA1329" s="81" t="s">
        <v>5773</v>
      </c>
      <c r="BB1329" s="81" t="s">
        <v>5773</v>
      </c>
      <c r="BC1329" s="81" t="s">
        <v>5665</v>
      </c>
      <c r="BD1329" s="77">
        <v>297885438</v>
      </c>
      <c r="BE1329" s="77"/>
      <c r="BF1329" s="77"/>
      <c r="BG1329" s="77"/>
      <c r="BH1329" s="77"/>
      <c r="BI1329" s="77"/>
    </row>
    <row r="1330" spans="1:61" ht="15">
      <c r="A1330" s="62" t="s">
        <v>299</v>
      </c>
      <c r="B1330" s="62" t="s">
        <v>299</v>
      </c>
      <c r="C1330" s="63"/>
      <c r="D1330" s="64"/>
      <c r="E1330" s="65"/>
      <c r="F1330" s="66"/>
      <c r="G1330" s="63"/>
      <c r="H1330" s="67"/>
      <c r="I1330" s="68"/>
      <c r="J1330" s="68"/>
      <c r="K1330" s="32" t="s">
        <v>65</v>
      </c>
      <c r="L1330" s="75">
        <v>1330</v>
      </c>
      <c r="M1330" s="75"/>
      <c r="N1330" s="70"/>
      <c r="O1330" s="77" t="s">
        <v>179</v>
      </c>
      <c r="P1330" s="79">
        <v>45281.834131944444</v>
      </c>
      <c r="Q1330" s="77" t="s">
        <v>1698</v>
      </c>
      <c r="R1330" s="77">
        <v>0</v>
      </c>
      <c r="S1330" s="77">
        <v>0</v>
      </c>
      <c r="T1330" s="77">
        <v>0</v>
      </c>
      <c r="U1330" s="77">
        <v>0</v>
      </c>
      <c r="V1330" s="77">
        <v>8</v>
      </c>
      <c r="W1330" s="81" t="s">
        <v>1955</v>
      </c>
      <c r="X1330" s="77"/>
      <c r="Y1330" s="77"/>
      <c r="Z1330" s="77"/>
      <c r="AA1330" s="77"/>
      <c r="AB1330" s="77"/>
      <c r="AC1330" s="81" t="s">
        <v>2707</v>
      </c>
      <c r="AD1330" s="77" t="s">
        <v>2751</v>
      </c>
      <c r="AE1330" s="80" t="str">
        <f>HYPERLINK("https://twitter.com/inovies/status/1737926199429521862")</f>
        <v>https://twitter.com/inovies/status/1737926199429521862</v>
      </c>
      <c r="AF1330" s="79">
        <v>45281.834131944444</v>
      </c>
      <c r="AG1330" s="85">
        <v>45281</v>
      </c>
      <c r="AH1330" s="81" t="s">
        <v>3871</v>
      </c>
      <c r="AI1330" s="77"/>
      <c r="AJ1330" s="77"/>
      <c r="AK1330" s="77"/>
      <c r="AL1330" s="77"/>
      <c r="AM1330" s="77"/>
      <c r="AN1330" s="77"/>
      <c r="AO1330" s="77"/>
      <c r="AP1330" s="77"/>
      <c r="AQ1330" s="77"/>
      <c r="AR1330" s="77"/>
      <c r="AS1330" s="77"/>
      <c r="AT1330" s="77"/>
      <c r="AU1330" s="77"/>
      <c r="AV1330" s="80" t="str">
        <f>HYPERLINK("https://pbs.twimg.com/profile_images/833576943677214720/5ZyUgpEJ_normal.jpg")</f>
        <v>https://pbs.twimg.com/profile_images/833576943677214720/5ZyUgpEJ_normal.jpg</v>
      </c>
      <c r="AW1330" s="81" t="s">
        <v>5666</v>
      </c>
      <c r="AX1330" s="81" t="s">
        <v>5666</v>
      </c>
      <c r="AY1330" s="77"/>
      <c r="AZ1330" s="81" t="s">
        <v>5773</v>
      </c>
      <c r="BA1330" s="81" t="s">
        <v>5773</v>
      </c>
      <c r="BB1330" s="81" t="s">
        <v>5773</v>
      </c>
      <c r="BC1330" s="81" t="s">
        <v>5666</v>
      </c>
      <c r="BD1330" s="77">
        <v>297885438</v>
      </c>
      <c r="BE1330" s="77"/>
      <c r="BF1330" s="77"/>
      <c r="BG1330" s="77"/>
      <c r="BH1330" s="77"/>
      <c r="BI1330" s="77"/>
    </row>
    <row r="1331" spans="1:61" ht="15">
      <c r="A1331" s="62" t="s">
        <v>299</v>
      </c>
      <c r="B1331" s="62" t="s">
        <v>299</v>
      </c>
      <c r="C1331" s="63"/>
      <c r="D1331" s="64"/>
      <c r="E1331" s="65"/>
      <c r="F1331" s="66"/>
      <c r="G1331" s="63"/>
      <c r="H1331" s="67"/>
      <c r="I1331" s="68"/>
      <c r="J1331" s="68"/>
      <c r="K1331" s="32" t="s">
        <v>65</v>
      </c>
      <c r="L1331" s="75">
        <v>1331</v>
      </c>
      <c r="M1331" s="75"/>
      <c r="N1331" s="70"/>
      <c r="O1331" s="77" t="s">
        <v>179</v>
      </c>
      <c r="P1331" s="79">
        <v>45267.166863425926</v>
      </c>
      <c r="Q1331" s="77" t="s">
        <v>1699</v>
      </c>
      <c r="R1331" s="77">
        <v>0</v>
      </c>
      <c r="S1331" s="77">
        <v>0</v>
      </c>
      <c r="T1331" s="77">
        <v>0</v>
      </c>
      <c r="U1331" s="77">
        <v>0</v>
      </c>
      <c r="V1331" s="77">
        <v>24</v>
      </c>
      <c r="W1331" s="81" t="s">
        <v>1956</v>
      </c>
      <c r="X1331" s="77"/>
      <c r="Y1331" s="77"/>
      <c r="Z1331" s="77"/>
      <c r="AA1331" s="77" t="s">
        <v>2692</v>
      </c>
      <c r="AB1331" s="77" t="s">
        <v>2696</v>
      </c>
      <c r="AC1331" s="81" t="s">
        <v>2707</v>
      </c>
      <c r="AD1331" s="77" t="s">
        <v>2751</v>
      </c>
      <c r="AE1331" s="80" t="str">
        <f>HYPERLINK("https://twitter.com/inovies/status/1732610959393407031")</f>
        <v>https://twitter.com/inovies/status/1732610959393407031</v>
      </c>
      <c r="AF1331" s="79">
        <v>45267.166863425926</v>
      </c>
      <c r="AG1331" s="85">
        <v>45267</v>
      </c>
      <c r="AH1331" s="81" t="s">
        <v>3872</v>
      </c>
      <c r="AI1331" s="77" t="b">
        <v>0</v>
      </c>
      <c r="AJ1331" s="77"/>
      <c r="AK1331" s="77"/>
      <c r="AL1331" s="77"/>
      <c r="AM1331" s="77"/>
      <c r="AN1331" s="77"/>
      <c r="AO1331" s="77"/>
      <c r="AP1331" s="77"/>
      <c r="AQ1331" s="77" t="s">
        <v>4506</v>
      </c>
      <c r="AR1331" s="77"/>
      <c r="AS1331" s="77"/>
      <c r="AT1331" s="77"/>
      <c r="AU1331" s="77"/>
      <c r="AV1331" s="80" t="str">
        <f>HYPERLINK("https://pbs.twimg.com/media/GAt31eAX0AAFOkB.jpg")</f>
        <v>https://pbs.twimg.com/media/GAt31eAX0AAFOkB.jpg</v>
      </c>
      <c r="AW1331" s="81" t="s">
        <v>5667</v>
      </c>
      <c r="AX1331" s="81" t="s">
        <v>5667</v>
      </c>
      <c r="AY1331" s="77"/>
      <c r="AZ1331" s="81" t="s">
        <v>5773</v>
      </c>
      <c r="BA1331" s="81" t="s">
        <v>5773</v>
      </c>
      <c r="BB1331" s="81" t="s">
        <v>5773</v>
      </c>
      <c r="BC1331" s="81" t="s">
        <v>5667</v>
      </c>
      <c r="BD1331" s="77">
        <v>297885438</v>
      </c>
      <c r="BE1331" s="77"/>
      <c r="BF1331" s="77"/>
      <c r="BG1331" s="77"/>
      <c r="BH1331" s="77"/>
      <c r="BI1331" s="77"/>
    </row>
    <row r="1332" spans="1:61" ht="15">
      <c r="A1332" s="62" t="s">
        <v>299</v>
      </c>
      <c r="B1332" s="62" t="s">
        <v>299</v>
      </c>
      <c r="C1332" s="63"/>
      <c r="D1332" s="64"/>
      <c r="E1332" s="65"/>
      <c r="F1332" s="66"/>
      <c r="G1332" s="63"/>
      <c r="H1332" s="67"/>
      <c r="I1332" s="68"/>
      <c r="J1332" s="68"/>
      <c r="K1332" s="32" t="s">
        <v>65</v>
      </c>
      <c r="L1332" s="75">
        <v>1332</v>
      </c>
      <c r="M1332" s="75"/>
      <c r="N1332" s="70"/>
      <c r="O1332" s="77" t="s">
        <v>179</v>
      </c>
      <c r="P1332" s="79">
        <v>43025.444861111115</v>
      </c>
      <c r="Q1332" s="77" t="s">
        <v>1700</v>
      </c>
      <c r="R1332" s="77">
        <v>1</v>
      </c>
      <c r="S1332" s="77">
        <v>4</v>
      </c>
      <c r="T1332" s="77">
        <v>0</v>
      </c>
      <c r="U1332" s="77">
        <v>0</v>
      </c>
      <c r="V1332" s="77"/>
      <c r="W1332" s="81" t="s">
        <v>1943</v>
      </c>
      <c r="X1332" s="77"/>
      <c r="Y1332" s="77"/>
      <c r="Z1332" s="77"/>
      <c r="AA1332" s="77"/>
      <c r="AB1332" s="77"/>
      <c r="AC1332" s="81" t="s">
        <v>2705</v>
      </c>
      <c r="AD1332" s="77" t="s">
        <v>2751</v>
      </c>
      <c r="AE1332" s="80" t="str">
        <f>HYPERLINK("https://twitter.com/inovies/status/920238108255199232")</f>
        <v>https://twitter.com/inovies/status/920238108255199232</v>
      </c>
      <c r="AF1332" s="79">
        <v>43025.444861111115</v>
      </c>
      <c r="AG1332" s="85">
        <v>43025</v>
      </c>
      <c r="AH1332" s="81" t="s">
        <v>3873</v>
      </c>
      <c r="AI1332" s="77"/>
      <c r="AJ1332" s="77"/>
      <c r="AK1332" s="77"/>
      <c r="AL1332" s="77"/>
      <c r="AM1332" s="77"/>
      <c r="AN1332" s="77"/>
      <c r="AO1332" s="77"/>
      <c r="AP1332" s="77"/>
      <c r="AQ1332" s="77"/>
      <c r="AR1332" s="77"/>
      <c r="AS1332" s="77"/>
      <c r="AT1332" s="77"/>
      <c r="AU1332" s="77"/>
      <c r="AV1332" s="80" t="str">
        <f>HYPERLINK("https://pbs.twimg.com/profile_images/833576943677214720/5ZyUgpEJ_normal.jpg")</f>
        <v>https://pbs.twimg.com/profile_images/833576943677214720/5ZyUgpEJ_normal.jpg</v>
      </c>
      <c r="AW1332" s="81" t="s">
        <v>5668</v>
      </c>
      <c r="AX1332" s="81" t="s">
        <v>5668</v>
      </c>
      <c r="AY1332" s="77"/>
      <c r="AZ1332" s="81" t="s">
        <v>5773</v>
      </c>
      <c r="BA1332" s="81" t="s">
        <v>5773</v>
      </c>
      <c r="BB1332" s="81" t="s">
        <v>5773</v>
      </c>
      <c r="BC1332" s="81" t="s">
        <v>5668</v>
      </c>
      <c r="BD1332" s="77">
        <v>297885438</v>
      </c>
      <c r="BE1332" s="77"/>
      <c r="BF1332" s="77"/>
      <c r="BG1332" s="77"/>
      <c r="BH1332" s="77"/>
      <c r="BI1332" s="77"/>
    </row>
    <row r="1333" spans="1:61" ht="15">
      <c r="A1333" s="62" t="s">
        <v>299</v>
      </c>
      <c r="B1333" s="62" t="s">
        <v>299</v>
      </c>
      <c r="C1333" s="63"/>
      <c r="D1333" s="64"/>
      <c r="E1333" s="65"/>
      <c r="F1333" s="66"/>
      <c r="G1333" s="63"/>
      <c r="H1333" s="67"/>
      <c r="I1333" s="68"/>
      <c r="J1333" s="68"/>
      <c r="K1333" s="32" t="s">
        <v>65</v>
      </c>
      <c r="L1333" s="75">
        <v>1333</v>
      </c>
      <c r="M1333" s="75"/>
      <c r="N1333" s="70"/>
      <c r="O1333" s="77" t="s">
        <v>179</v>
      </c>
      <c r="P1333" s="79">
        <v>42788.42758101852</v>
      </c>
      <c r="Q1333" s="77" t="s">
        <v>1701</v>
      </c>
      <c r="R1333" s="77">
        <v>1</v>
      </c>
      <c r="S1333" s="77">
        <v>1</v>
      </c>
      <c r="T1333" s="77">
        <v>0</v>
      </c>
      <c r="U1333" s="77">
        <v>0</v>
      </c>
      <c r="V1333" s="77"/>
      <c r="W1333" s="77"/>
      <c r="X1333" s="80" t="str">
        <f>HYPERLINK("https://yourstory.com/2016/11/4ec59cb4da-i-would-love-to-turn-odds-to-my-favor/")</f>
        <v>https://yourstory.com/2016/11/4ec59cb4da-i-would-love-to-turn-odds-to-my-favor/</v>
      </c>
      <c r="Y1333" s="77" t="s">
        <v>2005</v>
      </c>
      <c r="Z1333" s="77"/>
      <c r="AA1333" s="77" t="s">
        <v>2693</v>
      </c>
      <c r="AB1333" s="77" t="s">
        <v>2696</v>
      </c>
      <c r="AC1333" s="81" t="s">
        <v>2705</v>
      </c>
      <c r="AD1333" s="77" t="s">
        <v>2756</v>
      </c>
      <c r="AE1333" s="80" t="str">
        <f>HYPERLINK("https://twitter.com/inovies/status/834345919051071489")</f>
        <v>https://twitter.com/inovies/status/834345919051071489</v>
      </c>
      <c r="AF1333" s="79">
        <v>42788.42758101852</v>
      </c>
      <c r="AG1333" s="85">
        <v>42788</v>
      </c>
      <c r="AH1333" s="81" t="s">
        <v>3874</v>
      </c>
      <c r="AI1333" s="77" t="b">
        <v>0</v>
      </c>
      <c r="AJ1333" s="77"/>
      <c r="AK1333" s="77"/>
      <c r="AL1333" s="77"/>
      <c r="AM1333" s="77"/>
      <c r="AN1333" s="77"/>
      <c r="AO1333" s="77"/>
      <c r="AP1333" s="77"/>
      <c r="AQ1333" s="77" t="s">
        <v>4507</v>
      </c>
      <c r="AR1333" s="77"/>
      <c r="AS1333" s="77"/>
      <c r="AT1333" s="77"/>
      <c r="AU1333" s="77"/>
      <c r="AV1333" s="80" t="str">
        <f>HYPERLINK("https://pbs.twimg.com/media/C5Qw84IW8AA81t4.jpg")</f>
        <v>https://pbs.twimg.com/media/C5Qw84IW8AA81t4.jpg</v>
      </c>
      <c r="AW1333" s="81" t="s">
        <v>5669</v>
      </c>
      <c r="AX1333" s="81" t="s">
        <v>5669</v>
      </c>
      <c r="AY1333" s="77"/>
      <c r="AZ1333" s="81" t="s">
        <v>5773</v>
      </c>
      <c r="BA1333" s="81" t="s">
        <v>5773</v>
      </c>
      <c r="BB1333" s="81" t="s">
        <v>5773</v>
      </c>
      <c r="BC1333" s="81" t="s">
        <v>5669</v>
      </c>
      <c r="BD1333" s="77">
        <v>297885438</v>
      </c>
      <c r="BE1333" s="77"/>
      <c r="BF1333" s="77"/>
      <c r="BG1333" s="77"/>
      <c r="BH1333" s="77"/>
      <c r="BI1333" s="77"/>
    </row>
    <row r="1334" spans="1:61" ht="15">
      <c r="A1334" s="62" t="s">
        <v>416</v>
      </c>
      <c r="B1334" s="62" t="s">
        <v>299</v>
      </c>
      <c r="C1334" s="63"/>
      <c r="D1334" s="64"/>
      <c r="E1334" s="65"/>
      <c r="F1334" s="66"/>
      <c r="G1334" s="63"/>
      <c r="H1334" s="67"/>
      <c r="I1334" s="68"/>
      <c r="J1334" s="68"/>
      <c r="K1334" s="32" t="s">
        <v>65</v>
      </c>
      <c r="L1334" s="75">
        <v>1334</v>
      </c>
      <c r="M1334" s="75"/>
      <c r="N1334" s="70"/>
      <c r="O1334" s="77" t="s">
        <v>571</v>
      </c>
      <c r="P1334" s="79">
        <v>42956.652280092596</v>
      </c>
      <c r="Q1334" s="77" t="s">
        <v>1121</v>
      </c>
      <c r="R1334" s="77">
        <v>0</v>
      </c>
      <c r="S1334" s="77">
        <v>0</v>
      </c>
      <c r="T1334" s="77">
        <v>0</v>
      </c>
      <c r="U1334" s="77">
        <v>0</v>
      </c>
      <c r="V1334" s="77"/>
      <c r="W1334" s="77"/>
      <c r="X1334" s="77"/>
      <c r="Y1334" s="77"/>
      <c r="Z1334" s="77" t="s">
        <v>2102</v>
      </c>
      <c r="AA1334" s="77"/>
      <c r="AB1334" s="77"/>
      <c r="AC1334" s="81" t="s">
        <v>2714</v>
      </c>
      <c r="AD1334" s="77" t="s">
        <v>2751</v>
      </c>
      <c r="AE1334" s="80" t="str">
        <f>HYPERLINK("https://twitter.com/wiergeezy/status/895308510719823874")</f>
        <v>https://twitter.com/wiergeezy/status/895308510719823874</v>
      </c>
      <c r="AF1334" s="79">
        <v>42956.652280092596</v>
      </c>
      <c r="AG1334" s="85">
        <v>42956</v>
      </c>
      <c r="AH1334" s="81" t="s">
        <v>3313</v>
      </c>
      <c r="AI1334" s="77"/>
      <c r="AJ1334" s="77"/>
      <c r="AK1334" s="77"/>
      <c r="AL1334" s="77"/>
      <c r="AM1334" s="77"/>
      <c r="AN1334" s="77"/>
      <c r="AO1334" s="77"/>
      <c r="AP1334" s="77"/>
      <c r="AQ1334" s="77"/>
      <c r="AR1334" s="77"/>
      <c r="AS1334" s="77"/>
      <c r="AT1334" s="77"/>
      <c r="AU1334" s="77"/>
      <c r="AV1334" s="80" t="str">
        <f>HYPERLINK("https://pbs.twimg.com/profile_images/1716218904102473728/hm74tMme_normal.jpg")</f>
        <v>https://pbs.twimg.com/profile_images/1716218904102473728/hm74tMme_normal.jpg</v>
      </c>
      <c r="AW1334" s="81" t="s">
        <v>5059</v>
      </c>
      <c r="AX1334" s="81" t="s">
        <v>5059</v>
      </c>
      <c r="AY1334" s="81" t="s">
        <v>5721</v>
      </c>
      <c r="AZ1334" s="81" t="s">
        <v>5773</v>
      </c>
      <c r="BA1334" s="81" t="s">
        <v>5773</v>
      </c>
      <c r="BB1334" s="81" t="s">
        <v>5773</v>
      </c>
      <c r="BC1334" s="81" t="s">
        <v>5059</v>
      </c>
      <c r="BD1334" s="77">
        <v>3379407430</v>
      </c>
      <c r="BE1334" s="77"/>
      <c r="BF1334" s="77"/>
      <c r="BG1334" s="77"/>
      <c r="BH1334" s="77"/>
      <c r="BI1334" s="77"/>
    </row>
    <row r="1335" spans="1:61" ht="15">
      <c r="A1335" s="62" t="s">
        <v>417</v>
      </c>
      <c r="B1335" s="62" t="s">
        <v>417</v>
      </c>
      <c r="C1335" s="63"/>
      <c r="D1335" s="64"/>
      <c r="E1335" s="65"/>
      <c r="F1335" s="66"/>
      <c r="G1335" s="63"/>
      <c r="H1335" s="67"/>
      <c r="I1335" s="68"/>
      <c r="J1335" s="68"/>
      <c r="K1335" s="32" t="s">
        <v>65</v>
      </c>
      <c r="L1335" s="75">
        <v>1335</v>
      </c>
      <c r="M1335" s="75"/>
      <c r="N1335" s="70"/>
      <c r="O1335" s="77" t="s">
        <v>179</v>
      </c>
      <c r="P1335" s="79">
        <v>40712.77730324074</v>
      </c>
      <c r="Q1335" s="77" t="s">
        <v>1702</v>
      </c>
      <c r="R1335" s="77">
        <v>0</v>
      </c>
      <c r="S1335" s="77">
        <v>0</v>
      </c>
      <c r="T1335" s="77">
        <v>0</v>
      </c>
      <c r="U1335" s="77">
        <v>0</v>
      </c>
      <c r="V1335" s="77"/>
      <c r="W1335" s="77"/>
      <c r="X1335" s="77"/>
      <c r="Y1335" s="77"/>
      <c r="Z1335" s="77"/>
      <c r="AA1335" s="77"/>
      <c r="AB1335" s="77"/>
      <c r="AC1335" s="81" t="s">
        <v>2750</v>
      </c>
      <c r="AD1335" s="77" t="s">
        <v>2751</v>
      </c>
      <c r="AE1335" s="80" t="str">
        <f>HYPERLINK("https://twitter.com/jobsposot_in/status/82155445371944960")</f>
        <v>https://twitter.com/jobsposot_in/status/82155445371944960</v>
      </c>
      <c r="AF1335" s="79">
        <v>40712.77730324074</v>
      </c>
      <c r="AG1335" s="85">
        <v>40712</v>
      </c>
      <c r="AH1335" s="81" t="s">
        <v>3875</v>
      </c>
      <c r="AI1335" s="77"/>
      <c r="AJ1335" s="77"/>
      <c r="AK1335" s="77"/>
      <c r="AL1335" s="77"/>
      <c r="AM1335" s="77"/>
      <c r="AN1335" s="77"/>
      <c r="AO1335" s="77"/>
      <c r="AP1335" s="77"/>
      <c r="AQ1335" s="77"/>
      <c r="AR1335" s="77"/>
      <c r="AS1335" s="77"/>
      <c r="AT1335" s="77"/>
      <c r="AU1335" s="77"/>
      <c r="AV1335" s="80" t="str">
        <f>HYPERLINK("https://pbs.twimg.com/profile_images/1393883122/Fvc_ptrabajos_H_normal.jpg")</f>
        <v>https://pbs.twimg.com/profile_images/1393883122/Fvc_ptrabajos_H_normal.jpg</v>
      </c>
      <c r="AW1335" s="81" t="s">
        <v>5670</v>
      </c>
      <c r="AX1335" s="81" t="s">
        <v>5670</v>
      </c>
      <c r="AY1335" s="77"/>
      <c r="AZ1335" s="81" t="s">
        <v>5773</v>
      </c>
      <c r="BA1335" s="81" t="s">
        <v>5773</v>
      </c>
      <c r="BB1335" s="81" t="s">
        <v>5773</v>
      </c>
      <c r="BC1335" s="81" t="s">
        <v>5670</v>
      </c>
      <c r="BD1335" s="77">
        <v>316356602</v>
      </c>
      <c r="BE1335" s="77"/>
      <c r="BF1335" s="77"/>
      <c r="BG1335" s="77"/>
      <c r="BH1335" s="77"/>
      <c r="BI1335" s="77"/>
    </row>
    <row r="1336" spans="1:61" ht="15">
      <c r="A1336" s="62" t="s">
        <v>418</v>
      </c>
      <c r="B1336" s="62" t="s">
        <v>530</v>
      </c>
      <c r="C1336" s="63"/>
      <c r="D1336" s="64"/>
      <c r="E1336" s="65"/>
      <c r="F1336" s="66"/>
      <c r="G1336" s="63"/>
      <c r="H1336" s="67"/>
      <c r="I1336" s="68"/>
      <c r="J1336" s="68"/>
      <c r="K1336" s="32" t="s">
        <v>65</v>
      </c>
      <c r="L1336" s="75">
        <v>1336</v>
      </c>
      <c r="M1336" s="75"/>
      <c r="N1336" s="70"/>
      <c r="O1336" s="77" t="s">
        <v>571</v>
      </c>
      <c r="P1336" s="79">
        <v>41253.30018518519</v>
      </c>
      <c r="Q1336" s="77" t="s">
        <v>1703</v>
      </c>
      <c r="R1336" s="77">
        <v>0</v>
      </c>
      <c r="S1336" s="77">
        <v>0</v>
      </c>
      <c r="T1336" s="77">
        <v>0</v>
      </c>
      <c r="U1336" s="77">
        <v>0</v>
      </c>
      <c r="V1336" s="77"/>
      <c r="W1336" s="77"/>
      <c r="X1336" s="80" t="str">
        <f>HYPERLINK("http://shar.es/6QVIG")</f>
        <v>http://shar.es/6QVIG</v>
      </c>
      <c r="Y1336" s="77" t="s">
        <v>2017</v>
      </c>
      <c r="Z1336" s="77" t="s">
        <v>530</v>
      </c>
      <c r="AA1336" s="77"/>
      <c r="AB1336" s="77"/>
      <c r="AC1336" s="81" t="s">
        <v>2712</v>
      </c>
      <c r="AD1336" s="77" t="s">
        <v>2751</v>
      </c>
      <c r="AE1336" s="80" t="str">
        <f>HYPERLINK("https://twitter.com/srikanth55557/status/278034378607697920")</f>
        <v>https://twitter.com/srikanth55557/status/278034378607697920</v>
      </c>
      <c r="AF1336" s="79">
        <v>41253.30018518519</v>
      </c>
      <c r="AG1336" s="85">
        <v>41253</v>
      </c>
      <c r="AH1336" s="81" t="s">
        <v>3876</v>
      </c>
      <c r="AI1336" s="77" t="b">
        <v>0</v>
      </c>
      <c r="AJ1336" s="77"/>
      <c r="AK1336" s="77"/>
      <c r="AL1336" s="77"/>
      <c r="AM1336" s="77"/>
      <c r="AN1336" s="77"/>
      <c r="AO1336" s="77"/>
      <c r="AP1336" s="77"/>
      <c r="AQ1336" s="77"/>
      <c r="AR1336" s="77"/>
      <c r="AS1336" s="77"/>
      <c r="AT1336" s="77"/>
      <c r="AU1336" s="77"/>
      <c r="AV1336" s="80" t="str">
        <f>HYPERLINK("https://abs.twimg.com/sticky/default_profile_images/default_profile_normal.png")</f>
        <v>https://abs.twimg.com/sticky/default_profile_images/default_profile_normal.png</v>
      </c>
      <c r="AW1336" s="81" t="s">
        <v>5671</v>
      </c>
      <c r="AX1336" s="81" t="s">
        <v>5671</v>
      </c>
      <c r="AY1336" s="77"/>
      <c r="AZ1336" s="81" t="s">
        <v>5773</v>
      </c>
      <c r="BA1336" s="81" t="s">
        <v>5773</v>
      </c>
      <c r="BB1336" s="81" t="s">
        <v>5773</v>
      </c>
      <c r="BC1336" s="81" t="s">
        <v>5671</v>
      </c>
      <c r="BD1336" s="77">
        <v>992691660</v>
      </c>
      <c r="BE1336" s="77"/>
      <c r="BF1336" s="77"/>
      <c r="BG1336" s="77"/>
      <c r="BH1336" s="77"/>
      <c r="BI1336" s="77"/>
    </row>
    <row r="1337" spans="1:61" ht="15">
      <c r="A1337" s="62" t="s">
        <v>418</v>
      </c>
      <c r="B1337" s="62" t="s">
        <v>530</v>
      </c>
      <c r="C1337" s="63"/>
      <c r="D1337" s="64"/>
      <c r="E1337" s="65"/>
      <c r="F1337" s="66"/>
      <c r="G1337" s="63"/>
      <c r="H1337" s="67"/>
      <c r="I1337" s="68"/>
      <c r="J1337" s="68"/>
      <c r="K1337" s="32" t="s">
        <v>65</v>
      </c>
      <c r="L1337" s="75">
        <v>1337</v>
      </c>
      <c r="M1337" s="75"/>
      <c r="N1337" s="70"/>
      <c r="O1337" s="77" t="s">
        <v>571</v>
      </c>
      <c r="P1337" s="79">
        <v>41253.299155092594</v>
      </c>
      <c r="Q1337" s="77" t="s">
        <v>1704</v>
      </c>
      <c r="R1337" s="77">
        <v>0</v>
      </c>
      <c r="S1337" s="77">
        <v>0</v>
      </c>
      <c r="T1337" s="77">
        <v>0</v>
      </c>
      <c r="U1337" s="77">
        <v>0</v>
      </c>
      <c r="V1337" s="77"/>
      <c r="W1337" s="77"/>
      <c r="X1337" s="80" t="str">
        <f>HYPERLINK("http://shar.es/6QVkM")</f>
        <v>http://shar.es/6QVkM</v>
      </c>
      <c r="Y1337" s="77" t="s">
        <v>2017</v>
      </c>
      <c r="Z1337" s="77" t="s">
        <v>530</v>
      </c>
      <c r="AA1337" s="77"/>
      <c r="AB1337" s="77"/>
      <c r="AC1337" s="81" t="s">
        <v>2712</v>
      </c>
      <c r="AD1337" s="77" t="s">
        <v>2751</v>
      </c>
      <c r="AE1337" s="80" t="str">
        <f>HYPERLINK("https://twitter.com/srikanth55557/status/278034005335633921")</f>
        <v>https://twitter.com/srikanth55557/status/278034005335633921</v>
      </c>
      <c r="AF1337" s="79">
        <v>41253.299155092594</v>
      </c>
      <c r="AG1337" s="85">
        <v>41253</v>
      </c>
      <c r="AH1337" s="81" t="s">
        <v>3877</v>
      </c>
      <c r="AI1337" s="77" t="b">
        <v>0</v>
      </c>
      <c r="AJ1337" s="77"/>
      <c r="AK1337" s="77"/>
      <c r="AL1337" s="77"/>
      <c r="AM1337" s="77"/>
      <c r="AN1337" s="77"/>
      <c r="AO1337" s="77"/>
      <c r="AP1337" s="77"/>
      <c r="AQ1337" s="77"/>
      <c r="AR1337" s="77"/>
      <c r="AS1337" s="77"/>
      <c r="AT1337" s="77"/>
      <c r="AU1337" s="77"/>
      <c r="AV1337" s="80" t="str">
        <f>HYPERLINK("https://abs.twimg.com/sticky/default_profile_images/default_profile_normal.png")</f>
        <v>https://abs.twimg.com/sticky/default_profile_images/default_profile_normal.png</v>
      </c>
      <c r="AW1337" s="81" t="s">
        <v>5672</v>
      </c>
      <c r="AX1337" s="81" t="s">
        <v>5672</v>
      </c>
      <c r="AY1337" s="77"/>
      <c r="AZ1337" s="81" t="s">
        <v>5773</v>
      </c>
      <c r="BA1337" s="81" t="s">
        <v>5773</v>
      </c>
      <c r="BB1337" s="81" t="s">
        <v>5773</v>
      </c>
      <c r="BC1337" s="81" t="s">
        <v>5672</v>
      </c>
      <c r="BD1337" s="77">
        <v>992691660</v>
      </c>
      <c r="BE1337" s="77"/>
      <c r="BF1337" s="77"/>
      <c r="BG1337" s="77"/>
      <c r="BH1337" s="77"/>
      <c r="BI1337" s="77"/>
    </row>
    <row r="1338" spans="1:61" ht="15">
      <c r="A1338" s="62" t="s">
        <v>418</v>
      </c>
      <c r="B1338" s="62" t="s">
        <v>530</v>
      </c>
      <c r="C1338" s="63"/>
      <c r="D1338" s="64"/>
      <c r="E1338" s="65"/>
      <c r="F1338" s="66"/>
      <c r="G1338" s="63"/>
      <c r="H1338" s="67"/>
      <c r="I1338" s="68"/>
      <c r="J1338" s="68"/>
      <c r="K1338" s="32" t="s">
        <v>65</v>
      </c>
      <c r="L1338" s="75">
        <v>1338</v>
      </c>
      <c r="M1338" s="75"/>
      <c r="N1338" s="70"/>
      <c r="O1338" s="77" t="s">
        <v>571</v>
      </c>
      <c r="P1338" s="79">
        <v>41253.28162037037</v>
      </c>
      <c r="Q1338" s="77" t="s">
        <v>1705</v>
      </c>
      <c r="R1338" s="77">
        <v>0</v>
      </c>
      <c r="S1338" s="77">
        <v>0</v>
      </c>
      <c r="T1338" s="77">
        <v>0</v>
      </c>
      <c r="U1338" s="77">
        <v>0</v>
      </c>
      <c r="V1338" s="77"/>
      <c r="W1338" s="77"/>
      <c r="X1338" s="80" t="str">
        <f>HYPERLINK("http://shar.es/6QTXQ")</f>
        <v>http://shar.es/6QTXQ</v>
      </c>
      <c r="Y1338" s="77" t="s">
        <v>2017</v>
      </c>
      <c r="Z1338" s="77" t="s">
        <v>530</v>
      </c>
      <c r="AA1338" s="77"/>
      <c r="AB1338" s="77"/>
      <c r="AC1338" s="81" t="s">
        <v>2712</v>
      </c>
      <c r="AD1338" s="77" t="s">
        <v>2751</v>
      </c>
      <c r="AE1338" s="80" t="str">
        <f>HYPERLINK("https://twitter.com/srikanth55557/status/278027651002802176")</f>
        <v>https://twitter.com/srikanth55557/status/278027651002802176</v>
      </c>
      <c r="AF1338" s="79">
        <v>41253.28162037037</v>
      </c>
      <c r="AG1338" s="85">
        <v>41253</v>
      </c>
      <c r="AH1338" s="81" t="s">
        <v>3878</v>
      </c>
      <c r="AI1338" s="77" t="b">
        <v>0</v>
      </c>
      <c r="AJ1338" s="77"/>
      <c r="AK1338" s="77"/>
      <c r="AL1338" s="77"/>
      <c r="AM1338" s="77"/>
      <c r="AN1338" s="77"/>
      <c r="AO1338" s="77"/>
      <c r="AP1338" s="77"/>
      <c r="AQ1338" s="77"/>
      <c r="AR1338" s="77"/>
      <c r="AS1338" s="77"/>
      <c r="AT1338" s="77"/>
      <c r="AU1338" s="77"/>
      <c r="AV1338" s="80" t="str">
        <f>HYPERLINK("https://abs.twimg.com/sticky/default_profile_images/default_profile_normal.png")</f>
        <v>https://abs.twimg.com/sticky/default_profile_images/default_profile_normal.png</v>
      </c>
      <c r="AW1338" s="81" t="s">
        <v>5673</v>
      </c>
      <c r="AX1338" s="81" t="s">
        <v>5673</v>
      </c>
      <c r="AY1338" s="77"/>
      <c r="AZ1338" s="81" t="s">
        <v>5773</v>
      </c>
      <c r="BA1338" s="81" t="s">
        <v>5773</v>
      </c>
      <c r="BB1338" s="81" t="s">
        <v>5773</v>
      </c>
      <c r="BC1338" s="81" t="s">
        <v>5673</v>
      </c>
      <c r="BD1338" s="77">
        <v>992691660</v>
      </c>
      <c r="BE1338" s="77"/>
      <c r="BF1338" s="77"/>
      <c r="BG1338" s="77"/>
      <c r="BH1338" s="77"/>
      <c r="BI1338" s="77"/>
    </row>
    <row r="1339" spans="1:61" ht="15">
      <c r="A1339" s="62" t="s">
        <v>419</v>
      </c>
      <c r="B1339" s="62" t="s">
        <v>570</v>
      </c>
      <c r="C1339" s="63"/>
      <c r="D1339" s="64"/>
      <c r="E1339" s="65"/>
      <c r="F1339" s="66"/>
      <c r="G1339" s="63"/>
      <c r="H1339" s="67"/>
      <c r="I1339" s="68"/>
      <c r="J1339" s="68"/>
      <c r="K1339" s="32" t="s">
        <v>65</v>
      </c>
      <c r="L1339" s="75">
        <v>1339</v>
      </c>
      <c r="M1339" s="75"/>
      <c r="N1339" s="70"/>
      <c r="O1339" s="77" t="s">
        <v>572</v>
      </c>
      <c r="P1339" s="79">
        <v>44600.11540509259</v>
      </c>
      <c r="Q1339" s="77" t="s">
        <v>1706</v>
      </c>
      <c r="R1339" s="77">
        <v>0</v>
      </c>
      <c r="S1339" s="77">
        <v>0</v>
      </c>
      <c r="T1339" s="77">
        <v>0</v>
      </c>
      <c r="U1339" s="77">
        <v>0</v>
      </c>
      <c r="V1339" s="77"/>
      <c r="W1339" s="77"/>
      <c r="X1339" s="77"/>
      <c r="Y1339" s="77"/>
      <c r="Z1339" s="77" t="s">
        <v>570</v>
      </c>
      <c r="AA1339" s="77"/>
      <c r="AB1339" s="77"/>
      <c r="AC1339" s="81" t="s">
        <v>2704</v>
      </c>
      <c r="AD1339" s="77" t="s">
        <v>2751</v>
      </c>
      <c r="AE1339" s="80" t="str">
        <f>HYPERLINK("https://twitter.com/lexkuhne/status/1490879604219068421")</f>
        <v>https://twitter.com/lexkuhne/status/1490879604219068421</v>
      </c>
      <c r="AF1339" s="79">
        <v>44600.11540509259</v>
      </c>
      <c r="AG1339" s="85">
        <v>44600</v>
      </c>
      <c r="AH1339" s="81" t="s">
        <v>3879</v>
      </c>
      <c r="AI1339" s="77"/>
      <c r="AJ1339" s="77"/>
      <c r="AK1339" s="77"/>
      <c r="AL1339" s="77"/>
      <c r="AM1339" s="77"/>
      <c r="AN1339" s="77"/>
      <c r="AO1339" s="77"/>
      <c r="AP1339" s="77"/>
      <c r="AQ1339" s="77"/>
      <c r="AR1339" s="77"/>
      <c r="AS1339" s="77"/>
      <c r="AT1339" s="77"/>
      <c r="AU1339" s="77"/>
      <c r="AV1339" s="80" t="str">
        <f>HYPERLINK("https://pbs.twimg.com/profile_images/1628238679276720129/_9dZ4oRa_normal.jpg")</f>
        <v>https://pbs.twimg.com/profile_images/1628238679276720129/_9dZ4oRa_normal.jpg</v>
      </c>
      <c r="AW1339" s="81" t="s">
        <v>5674</v>
      </c>
      <c r="AX1339" s="81" t="s">
        <v>5718</v>
      </c>
      <c r="AY1339" s="81" t="s">
        <v>5772</v>
      </c>
      <c r="AZ1339" s="81" t="s">
        <v>5718</v>
      </c>
      <c r="BA1339" s="81" t="s">
        <v>5773</v>
      </c>
      <c r="BB1339" s="81" t="s">
        <v>5773</v>
      </c>
      <c r="BC1339" s="81" t="s">
        <v>5718</v>
      </c>
      <c r="BD1339" s="77">
        <v>17059769</v>
      </c>
      <c r="BE1339" s="77"/>
      <c r="BF1339" s="77"/>
      <c r="BG1339" s="77"/>
      <c r="BH1339" s="77"/>
      <c r="BI1339" s="7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9"/>
    <dataValidation allowBlank="1" showErrorMessage="1" sqref="N2:N13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9"/>
    <dataValidation allowBlank="1" showInputMessage="1" promptTitle="Edge Color" prompt="To select an optional edge color, right-click and select Select Color on the right-click menu." sqref="C3:C1339"/>
    <dataValidation allowBlank="1" showInputMessage="1" promptTitle="Edge Width" prompt="Enter an optional edge width between 1 and 10." errorTitle="Invalid Edge Width" error="The optional edge width must be a whole number between 1 and 10." sqref="D3:D1339"/>
    <dataValidation allowBlank="1" showInputMessage="1" promptTitle="Edge Opacity" prompt="Enter an optional edge opacity between 0 (transparent) and 100 (opaque)." errorTitle="Invalid Edge Opacity" error="The optional edge opacity must be a whole number between 0 and 10." sqref="F3:F13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9">
      <formula1>ValidEdgeVisibilities</formula1>
    </dataValidation>
    <dataValidation allowBlank="1" showInputMessage="1" showErrorMessage="1" promptTitle="Vertex 1 Name" prompt="Enter the name of the edge's first vertex." sqref="A3:A1339"/>
    <dataValidation allowBlank="1" showInputMessage="1" showErrorMessage="1" promptTitle="Vertex 2 Name" prompt="Enter the name of the edge's second vertex." sqref="B3:B1339"/>
    <dataValidation allowBlank="1" showInputMessage="1" showErrorMessage="1" promptTitle="Edge Label" prompt="Enter an optional edge label." errorTitle="Invalid Edge Visibility" error="You have entered an unrecognized edge visibility.  Try selecting from the drop-down list instead." sqref="H3:H13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3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140625" style="2" bestFit="1" customWidth="1"/>
    <col min="31" max="31" width="9.28125" style="0" bestFit="1" customWidth="1"/>
    <col min="32" max="32" width="11.140625" style="0" bestFit="1" customWidth="1"/>
    <col min="33" max="33" width="10.7109375" style="0" bestFit="1" customWidth="1"/>
    <col min="34" max="34" width="9.140625" style="0" bestFit="1" customWidth="1"/>
    <col min="35" max="35" width="8.421875" style="0" bestFit="1" customWidth="1"/>
    <col min="36" max="36" width="17.140625" style="0" bestFit="1" customWidth="1"/>
    <col min="37" max="37" width="13.7109375" style="0" bestFit="1" customWidth="1"/>
    <col min="38" max="38" width="9.57421875" style="0" bestFit="1" customWidth="1"/>
    <col min="39" max="39" width="15.28125" style="0" bestFit="1" customWidth="1"/>
    <col min="40" max="40" width="10.28125" style="0" bestFit="1" customWidth="1"/>
    <col min="41" max="41" width="12.421875" style="0" bestFit="1" customWidth="1"/>
    <col min="42" max="42" width="9.8515625" style="0" bestFit="1" customWidth="1"/>
    <col min="43" max="43" width="16.28125" style="0" bestFit="1" customWidth="1"/>
    <col min="44" max="44" width="14.00390625" style="0" bestFit="1" customWidth="1"/>
    <col min="45" max="45" width="14.421875" style="0" bestFit="1" customWidth="1"/>
    <col min="46" max="46" width="21.421875" style="0" bestFit="1" customWidth="1"/>
    <col min="47" max="47" width="19.28125" style="0" bestFit="1" customWidth="1"/>
    <col min="48" max="48" width="10.57421875" style="0" bestFit="1" customWidth="1"/>
    <col min="49" max="49" width="6.5742187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28125" style="0" bestFit="1" customWidth="1"/>
    <col min="55" max="55" width="9.7109375" style="0" bestFit="1" customWidth="1"/>
    <col min="56" max="56" width="15.57421875" style="0" bestFit="1" customWidth="1"/>
    <col min="57" max="58" width="13.28125" style="0" bestFit="1" customWidth="1"/>
    <col min="59" max="59" width="10.28125" style="0" bestFit="1" customWidth="1"/>
    <col min="60" max="60" width="12.7109375" style="0" bestFit="1" customWidth="1"/>
    <col min="61" max="61" width="17.8515625" style="0" bestFit="1" customWidth="1"/>
    <col min="62" max="62" width="12.00390625" style="0" bestFit="1" customWidth="1"/>
    <col min="63" max="63" width="10.8515625" style="0" bestFit="1" customWidth="1"/>
    <col min="64" max="64" width="10.57421875" style="0" bestFit="1" customWidth="1"/>
    <col min="65" max="65" width="14.28125" style="0" bestFit="1" customWidth="1"/>
    <col min="66" max="67" width="15.00390625" style="0" bestFit="1" customWidth="1"/>
    <col min="68" max="68" width="16.140625" style="0" bestFit="1" customWidth="1"/>
    <col min="69" max="69" width="17.8515625" style="0" bestFit="1" customWidth="1"/>
    <col min="70" max="70" width="16.28125" style="0" bestFit="1" customWidth="1"/>
    <col min="71" max="71" width="17.8515625" style="0" bestFit="1" customWidth="1"/>
    <col min="72" max="72" width="16.57421875" style="0" bestFit="1" customWidth="1"/>
    <col min="73" max="73" width="17.8515625" style="0" bestFit="1" customWidth="1"/>
    <col min="74" max="74" width="16.140625" style="0" bestFit="1" customWidth="1"/>
    <col min="75" max="75" width="17.8515625" style="0" bestFit="1" customWidth="1"/>
    <col min="76" max="76" width="18.00390625" style="0" bestFit="1" customWidth="1"/>
    <col min="77" max="77" width="18.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5835</v>
      </c>
      <c r="AE2" s="7" t="s">
        <v>5836</v>
      </c>
      <c r="AF2" s="7" t="s">
        <v>5837</v>
      </c>
      <c r="AG2" s="7" t="s">
        <v>5838</v>
      </c>
      <c r="AH2" s="7" t="s">
        <v>5839</v>
      </c>
      <c r="AI2" s="7" t="s">
        <v>5840</v>
      </c>
      <c r="AJ2" s="7" t="s">
        <v>5841</v>
      </c>
      <c r="AK2" s="7" t="s">
        <v>5842</v>
      </c>
      <c r="AL2" s="7" t="s">
        <v>5843</v>
      </c>
      <c r="AM2" s="7" t="s">
        <v>5844</v>
      </c>
      <c r="AN2" s="7" t="s">
        <v>5845</v>
      </c>
      <c r="AO2" s="7" t="s">
        <v>5846</v>
      </c>
      <c r="AP2" s="7" t="s">
        <v>5847</v>
      </c>
      <c r="AQ2" s="7" t="s">
        <v>5848</v>
      </c>
      <c r="AR2" s="7" t="s">
        <v>5849</v>
      </c>
      <c r="AS2" s="7" t="s">
        <v>5850</v>
      </c>
      <c r="AT2" s="7" t="s">
        <v>5851</v>
      </c>
      <c r="AU2" s="7" t="s">
        <v>5852</v>
      </c>
      <c r="AV2" s="7" t="s">
        <v>5853</v>
      </c>
      <c r="AW2" s="7" t="s">
        <v>5854</v>
      </c>
      <c r="AX2" s="7" t="s">
        <v>5855</v>
      </c>
      <c r="AY2" s="7" t="s">
        <v>5856</v>
      </c>
      <c r="AZ2" s="7" t="s">
        <v>5857</v>
      </c>
      <c r="BA2" s="7" t="s">
        <v>5858</v>
      </c>
      <c r="BB2" s="7" t="s">
        <v>5859</v>
      </c>
      <c r="BC2" s="7" t="s">
        <v>5860</v>
      </c>
      <c r="BD2" s="7" t="s">
        <v>5861</v>
      </c>
      <c r="BE2" s="7" t="s">
        <v>5862</v>
      </c>
      <c r="BF2" s="7" t="s">
        <v>5863</v>
      </c>
      <c r="BG2" s="7" t="s">
        <v>197</v>
      </c>
      <c r="BH2" s="7" t="s">
        <v>5864</v>
      </c>
      <c r="BI2" s="7" t="s">
        <v>5865</v>
      </c>
      <c r="BJ2" s="7" t="s">
        <v>5866</v>
      </c>
      <c r="BK2" s="7" t="s">
        <v>5867</v>
      </c>
      <c r="BL2" s="7" t="s">
        <v>5868</v>
      </c>
      <c r="BM2" s="7" t="s">
        <v>5869</v>
      </c>
      <c r="BN2" s="7" t="s">
        <v>5870</v>
      </c>
      <c r="BO2" s="7" t="s">
        <v>5871</v>
      </c>
      <c r="BP2" s="104" t="s">
        <v>7597</v>
      </c>
      <c r="BQ2" s="104" t="s">
        <v>7683</v>
      </c>
      <c r="BR2" s="104" t="s">
        <v>7707</v>
      </c>
      <c r="BS2" s="104" t="s">
        <v>7716</v>
      </c>
      <c r="BT2" s="104" t="s">
        <v>7728</v>
      </c>
      <c r="BU2" s="104" t="s">
        <v>7745</v>
      </c>
      <c r="BV2" s="104" t="s">
        <v>7778</v>
      </c>
      <c r="BW2" s="104" t="s">
        <v>7972</v>
      </c>
      <c r="BX2" s="104" t="s">
        <v>8009</v>
      </c>
      <c r="BY2" s="104" t="s">
        <v>8203</v>
      </c>
    </row>
    <row r="3" spans="1:77" ht="15" customHeight="1">
      <c r="A3" s="62" t="s">
        <v>420</v>
      </c>
      <c r="B3" s="63"/>
      <c r="C3" s="63"/>
      <c r="D3" s="64"/>
      <c r="E3" s="66"/>
      <c r="F3" s="100" t="str">
        <f>HYPERLINK("https://pbs.twimg.com/profile_images/1039867729090633728/_kLkBl4l_normal.jpg")</f>
        <v>https://pbs.twimg.com/profile_images/1039867729090633728/_kLkBl4l_normal.jpg</v>
      </c>
      <c r="G3" s="63"/>
      <c r="H3" s="67"/>
      <c r="I3" s="68"/>
      <c r="J3" s="68"/>
      <c r="K3" s="67" t="s">
        <v>7539</v>
      </c>
      <c r="L3" s="71"/>
      <c r="M3" s="72">
        <v>529.8804321289062</v>
      </c>
      <c r="N3" s="72">
        <v>4999.5</v>
      </c>
      <c r="O3" s="73"/>
      <c r="P3" s="74"/>
      <c r="Q3" s="74"/>
      <c r="R3" s="46"/>
      <c r="S3" s="46">
        <v>0</v>
      </c>
      <c r="T3" s="46">
        <v>1</v>
      </c>
      <c r="U3" s="47">
        <v>0</v>
      </c>
      <c r="V3" s="47">
        <v>0.214691</v>
      </c>
      <c r="W3" s="47">
        <v>0.062026</v>
      </c>
      <c r="X3" s="47">
        <v>0.002499</v>
      </c>
      <c r="Y3" s="47">
        <v>0</v>
      </c>
      <c r="Z3" s="47">
        <v>0</v>
      </c>
      <c r="AA3" s="69">
        <v>3</v>
      </c>
      <c r="AB3" s="69"/>
      <c r="AC3" s="70"/>
      <c r="AD3" s="76" t="s">
        <v>6207</v>
      </c>
      <c r="AE3" s="83" t="s">
        <v>6456</v>
      </c>
      <c r="AF3" s="76">
        <v>93691</v>
      </c>
      <c r="AG3" s="76">
        <v>27222</v>
      </c>
      <c r="AH3" s="76">
        <v>151184</v>
      </c>
      <c r="AI3" s="76">
        <v>1635</v>
      </c>
      <c r="AJ3" s="76">
        <v>28300</v>
      </c>
      <c r="AK3" s="76">
        <v>3101</v>
      </c>
      <c r="AL3" s="76" t="b">
        <v>0</v>
      </c>
      <c r="AM3" s="78">
        <v>39969.40865740741</v>
      </c>
      <c r="AN3" s="76" t="s">
        <v>6493</v>
      </c>
      <c r="AO3" s="76" t="s">
        <v>6935</v>
      </c>
      <c r="AP3" s="82" t="str">
        <f>HYPERLINK("https://t.co/t2eTVBM29m")</f>
        <v>https://t.co/t2eTVBM29m</v>
      </c>
      <c r="AQ3" s="82" t="str">
        <f>HYPERLINK("http://www.PeoplePerHour.com")</f>
        <v>http://www.PeoplePerHour.com</v>
      </c>
      <c r="AR3" s="76" t="s">
        <v>7154</v>
      </c>
      <c r="AS3" s="76"/>
      <c r="AT3" s="76"/>
      <c r="AU3" s="76"/>
      <c r="AV3" s="76"/>
      <c r="AW3" s="82" t="str">
        <f>HYPERLINK("https://t.co/t2eTVBM29m")</f>
        <v>https://t.co/t2eTVBM29m</v>
      </c>
      <c r="AX3" s="76" t="b">
        <v>0</v>
      </c>
      <c r="AY3" s="76"/>
      <c r="AZ3" s="76"/>
      <c r="BA3" s="76" t="b">
        <v>1</v>
      </c>
      <c r="BB3" s="76" t="b">
        <v>1</v>
      </c>
      <c r="BC3" s="76" t="b">
        <v>0</v>
      </c>
      <c r="BD3" s="76" t="b">
        <v>0</v>
      </c>
      <c r="BE3" s="76" t="b">
        <v>1</v>
      </c>
      <c r="BF3" s="76" t="b">
        <v>0</v>
      </c>
      <c r="BG3" s="76" t="b">
        <v>0</v>
      </c>
      <c r="BH3" s="82" t="str">
        <f>HYPERLINK("https://pbs.twimg.com/profile_banners/44859671/1649072828")</f>
        <v>https://pbs.twimg.com/profile_banners/44859671/1649072828</v>
      </c>
      <c r="BI3" s="76"/>
      <c r="BJ3" s="76" t="s">
        <v>7188</v>
      </c>
      <c r="BK3" s="76" t="b">
        <v>0</v>
      </c>
      <c r="BL3" s="76"/>
      <c r="BM3" s="76" t="s">
        <v>66</v>
      </c>
      <c r="BN3" s="76" t="s">
        <v>7190</v>
      </c>
      <c r="BO3" s="82" t="str">
        <f>HYPERLINK("https://twitter.com/peopleperhour")</f>
        <v>https://twitter.com/peopleperhour</v>
      </c>
      <c r="BP3" s="46" t="s">
        <v>7598</v>
      </c>
      <c r="BQ3" s="46" t="s">
        <v>7598</v>
      </c>
      <c r="BR3" s="46" t="s">
        <v>1975</v>
      </c>
      <c r="BS3" s="46" t="s">
        <v>1975</v>
      </c>
      <c r="BT3" s="46"/>
      <c r="BU3" s="46"/>
      <c r="BV3" s="105" t="s">
        <v>7779</v>
      </c>
      <c r="BW3" s="105" t="s">
        <v>7779</v>
      </c>
      <c r="BX3" s="105" t="s">
        <v>8010</v>
      </c>
      <c r="BY3" s="105" t="s">
        <v>8010</v>
      </c>
    </row>
    <row r="4" spans="1:78" ht="15">
      <c r="A4" s="62" t="s">
        <v>299</v>
      </c>
      <c r="B4" s="63"/>
      <c r="C4" s="63"/>
      <c r="D4" s="64"/>
      <c r="E4" s="66"/>
      <c r="F4" s="100" t="str">
        <f>HYPERLINK("https://pbs.twimg.com/profile_images/833576943677214720/5ZyUgpEJ_normal.jpg")</f>
        <v>https://pbs.twimg.com/profile_images/833576943677214720/5ZyUgpEJ_normal.jpg</v>
      </c>
      <c r="G4" s="63"/>
      <c r="H4" s="67"/>
      <c r="I4" s="68"/>
      <c r="J4" s="68"/>
      <c r="K4" s="67" t="s">
        <v>7191</v>
      </c>
      <c r="L4" s="71"/>
      <c r="M4" s="72">
        <v>529.8804321289062</v>
      </c>
      <c r="N4" s="72">
        <v>5170.20751953125</v>
      </c>
      <c r="O4" s="73"/>
      <c r="P4" s="74"/>
      <c r="Q4" s="74"/>
      <c r="R4" s="86"/>
      <c r="S4" s="46">
        <v>72</v>
      </c>
      <c r="T4" s="46">
        <v>43</v>
      </c>
      <c r="U4" s="47">
        <v>29592.222222</v>
      </c>
      <c r="V4" s="47">
        <v>0.369942</v>
      </c>
      <c r="W4" s="47">
        <v>0.70051</v>
      </c>
      <c r="X4" s="47">
        <v>0.036539</v>
      </c>
      <c r="Y4" s="47">
        <v>0.0011676396997497916</v>
      </c>
      <c r="Z4" s="47">
        <v>0.02727272727272727</v>
      </c>
      <c r="AA4" s="69">
        <v>4</v>
      </c>
      <c r="AB4" s="69"/>
      <c r="AC4" s="70"/>
      <c r="AD4" s="76" t="s">
        <v>5872</v>
      </c>
      <c r="AE4" s="83" t="s">
        <v>5721</v>
      </c>
      <c r="AF4" s="76">
        <v>554</v>
      </c>
      <c r="AG4" s="76">
        <v>912</v>
      </c>
      <c r="AH4" s="76">
        <v>840</v>
      </c>
      <c r="AI4" s="76">
        <v>7</v>
      </c>
      <c r="AJ4" s="76">
        <v>353</v>
      </c>
      <c r="AK4" s="76">
        <v>403</v>
      </c>
      <c r="AL4" s="76" t="b">
        <v>0</v>
      </c>
      <c r="AM4" s="78">
        <v>40676.37194444444</v>
      </c>
      <c r="AN4" s="76" t="s">
        <v>6457</v>
      </c>
      <c r="AO4" s="76" t="s">
        <v>6635</v>
      </c>
      <c r="AP4" s="82" t="str">
        <f>HYPERLINK("https://t.co/xhCIaTxSx3")</f>
        <v>https://t.co/xhCIaTxSx3</v>
      </c>
      <c r="AQ4" s="82" t="str">
        <f>HYPERLINK("https://www.inovies.com")</f>
        <v>https://www.inovies.com</v>
      </c>
      <c r="AR4" s="76" t="s">
        <v>1982</v>
      </c>
      <c r="AS4" s="76"/>
      <c r="AT4" s="76"/>
      <c r="AU4" s="76"/>
      <c r="AV4" s="76"/>
      <c r="AW4" s="82" t="str">
        <f>HYPERLINK("https://t.co/xhCIaTxSx3")</f>
        <v>https://t.co/xhCIaTxSx3</v>
      </c>
      <c r="AX4" s="76" t="b">
        <v>0</v>
      </c>
      <c r="AY4" s="76"/>
      <c r="AZ4" s="76"/>
      <c r="BA4" s="76" t="b">
        <v>1</v>
      </c>
      <c r="BB4" s="76" t="b">
        <v>1</v>
      </c>
      <c r="BC4" s="76" t="b">
        <v>0</v>
      </c>
      <c r="BD4" s="76" t="b">
        <v>0</v>
      </c>
      <c r="BE4" s="76" t="b">
        <v>1</v>
      </c>
      <c r="BF4" s="76" t="b">
        <v>0</v>
      </c>
      <c r="BG4" s="76" t="b">
        <v>0</v>
      </c>
      <c r="BH4" s="82" t="str">
        <f>HYPERLINK("https://pbs.twimg.com/profile_banners/297885438/1702020136")</f>
        <v>https://pbs.twimg.com/profile_banners/297885438/1702020136</v>
      </c>
      <c r="BI4" s="76"/>
      <c r="BJ4" s="76" t="s">
        <v>7188</v>
      </c>
      <c r="BK4" s="76" t="b">
        <v>0</v>
      </c>
      <c r="BL4" s="76"/>
      <c r="BM4" s="76" t="s">
        <v>66</v>
      </c>
      <c r="BN4" s="76" t="s">
        <v>7190</v>
      </c>
      <c r="BO4" s="82" t="str">
        <f>HYPERLINK("https://twitter.com/inovies")</f>
        <v>https://twitter.com/inovies</v>
      </c>
      <c r="BP4" s="46" t="s">
        <v>7599</v>
      </c>
      <c r="BQ4" s="46" t="s">
        <v>7684</v>
      </c>
      <c r="BR4" s="46" t="s">
        <v>7708</v>
      </c>
      <c r="BS4" s="46" t="s">
        <v>7717</v>
      </c>
      <c r="BT4" s="46" t="s">
        <v>7729</v>
      </c>
      <c r="BU4" s="46" t="s">
        <v>7746</v>
      </c>
      <c r="BV4" s="105" t="s">
        <v>7780</v>
      </c>
      <c r="BW4" s="105" t="s">
        <v>7973</v>
      </c>
      <c r="BX4" s="105" t="s">
        <v>8011</v>
      </c>
      <c r="BY4" s="105" t="s">
        <v>8011</v>
      </c>
      <c r="BZ4" s="2"/>
    </row>
    <row r="5" spans="1:78" ht="15">
      <c r="A5" s="62" t="s">
        <v>224</v>
      </c>
      <c r="B5" s="63"/>
      <c r="C5" s="63"/>
      <c r="D5" s="64"/>
      <c r="E5" s="66"/>
      <c r="F5" s="100" t="str">
        <f>HYPERLINK("https://pbs.twimg.com/profile_images/464813741465292800/V6rCc9Pi_normal.jpeg")</f>
        <v>https://pbs.twimg.com/profile_images/464813741465292800/V6rCc9Pi_normal.jpeg</v>
      </c>
      <c r="G5" s="63"/>
      <c r="H5" s="67"/>
      <c r="I5" s="68"/>
      <c r="J5" s="68"/>
      <c r="K5" s="67" t="s">
        <v>7192</v>
      </c>
      <c r="L5" s="71"/>
      <c r="M5" s="72">
        <v>529.8804321289062</v>
      </c>
      <c r="N5" s="72">
        <v>5340.6943359375</v>
      </c>
      <c r="O5" s="73"/>
      <c r="P5" s="74"/>
      <c r="Q5" s="74"/>
      <c r="R5" s="86"/>
      <c r="S5" s="46">
        <v>1</v>
      </c>
      <c r="T5" s="46">
        <v>1</v>
      </c>
      <c r="U5" s="47">
        <v>0</v>
      </c>
      <c r="V5" s="47">
        <v>0</v>
      </c>
      <c r="W5" s="47">
        <v>0</v>
      </c>
      <c r="X5" s="47">
        <v>0.002882</v>
      </c>
      <c r="Y5" s="47">
        <v>0</v>
      </c>
      <c r="Z5" s="47">
        <v>0</v>
      </c>
      <c r="AA5" s="69">
        <v>5</v>
      </c>
      <c r="AB5" s="69"/>
      <c r="AC5" s="70"/>
      <c r="AD5" s="76" t="s">
        <v>5873</v>
      </c>
      <c r="AE5" s="83" t="s">
        <v>6208</v>
      </c>
      <c r="AF5" s="76">
        <v>705</v>
      </c>
      <c r="AG5" s="76">
        <v>1647</v>
      </c>
      <c r="AH5" s="76">
        <v>8126</v>
      </c>
      <c r="AI5" s="76">
        <v>150</v>
      </c>
      <c r="AJ5" s="76">
        <v>0</v>
      </c>
      <c r="AK5" s="76">
        <v>0</v>
      </c>
      <c r="AL5" s="76" t="b">
        <v>0</v>
      </c>
      <c r="AM5" s="78">
        <v>41697.47070601852</v>
      </c>
      <c r="AN5" s="76"/>
      <c r="AO5" s="76" t="s">
        <v>6636</v>
      </c>
      <c r="AP5" s="82" t="str">
        <f>HYPERLINK("http://t.co/aZXmXCVN4r")</f>
        <v>http://t.co/aZXmXCVN4r</v>
      </c>
      <c r="AQ5" s="82" t="str">
        <f>HYPERLINK("http://dragplus.com/browse/webanalytics")</f>
        <v>http://dragplus.com/browse/webanalytics</v>
      </c>
      <c r="AR5" s="76" t="s">
        <v>6936</v>
      </c>
      <c r="AS5" s="76"/>
      <c r="AT5" s="76"/>
      <c r="AU5" s="76"/>
      <c r="AV5" s="76"/>
      <c r="AW5" s="82" t="str">
        <f>HYPERLINK("http://t.co/aZXmXCVN4r")</f>
        <v>http://t.co/aZXmXCVN4r</v>
      </c>
      <c r="AX5" s="76" t="b">
        <v>0</v>
      </c>
      <c r="AY5" s="76"/>
      <c r="AZ5" s="76"/>
      <c r="BA5" s="76" t="b">
        <v>0</v>
      </c>
      <c r="BB5" s="76" t="b">
        <v>1</v>
      </c>
      <c r="BC5" s="76" t="b">
        <v>1</v>
      </c>
      <c r="BD5" s="76" t="b">
        <v>0</v>
      </c>
      <c r="BE5" s="76" t="b">
        <v>0</v>
      </c>
      <c r="BF5" s="76" t="b">
        <v>0</v>
      </c>
      <c r="BG5" s="76" t="b">
        <v>0</v>
      </c>
      <c r="BH5" s="76"/>
      <c r="BI5" s="76"/>
      <c r="BJ5" s="76" t="s">
        <v>7188</v>
      </c>
      <c r="BK5" s="76" t="b">
        <v>0</v>
      </c>
      <c r="BL5" s="76"/>
      <c r="BM5" s="76" t="s">
        <v>66</v>
      </c>
      <c r="BN5" s="76" t="s">
        <v>7190</v>
      </c>
      <c r="BO5" s="82" t="str">
        <f>HYPERLINK("https://twitter.com/webanalytics_ag")</f>
        <v>https://twitter.com/webanalytics_ag</v>
      </c>
      <c r="BP5" s="46" t="s">
        <v>7600</v>
      </c>
      <c r="BQ5" s="46" t="s">
        <v>7685</v>
      </c>
      <c r="BR5" s="46" t="s">
        <v>1973</v>
      </c>
      <c r="BS5" s="46" t="s">
        <v>1973</v>
      </c>
      <c r="BT5" s="46" t="s">
        <v>7730</v>
      </c>
      <c r="BU5" s="46" t="s">
        <v>7747</v>
      </c>
      <c r="BV5" s="105" t="s">
        <v>7781</v>
      </c>
      <c r="BW5" s="105" t="s">
        <v>7974</v>
      </c>
      <c r="BX5" s="105" t="s">
        <v>8012</v>
      </c>
      <c r="BY5" s="105" t="s">
        <v>8204</v>
      </c>
      <c r="BZ5" s="2"/>
    </row>
    <row r="6" spans="1:78" ht="15">
      <c r="A6" s="62" t="s">
        <v>225</v>
      </c>
      <c r="B6" s="63"/>
      <c r="C6" s="63"/>
      <c r="D6" s="64"/>
      <c r="E6" s="66"/>
      <c r="F6" s="100" t="str">
        <f>HYPERLINK("https://pbs.twimg.com/profile_images/1013988612524912641/Tx9DP0Ez_normal.jpg")</f>
        <v>https://pbs.twimg.com/profile_images/1013988612524912641/Tx9DP0Ez_normal.jpg</v>
      </c>
      <c r="G6" s="63"/>
      <c r="H6" s="67"/>
      <c r="I6" s="68"/>
      <c r="J6" s="68"/>
      <c r="K6" s="67" t="s">
        <v>7193</v>
      </c>
      <c r="L6" s="71"/>
      <c r="M6" s="72">
        <v>529.8804321289062</v>
      </c>
      <c r="N6" s="72">
        <v>5510.73876953125</v>
      </c>
      <c r="O6" s="73"/>
      <c r="P6" s="74"/>
      <c r="Q6" s="74"/>
      <c r="R6" s="86"/>
      <c r="S6" s="46">
        <v>0</v>
      </c>
      <c r="T6" s="46">
        <v>1</v>
      </c>
      <c r="U6" s="47">
        <v>0</v>
      </c>
      <c r="V6" s="47">
        <v>0.006569</v>
      </c>
      <c r="W6" s="47">
        <v>0</v>
      </c>
      <c r="X6" s="47">
        <v>0.00262</v>
      </c>
      <c r="Y6" s="47">
        <v>0</v>
      </c>
      <c r="Z6" s="47">
        <v>0</v>
      </c>
      <c r="AA6" s="69">
        <v>6</v>
      </c>
      <c r="AB6" s="69"/>
      <c r="AC6" s="70"/>
      <c r="AD6" s="76" t="s">
        <v>5874</v>
      </c>
      <c r="AE6" s="83" t="s">
        <v>6209</v>
      </c>
      <c r="AF6" s="76">
        <v>49</v>
      </c>
      <c r="AG6" s="76">
        <v>62</v>
      </c>
      <c r="AH6" s="76">
        <v>132</v>
      </c>
      <c r="AI6" s="76">
        <v>0</v>
      </c>
      <c r="AJ6" s="76">
        <v>132</v>
      </c>
      <c r="AK6" s="76">
        <v>12</v>
      </c>
      <c r="AL6" s="76" t="b">
        <v>0</v>
      </c>
      <c r="AM6" s="78">
        <v>42206.549629629626</v>
      </c>
      <c r="AN6" s="76" t="s">
        <v>6458</v>
      </c>
      <c r="AO6" s="76" t="s">
        <v>6637</v>
      </c>
      <c r="AP6" s="76"/>
      <c r="AQ6" s="76"/>
      <c r="AR6" s="76"/>
      <c r="AS6" s="76"/>
      <c r="AT6" s="76"/>
      <c r="AU6" s="76"/>
      <c r="AV6" s="76"/>
      <c r="AW6" s="76"/>
      <c r="AX6" s="76" t="b">
        <v>0</v>
      </c>
      <c r="AY6" s="76"/>
      <c r="AZ6" s="76"/>
      <c r="BA6" s="76" t="b">
        <v>0</v>
      </c>
      <c r="BB6" s="76" t="b">
        <v>1</v>
      </c>
      <c r="BC6" s="76" t="b">
        <v>1</v>
      </c>
      <c r="BD6" s="76" t="b">
        <v>0</v>
      </c>
      <c r="BE6" s="76" t="b">
        <v>0</v>
      </c>
      <c r="BF6" s="76" t="b">
        <v>0</v>
      </c>
      <c r="BG6" s="76" t="b">
        <v>0</v>
      </c>
      <c r="BH6" s="76"/>
      <c r="BI6" s="76"/>
      <c r="BJ6" s="76" t="s">
        <v>7188</v>
      </c>
      <c r="BK6" s="76" t="b">
        <v>0</v>
      </c>
      <c r="BL6" s="76"/>
      <c r="BM6" s="76" t="s">
        <v>66</v>
      </c>
      <c r="BN6" s="76" t="s">
        <v>7190</v>
      </c>
      <c r="BO6" s="82" t="str">
        <f>HYPERLINK("https://twitter.com/chavan_pranoti")</f>
        <v>https://twitter.com/chavan_pranoti</v>
      </c>
      <c r="BP6" s="46"/>
      <c r="BQ6" s="46"/>
      <c r="BR6" s="46"/>
      <c r="BS6" s="46"/>
      <c r="BT6" s="46"/>
      <c r="BU6" s="46"/>
      <c r="BV6" s="105" t="s">
        <v>7782</v>
      </c>
      <c r="BW6" s="105" t="s">
        <v>7782</v>
      </c>
      <c r="BX6" s="105" t="s">
        <v>8013</v>
      </c>
      <c r="BY6" s="105" t="s">
        <v>8013</v>
      </c>
      <c r="BZ6" s="2"/>
    </row>
    <row r="7" spans="1:78" ht="15">
      <c r="A7" s="62" t="s">
        <v>421</v>
      </c>
      <c r="B7" s="63"/>
      <c r="C7" s="63"/>
      <c r="D7" s="64"/>
      <c r="E7" s="66"/>
      <c r="F7" s="100" t="str">
        <f>HYPERLINK("https://pbs.twimg.com/profile_images/676670255612035072/Pp6QxYBq_normal.png")</f>
        <v>https://pbs.twimg.com/profile_images/676670255612035072/Pp6QxYBq_normal.png</v>
      </c>
      <c r="G7" s="63"/>
      <c r="H7" s="67"/>
      <c r="I7" s="68"/>
      <c r="J7" s="68"/>
      <c r="K7" s="67" t="s">
        <v>7194</v>
      </c>
      <c r="L7" s="71"/>
      <c r="M7" s="72">
        <v>529.8804321289062</v>
      </c>
      <c r="N7" s="72">
        <v>5680.12060546875</v>
      </c>
      <c r="O7" s="73"/>
      <c r="P7" s="74"/>
      <c r="Q7" s="74"/>
      <c r="R7" s="86"/>
      <c r="S7" s="46">
        <v>3</v>
      </c>
      <c r="T7" s="46">
        <v>0</v>
      </c>
      <c r="U7" s="47">
        <v>14</v>
      </c>
      <c r="V7" s="47">
        <v>0.010322</v>
      </c>
      <c r="W7" s="47">
        <v>0</v>
      </c>
      <c r="X7" s="47">
        <v>0.003406</v>
      </c>
      <c r="Y7" s="47">
        <v>0</v>
      </c>
      <c r="Z7" s="47">
        <v>0</v>
      </c>
      <c r="AA7" s="69">
        <v>7</v>
      </c>
      <c r="AB7" s="69"/>
      <c r="AC7" s="70"/>
      <c r="AD7" s="76" t="s">
        <v>5875</v>
      </c>
      <c r="AE7" s="83" t="s">
        <v>5719</v>
      </c>
      <c r="AF7" s="76">
        <v>363171</v>
      </c>
      <c r="AG7" s="76">
        <v>155</v>
      </c>
      <c r="AH7" s="76">
        <v>44513</v>
      </c>
      <c r="AI7" s="76">
        <v>212</v>
      </c>
      <c r="AJ7" s="76">
        <v>3805</v>
      </c>
      <c r="AK7" s="76">
        <v>1144</v>
      </c>
      <c r="AL7" s="76" t="b">
        <v>0</v>
      </c>
      <c r="AM7" s="78">
        <v>42305.42445601852</v>
      </c>
      <c r="AN7" s="76" t="s">
        <v>6457</v>
      </c>
      <c r="AO7" s="76" t="s">
        <v>6638</v>
      </c>
      <c r="AP7" s="82" t="str">
        <f>HYPERLINK("https://t.co/q3AdR5UNZT")</f>
        <v>https://t.co/q3AdR5UNZT</v>
      </c>
      <c r="AQ7" s="82" t="str">
        <f>HYPERLINK("http://www.ghmc.gov.in")</f>
        <v>http://www.ghmc.gov.in</v>
      </c>
      <c r="AR7" s="76" t="s">
        <v>6937</v>
      </c>
      <c r="AS7" s="76"/>
      <c r="AT7" s="76"/>
      <c r="AU7" s="76"/>
      <c r="AV7" s="76"/>
      <c r="AW7" s="82" t="str">
        <f>HYPERLINK("https://t.co/q3AdR5UNZT")</f>
        <v>https://t.co/q3AdR5UNZT</v>
      </c>
      <c r="AX7" s="76" t="b">
        <v>0</v>
      </c>
      <c r="AY7" s="76"/>
      <c r="AZ7" s="76" t="b">
        <v>1</v>
      </c>
      <c r="BA7" s="76" t="b">
        <v>1</v>
      </c>
      <c r="BB7" s="76" t="b">
        <v>1</v>
      </c>
      <c r="BC7" s="76" t="b">
        <v>0</v>
      </c>
      <c r="BD7" s="76" t="b">
        <v>0</v>
      </c>
      <c r="BE7" s="76" t="b">
        <v>1</v>
      </c>
      <c r="BF7" s="76" t="b">
        <v>0</v>
      </c>
      <c r="BG7" s="76" t="b">
        <v>0</v>
      </c>
      <c r="BH7" s="82" t="str">
        <f>HYPERLINK("https://pbs.twimg.com/profile_banners/4045440865/1668152264")</f>
        <v>https://pbs.twimg.com/profile_banners/4045440865/1668152264</v>
      </c>
      <c r="BI7" s="76"/>
      <c r="BJ7" s="76" t="s">
        <v>7188</v>
      </c>
      <c r="BK7" s="76" t="b">
        <v>1</v>
      </c>
      <c r="BL7" s="76"/>
      <c r="BM7" s="76" t="s">
        <v>65</v>
      </c>
      <c r="BN7" s="76" t="s">
        <v>7190</v>
      </c>
      <c r="BO7" s="82" t="str">
        <f>HYPERLINK("https://twitter.com/ghmconline")</f>
        <v>https://twitter.com/ghmconline</v>
      </c>
      <c r="BP7" s="46"/>
      <c r="BQ7" s="46"/>
      <c r="BR7" s="46"/>
      <c r="BS7" s="46"/>
      <c r="BT7" s="46"/>
      <c r="BU7" s="46"/>
      <c r="BV7" s="46"/>
      <c r="BW7" s="46"/>
      <c r="BX7" s="46"/>
      <c r="BY7" s="46"/>
      <c r="BZ7" s="2"/>
    </row>
    <row r="8" spans="1:78" ht="15">
      <c r="A8" s="62" t="s">
        <v>226</v>
      </c>
      <c r="B8" s="63"/>
      <c r="C8" s="63"/>
      <c r="D8" s="64"/>
      <c r="E8" s="66"/>
      <c r="F8" s="100" t="str">
        <f>HYPERLINK("https://pbs.twimg.com/profile_images/1403578187401994243/QBqJEJUH_normal.jpg")</f>
        <v>https://pbs.twimg.com/profile_images/1403578187401994243/QBqJEJUH_normal.jpg</v>
      </c>
      <c r="G8" s="63"/>
      <c r="H8" s="67"/>
      <c r="I8" s="68"/>
      <c r="J8" s="68"/>
      <c r="K8" s="67" t="s">
        <v>7195</v>
      </c>
      <c r="L8" s="71"/>
      <c r="M8" s="72">
        <v>529.8804321289062</v>
      </c>
      <c r="N8" s="72">
        <v>5848.61962890625</v>
      </c>
      <c r="O8" s="73"/>
      <c r="P8" s="74"/>
      <c r="Q8" s="74"/>
      <c r="R8" s="86"/>
      <c r="S8" s="46">
        <v>1</v>
      </c>
      <c r="T8" s="46">
        <v>1</v>
      </c>
      <c r="U8" s="47">
        <v>0</v>
      </c>
      <c r="V8" s="47">
        <v>0</v>
      </c>
      <c r="W8" s="47">
        <v>0</v>
      </c>
      <c r="X8" s="47">
        <v>0.002882</v>
      </c>
      <c r="Y8" s="47">
        <v>0</v>
      </c>
      <c r="Z8" s="47">
        <v>0</v>
      </c>
      <c r="AA8" s="69">
        <v>8</v>
      </c>
      <c r="AB8" s="69"/>
      <c r="AC8" s="70"/>
      <c r="AD8" s="76" t="s">
        <v>5876</v>
      </c>
      <c r="AE8" s="83" t="s">
        <v>6210</v>
      </c>
      <c r="AF8" s="76">
        <v>56</v>
      </c>
      <c r="AG8" s="76">
        <v>129</v>
      </c>
      <c r="AH8" s="76">
        <v>4173</v>
      </c>
      <c r="AI8" s="76">
        <v>0</v>
      </c>
      <c r="AJ8" s="76">
        <v>2</v>
      </c>
      <c r="AK8" s="76">
        <v>1</v>
      </c>
      <c r="AL8" s="76" t="b">
        <v>0</v>
      </c>
      <c r="AM8" s="78">
        <v>40241.3290625</v>
      </c>
      <c r="AN8" s="76" t="s">
        <v>3895</v>
      </c>
      <c r="AO8" s="76" t="s">
        <v>6639</v>
      </c>
      <c r="AP8" s="82" t="str">
        <f>HYPERLINK("https://t.co/VEM9GKlldl")</f>
        <v>https://t.co/VEM9GKlldl</v>
      </c>
      <c r="AQ8" s="82" t="str">
        <f>HYPERLINK("https://www.bestvwant.org")</f>
        <v>https://www.bestvwant.org</v>
      </c>
      <c r="AR8" s="76" t="s">
        <v>6938</v>
      </c>
      <c r="AS8" s="76"/>
      <c r="AT8" s="76"/>
      <c r="AU8" s="76"/>
      <c r="AV8" s="76"/>
      <c r="AW8" s="82" t="str">
        <f>HYPERLINK("https://t.co/VEM9GKlldl")</f>
        <v>https://t.co/VEM9GKlldl</v>
      </c>
      <c r="AX8" s="76" t="b">
        <v>0</v>
      </c>
      <c r="AY8" s="76"/>
      <c r="AZ8" s="76"/>
      <c r="BA8" s="76" t="b">
        <v>0</v>
      </c>
      <c r="BB8" s="76" t="b">
        <v>1</v>
      </c>
      <c r="BC8" s="76" t="b">
        <v>1</v>
      </c>
      <c r="BD8" s="76" t="b">
        <v>0</v>
      </c>
      <c r="BE8" s="76" t="b">
        <v>0</v>
      </c>
      <c r="BF8" s="76" t="b">
        <v>0</v>
      </c>
      <c r="BG8" s="76" t="b">
        <v>0</v>
      </c>
      <c r="BH8" s="76"/>
      <c r="BI8" s="76"/>
      <c r="BJ8" s="76" t="s">
        <v>7188</v>
      </c>
      <c r="BK8" s="76" t="b">
        <v>0</v>
      </c>
      <c r="BL8" s="76"/>
      <c r="BM8" s="76" t="s">
        <v>66</v>
      </c>
      <c r="BN8" s="76" t="s">
        <v>7190</v>
      </c>
      <c r="BO8" s="82" t="str">
        <f>HYPERLINK("https://twitter.com/sivaramaiah2008")</f>
        <v>https://twitter.com/sivaramaiah2008</v>
      </c>
      <c r="BP8" s="46"/>
      <c r="BQ8" s="46"/>
      <c r="BR8" s="46"/>
      <c r="BS8" s="46"/>
      <c r="BT8" s="46"/>
      <c r="BU8" s="46"/>
      <c r="BV8" s="105" t="s">
        <v>7783</v>
      </c>
      <c r="BW8" s="105" t="s">
        <v>7783</v>
      </c>
      <c r="BX8" s="105" t="s">
        <v>8014</v>
      </c>
      <c r="BY8" s="105" t="s">
        <v>8014</v>
      </c>
      <c r="BZ8" s="2"/>
    </row>
    <row r="9" spans="1:78" ht="15">
      <c r="A9" s="62" t="s">
        <v>227</v>
      </c>
      <c r="B9" s="63"/>
      <c r="C9" s="63"/>
      <c r="D9" s="64"/>
      <c r="E9" s="66"/>
      <c r="F9" s="100" t="str">
        <f>HYPERLINK("https://pbs.twimg.com/profile_images/1637757127333912576/rwCjSrdn_normal.jpg")</f>
        <v>https://pbs.twimg.com/profile_images/1637757127333912576/rwCjSrdn_normal.jpg</v>
      </c>
      <c r="G9" s="63"/>
      <c r="H9" s="67"/>
      <c r="I9" s="68"/>
      <c r="J9" s="68"/>
      <c r="K9" s="67" t="s">
        <v>7196</v>
      </c>
      <c r="L9" s="71"/>
      <c r="M9" s="72">
        <v>529.8804321289062</v>
      </c>
      <c r="N9" s="72">
        <v>6016.017578125</v>
      </c>
      <c r="O9" s="73"/>
      <c r="P9" s="74"/>
      <c r="Q9" s="74"/>
      <c r="R9" s="86"/>
      <c r="S9" s="46">
        <v>1</v>
      </c>
      <c r="T9" s="46">
        <v>1</v>
      </c>
      <c r="U9" s="47">
        <v>0</v>
      </c>
      <c r="V9" s="47">
        <v>0</v>
      </c>
      <c r="W9" s="47">
        <v>0</v>
      </c>
      <c r="X9" s="47">
        <v>0.002882</v>
      </c>
      <c r="Y9" s="47">
        <v>0</v>
      </c>
      <c r="Z9" s="47">
        <v>0</v>
      </c>
      <c r="AA9" s="69">
        <v>9</v>
      </c>
      <c r="AB9" s="69"/>
      <c r="AC9" s="70"/>
      <c r="AD9" s="76" t="s">
        <v>5877</v>
      </c>
      <c r="AE9" s="83" t="s">
        <v>6211</v>
      </c>
      <c r="AF9" s="76">
        <v>4222</v>
      </c>
      <c r="AG9" s="76">
        <v>84</v>
      </c>
      <c r="AH9" s="76">
        <v>219765</v>
      </c>
      <c r="AI9" s="76">
        <v>102</v>
      </c>
      <c r="AJ9" s="76">
        <v>1152</v>
      </c>
      <c r="AK9" s="76">
        <v>23996</v>
      </c>
      <c r="AL9" s="76" t="b">
        <v>0</v>
      </c>
      <c r="AM9" s="78">
        <v>40115.29935185185</v>
      </c>
      <c r="AN9" s="76" t="s">
        <v>6459</v>
      </c>
      <c r="AO9" s="76"/>
      <c r="AP9" s="76"/>
      <c r="AQ9" s="76"/>
      <c r="AR9" s="76"/>
      <c r="AS9" s="76"/>
      <c r="AT9" s="76"/>
      <c r="AU9" s="76"/>
      <c r="AV9" s="76"/>
      <c r="AW9" s="76"/>
      <c r="AX9" s="76" t="b">
        <v>0</v>
      </c>
      <c r="AY9" s="76"/>
      <c r="AZ9" s="76"/>
      <c r="BA9" s="76" t="b">
        <v>0</v>
      </c>
      <c r="BB9" s="76" t="b">
        <v>1</v>
      </c>
      <c r="BC9" s="76" t="b">
        <v>0</v>
      </c>
      <c r="BD9" s="76" t="b">
        <v>0</v>
      </c>
      <c r="BE9" s="76" t="b">
        <v>1</v>
      </c>
      <c r="BF9" s="76" t="b">
        <v>0</v>
      </c>
      <c r="BG9" s="76" t="b">
        <v>0</v>
      </c>
      <c r="BH9" s="82" t="str">
        <f>HYPERLINK("https://pbs.twimg.com/profile_banners/86012608/1400740790")</f>
        <v>https://pbs.twimg.com/profile_banners/86012608/1400740790</v>
      </c>
      <c r="BI9" s="76"/>
      <c r="BJ9" s="76" t="s">
        <v>7188</v>
      </c>
      <c r="BK9" s="76" t="b">
        <v>0</v>
      </c>
      <c r="BL9" s="76"/>
      <c r="BM9" s="76" t="s">
        <v>66</v>
      </c>
      <c r="BN9" s="76" t="s">
        <v>7190</v>
      </c>
      <c r="BO9" s="82" t="str">
        <f>HYPERLINK("https://twitter.com/emranhrbr")</f>
        <v>https://twitter.com/emranhrbr</v>
      </c>
      <c r="BP9" s="46" t="s">
        <v>7601</v>
      </c>
      <c r="BQ9" s="46" t="s">
        <v>7601</v>
      </c>
      <c r="BR9" s="46" t="s">
        <v>1974</v>
      </c>
      <c r="BS9" s="46" t="s">
        <v>1974</v>
      </c>
      <c r="BT9" s="46"/>
      <c r="BU9" s="46"/>
      <c r="BV9" s="105" t="s">
        <v>7784</v>
      </c>
      <c r="BW9" s="105" t="s">
        <v>7784</v>
      </c>
      <c r="BX9" s="105" t="s">
        <v>8015</v>
      </c>
      <c r="BY9" s="105" t="s">
        <v>8015</v>
      </c>
      <c r="BZ9" s="2"/>
    </row>
    <row r="10" spans="1:78" ht="15">
      <c r="A10" s="62" t="s">
        <v>228</v>
      </c>
      <c r="B10" s="63"/>
      <c r="C10" s="63"/>
      <c r="D10" s="64"/>
      <c r="E10" s="66"/>
      <c r="F10" s="100" t="str">
        <f>HYPERLINK("https://pbs.twimg.com/profile_images/1403968836030898176/7he6PSky_normal.jpg")</f>
        <v>https://pbs.twimg.com/profile_images/1403968836030898176/7he6PSky_normal.jpg</v>
      </c>
      <c r="G10" s="63"/>
      <c r="H10" s="67"/>
      <c r="I10" s="68"/>
      <c r="J10" s="68"/>
      <c r="K10" s="67" t="s">
        <v>7197</v>
      </c>
      <c r="L10" s="71"/>
      <c r="M10" s="72">
        <v>537.3212280273438</v>
      </c>
      <c r="N10" s="72">
        <v>6182.09814453125</v>
      </c>
      <c r="O10" s="73"/>
      <c r="P10" s="74"/>
      <c r="Q10" s="74"/>
      <c r="R10" s="86"/>
      <c r="S10" s="46">
        <v>0</v>
      </c>
      <c r="T10" s="46">
        <v>2</v>
      </c>
      <c r="U10" s="47">
        <v>350</v>
      </c>
      <c r="V10" s="47">
        <v>0.215725</v>
      </c>
      <c r="W10" s="47">
        <v>0.062516</v>
      </c>
      <c r="X10" s="47">
        <v>0.002899</v>
      </c>
      <c r="Y10" s="47">
        <v>0</v>
      </c>
      <c r="Z10" s="47">
        <v>0</v>
      </c>
      <c r="AA10" s="69">
        <v>10</v>
      </c>
      <c r="AB10" s="69"/>
      <c r="AC10" s="70"/>
      <c r="AD10" s="76" t="s">
        <v>5878</v>
      </c>
      <c r="AE10" s="83" t="s">
        <v>6212</v>
      </c>
      <c r="AF10" s="76">
        <v>2600</v>
      </c>
      <c r="AG10" s="76">
        <v>3356</v>
      </c>
      <c r="AH10" s="76">
        <v>6180</v>
      </c>
      <c r="AI10" s="76">
        <v>79</v>
      </c>
      <c r="AJ10" s="76">
        <v>329</v>
      </c>
      <c r="AK10" s="76">
        <v>71</v>
      </c>
      <c r="AL10" s="76" t="b">
        <v>0</v>
      </c>
      <c r="AM10" s="78">
        <v>40574.955775462964</v>
      </c>
      <c r="AN10" s="76" t="s">
        <v>6460</v>
      </c>
      <c r="AO10" s="76" t="s">
        <v>6640</v>
      </c>
      <c r="AP10" s="82" t="str">
        <f>HYPERLINK("https://t.co/k0qFwWXJj3")</f>
        <v>https://t.co/k0qFwWXJj3</v>
      </c>
      <c r="AQ10" s="82" t="str">
        <f>HYPERLINK("http://www.geojunxion.com")</f>
        <v>http://www.geojunxion.com</v>
      </c>
      <c r="AR10" s="76" t="s">
        <v>6939</v>
      </c>
      <c r="AS10" s="76"/>
      <c r="AT10" s="76"/>
      <c r="AU10" s="76"/>
      <c r="AV10" s="76"/>
      <c r="AW10" s="82" t="str">
        <f>HYPERLINK("https://t.co/k0qFwWXJj3")</f>
        <v>https://t.co/k0qFwWXJj3</v>
      </c>
      <c r="AX10" s="76" t="b">
        <v>0</v>
      </c>
      <c r="AY10" s="76"/>
      <c r="AZ10" s="76"/>
      <c r="BA10" s="76" t="b">
        <v>0</v>
      </c>
      <c r="BB10" s="76" t="b">
        <v>1</v>
      </c>
      <c r="BC10" s="76" t="b">
        <v>0</v>
      </c>
      <c r="BD10" s="76" t="b">
        <v>0</v>
      </c>
      <c r="BE10" s="76" t="b">
        <v>0</v>
      </c>
      <c r="BF10" s="76" t="b">
        <v>0</v>
      </c>
      <c r="BG10" s="76" t="b">
        <v>0</v>
      </c>
      <c r="BH10" s="82" t="str">
        <f>HYPERLINK("https://pbs.twimg.com/profile_banners/245542127/1573465845")</f>
        <v>https://pbs.twimg.com/profile_banners/245542127/1573465845</v>
      </c>
      <c r="BI10" s="76"/>
      <c r="BJ10" s="76" t="s">
        <v>7188</v>
      </c>
      <c r="BK10" s="76" t="b">
        <v>0</v>
      </c>
      <c r="BL10" s="76"/>
      <c r="BM10" s="76" t="s">
        <v>66</v>
      </c>
      <c r="BN10" s="76" t="s">
        <v>7190</v>
      </c>
      <c r="BO10" s="82" t="str">
        <f>HYPERLINK("https://twitter.com/carolinebombart")</f>
        <v>https://twitter.com/carolinebombart</v>
      </c>
      <c r="BP10" s="46"/>
      <c r="BQ10" s="46"/>
      <c r="BR10" s="46"/>
      <c r="BS10" s="46"/>
      <c r="BT10" s="46"/>
      <c r="BU10" s="46"/>
      <c r="BV10" s="105" t="s">
        <v>7785</v>
      </c>
      <c r="BW10" s="105" t="s">
        <v>7785</v>
      </c>
      <c r="BX10" s="105" t="s">
        <v>8016</v>
      </c>
      <c r="BY10" s="105" t="s">
        <v>8016</v>
      </c>
      <c r="BZ10" s="2"/>
    </row>
    <row r="11" spans="1:78" ht="15">
      <c r="A11" s="62" t="s">
        <v>422</v>
      </c>
      <c r="B11" s="63"/>
      <c r="C11" s="63"/>
      <c r="D11" s="64"/>
      <c r="E11" s="66"/>
      <c r="F11" s="100" t="str">
        <f>HYPERLINK("https://pbs.twimg.com/profile_images/1031094384614416391/f7YSKf_J_normal.jpg")</f>
        <v>https://pbs.twimg.com/profile_images/1031094384614416391/f7YSKf_J_normal.jpg</v>
      </c>
      <c r="G11" s="63"/>
      <c r="H11" s="67"/>
      <c r="I11" s="68"/>
      <c r="J11" s="68"/>
      <c r="K11" s="67" t="s">
        <v>7198</v>
      </c>
      <c r="L11" s="71"/>
      <c r="M11" s="72">
        <v>563.9610595703125</v>
      </c>
      <c r="N11" s="72">
        <v>6346.646484375</v>
      </c>
      <c r="O11" s="73"/>
      <c r="P11" s="74"/>
      <c r="Q11" s="74"/>
      <c r="R11" s="86"/>
      <c r="S11" s="46">
        <v>1</v>
      </c>
      <c r="T11" s="46">
        <v>0</v>
      </c>
      <c r="U11" s="47">
        <v>0</v>
      </c>
      <c r="V11" s="47">
        <v>0.151739</v>
      </c>
      <c r="W11" s="47">
        <v>0.005535</v>
      </c>
      <c r="X11" s="47">
        <v>0.002667</v>
      </c>
      <c r="Y11" s="47">
        <v>0</v>
      </c>
      <c r="Z11" s="47">
        <v>0</v>
      </c>
      <c r="AA11" s="69">
        <v>11</v>
      </c>
      <c r="AB11" s="69"/>
      <c r="AC11" s="70"/>
      <c r="AD11" s="76" t="s">
        <v>5879</v>
      </c>
      <c r="AE11" s="83" t="s">
        <v>5720</v>
      </c>
      <c r="AF11" s="76">
        <v>4371</v>
      </c>
      <c r="AG11" s="76">
        <v>3777</v>
      </c>
      <c r="AH11" s="76">
        <v>2108</v>
      </c>
      <c r="AI11" s="76">
        <v>100</v>
      </c>
      <c r="AJ11" s="76">
        <v>4299</v>
      </c>
      <c r="AK11" s="76">
        <v>1260</v>
      </c>
      <c r="AL11" s="76" t="b">
        <v>0</v>
      </c>
      <c r="AM11" s="78">
        <v>40412.06989583333</v>
      </c>
      <c r="AN11" s="76" t="s">
        <v>6461</v>
      </c>
      <c r="AO11" s="76" t="s">
        <v>6641</v>
      </c>
      <c r="AP11" s="82" t="str">
        <f>HYPERLINK("https://t.co/4JxtG87Axu")</f>
        <v>https://t.co/4JxtG87Axu</v>
      </c>
      <c r="AQ11" s="82" t="str">
        <f>HYPERLINK("https://www.monroeconsulting.com/")</f>
        <v>https://www.monroeconsulting.com/</v>
      </c>
      <c r="AR11" s="76" t="s">
        <v>6940</v>
      </c>
      <c r="AS11" s="76"/>
      <c r="AT11" s="76"/>
      <c r="AU11" s="76"/>
      <c r="AV11" s="76"/>
      <c r="AW11" s="82" t="str">
        <f>HYPERLINK("https://t.co/4JxtG87Axu")</f>
        <v>https://t.co/4JxtG87Axu</v>
      </c>
      <c r="AX11" s="76" t="b">
        <v>0</v>
      </c>
      <c r="AY11" s="76"/>
      <c r="AZ11" s="76"/>
      <c r="BA11" s="76" t="b">
        <v>0</v>
      </c>
      <c r="BB11" s="76" t="b">
        <v>1</v>
      </c>
      <c r="BC11" s="76" t="b">
        <v>0</v>
      </c>
      <c r="BD11" s="76" t="b">
        <v>0</v>
      </c>
      <c r="BE11" s="76" t="b">
        <v>0</v>
      </c>
      <c r="BF11" s="76" t="b">
        <v>0</v>
      </c>
      <c r="BG11" s="76" t="b">
        <v>0</v>
      </c>
      <c r="BH11" s="82" t="str">
        <f>HYPERLINK("https://pbs.twimg.com/profile_banners/181377497/1636295808")</f>
        <v>https://pbs.twimg.com/profile_banners/181377497/1636295808</v>
      </c>
      <c r="BI11" s="76"/>
      <c r="BJ11" s="76" t="s">
        <v>7188</v>
      </c>
      <c r="BK11" s="76" t="b">
        <v>0</v>
      </c>
      <c r="BL11" s="76"/>
      <c r="BM11" s="76" t="s">
        <v>65</v>
      </c>
      <c r="BN11" s="76" t="s">
        <v>7190</v>
      </c>
      <c r="BO11" s="82" t="str">
        <f>HYPERLINK("https://twitter.com/monroeconsult")</f>
        <v>https://twitter.com/monroeconsult</v>
      </c>
      <c r="BP11" s="46"/>
      <c r="BQ11" s="46"/>
      <c r="BR11" s="46"/>
      <c r="BS11" s="46"/>
      <c r="BT11" s="46"/>
      <c r="BU11" s="46"/>
      <c r="BV11" s="46"/>
      <c r="BW11" s="46"/>
      <c r="BX11" s="46"/>
      <c r="BY11" s="46"/>
      <c r="BZ11" s="2"/>
    </row>
    <row r="12" spans="1:78" ht="15">
      <c r="A12" s="62" t="s">
        <v>229</v>
      </c>
      <c r="B12" s="63"/>
      <c r="C12" s="63"/>
      <c r="D12" s="64"/>
      <c r="E12" s="66"/>
      <c r="F12" s="100" t="str">
        <f>HYPERLINK("https://pbs.twimg.com/profile_images/862152327821742084/EQhM8r9o_normal.jpg")</f>
        <v>https://pbs.twimg.com/profile_images/862152327821742084/EQhM8r9o_normal.jpg</v>
      </c>
      <c r="G12" s="63"/>
      <c r="H12" s="67"/>
      <c r="I12" s="68"/>
      <c r="J12" s="68"/>
      <c r="K12" s="67" t="s">
        <v>7199</v>
      </c>
      <c r="L12" s="71"/>
      <c r="M12" s="72">
        <v>590.6009521484375</v>
      </c>
      <c r="N12" s="72">
        <v>6509.447265625</v>
      </c>
      <c r="O12" s="73"/>
      <c r="P12" s="74"/>
      <c r="Q12" s="74"/>
      <c r="R12" s="86"/>
      <c r="S12" s="46">
        <v>1</v>
      </c>
      <c r="T12" s="46">
        <v>1</v>
      </c>
      <c r="U12" s="47">
        <v>0</v>
      </c>
      <c r="V12" s="47">
        <v>0</v>
      </c>
      <c r="W12" s="47">
        <v>0</v>
      </c>
      <c r="X12" s="47">
        <v>0.002882</v>
      </c>
      <c r="Y12" s="47">
        <v>0</v>
      </c>
      <c r="Z12" s="47">
        <v>0</v>
      </c>
      <c r="AA12" s="69">
        <v>12</v>
      </c>
      <c r="AB12" s="69"/>
      <c r="AC12" s="70"/>
      <c r="AD12" s="76" t="s">
        <v>5880</v>
      </c>
      <c r="AE12" s="83" t="s">
        <v>6213</v>
      </c>
      <c r="AF12" s="76">
        <v>1415</v>
      </c>
      <c r="AG12" s="76">
        <v>8</v>
      </c>
      <c r="AH12" s="76">
        <v>61177</v>
      </c>
      <c r="AI12" s="76">
        <v>0</v>
      </c>
      <c r="AJ12" s="76">
        <v>1</v>
      </c>
      <c r="AK12" s="76">
        <v>2</v>
      </c>
      <c r="AL12" s="76" t="b">
        <v>0</v>
      </c>
      <c r="AM12" s="78">
        <v>40442.40982638889</v>
      </c>
      <c r="AN12" s="76" t="s">
        <v>3889</v>
      </c>
      <c r="AO12" s="76" t="s">
        <v>6642</v>
      </c>
      <c r="AP12" s="82" t="str">
        <f>HYPERLINK("https://t.co/qYC20pYnjz")</f>
        <v>https://t.co/qYC20pYnjz</v>
      </c>
      <c r="AQ12" s="82" t="str">
        <f>HYPERLINK("http://www.jobsplane.com")</f>
        <v>http://www.jobsplane.com</v>
      </c>
      <c r="AR12" s="76" t="s">
        <v>6941</v>
      </c>
      <c r="AS12" s="76"/>
      <c r="AT12" s="76"/>
      <c r="AU12" s="76"/>
      <c r="AV12" s="76"/>
      <c r="AW12" s="82" t="str">
        <f>HYPERLINK("https://t.co/qYC20pYnjz")</f>
        <v>https://t.co/qYC20pYnjz</v>
      </c>
      <c r="AX12" s="76" t="b">
        <v>0</v>
      </c>
      <c r="AY12" s="76"/>
      <c r="AZ12" s="76"/>
      <c r="BA12" s="76" t="b">
        <v>0</v>
      </c>
      <c r="BB12" s="76" t="b">
        <v>1</v>
      </c>
      <c r="BC12" s="76" t="b">
        <v>0</v>
      </c>
      <c r="BD12" s="76" t="b">
        <v>0</v>
      </c>
      <c r="BE12" s="76" t="b">
        <v>0</v>
      </c>
      <c r="BF12" s="76" t="b">
        <v>0</v>
      </c>
      <c r="BG12" s="76" t="b">
        <v>0</v>
      </c>
      <c r="BH12" s="82" t="str">
        <f>HYPERLINK("https://pbs.twimg.com/profile_banners/193235468/1494388141")</f>
        <v>https://pbs.twimg.com/profile_banners/193235468/1494388141</v>
      </c>
      <c r="BI12" s="76"/>
      <c r="BJ12" s="76" t="s">
        <v>7188</v>
      </c>
      <c r="BK12" s="76" t="b">
        <v>0</v>
      </c>
      <c r="BL12" s="76"/>
      <c r="BM12" s="76" t="s">
        <v>66</v>
      </c>
      <c r="BN12" s="76" t="s">
        <v>7190</v>
      </c>
      <c r="BO12" s="82" t="str">
        <f>HYPERLINK("https://twitter.com/jobsplane")</f>
        <v>https://twitter.com/jobsplane</v>
      </c>
      <c r="BP12" s="46" t="s">
        <v>7602</v>
      </c>
      <c r="BQ12" s="46" t="s">
        <v>7602</v>
      </c>
      <c r="BR12" s="46" t="s">
        <v>1975</v>
      </c>
      <c r="BS12" s="46" t="s">
        <v>1975</v>
      </c>
      <c r="BT12" s="46" t="s">
        <v>1709</v>
      </c>
      <c r="BU12" s="46" t="s">
        <v>1709</v>
      </c>
      <c r="BV12" s="105" t="s">
        <v>7786</v>
      </c>
      <c r="BW12" s="105" t="s">
        <v>7786</v>
      </c>
      <c r="BX12" s="105" t="s">
        <v>8017</v>
      </c>
      <c r="BY12" s="105" t="s">
        <v>8017</v>
      </c>
      <c r="BZ12" s="2"/>
    </row>
    <row r="13" spans="1:78" ht="15">
      <c r="A13" s="62" t="s">
        <v>230</v>
      </c>
      <c r="B13" s="63"/>
      <c r="C13" s="63"/>
      <c r="D13" s="64"/>
      <c r="E13" s="66"/>
      <c r="F13" s="100" t="str">
        <f>HYPERLINK("https://pbs.twimg.com/profile_images/1581987060390367232/4N2HfJLX_normal.jpg")</f>
        <v>https://pbs.twimg.com/profile_images/1581987060390367232/4N2HfJLX_normal.jpg</v>
      </c>
      <c r="G13" s="63"/>
      <c r="H13" s="67"/>
      <c r="I13" s="68"/>
      <c r="J13" s="68"/>
      <c r="K13" s="67" t="s">
        <v>7200</v>
      </c>
      <c r="L13" s="71"/>
      <c r="M13" s="72">
        <v>617.2408447265625</v>
      </c>
      <c r="N13" s="72">
        <v>6670.291015625</v>
      </c>
      <c r="O13" s="73"/>
      <c r="P13" s="74"/>
      <c r="Q13" s="74"/>
      <c r="R13" s="86"/>
      <c r="S13" s="46">
        <v>0</v>
      </c>
      <c r="T13" s="46">
        <v>1</v>
      </c>
      <c r="U13" s="47">
        <v>0</v>
      </c>
      <c r="V13" s="47">
        <v>0.214691</v>
      </c>
      <c r="W13" s="47">
        <v>0.062026</v>
      </c>
      <c r="X13" s="47">
        <v>0.002499</v>
      </c>
      <c r="Y13" s="47">
        <v>0</v>
      </c>
      <c r="Z13" s="47">
        <v>0</v>
      </c>
      <c r="AA13" s="69">
        <v>13</v>
      </c>
      <c r="AB13" s="69"/>
      <c r="AC13" s="70"/>
      <c r="AD13" s="76" t="s">
        <v>5881</v>
      </c>
      <c r="AE13" s="83" t="s">
        <v>6214</v>
      </c>
      <c r="AF13" s="76">
        <v>51</v>
      </c>
      <c r="AG13" s="76">
        <v>42</v>
      </c>
      <c r="AH13" s="76">
        <v>16</v>
      </c>
      <c r="AI13" s="76">
        <v>1</v>
      </c>
      <c r="AJ13" s="76">
        <v>13</v>
      </c>
      <c r="AK13" s="76">
        <v>2</v>
      </c>
      <c r="AL13" s="76" t="b">
        <v>0</v>
      </c>
      <c r="AM13" s="78">
        <v>40363.39829861111</v>
      </c>
      <c r="AN13" s="76" t="s">
        <v>3895</v>
      </c>
      <c r="AO13" s="76"/>
      <c r="AP13" s="76"/>
      <c r="AQ13" s="76"/>
      <c r="AR13" s="76"/>
      <c r="AS13" s="76"/>
      <c r="AT13" s="76"/>
      <c r="AU13" s="76"/>
      <c r="AV13" s="76"/>
      <c r="AW13" s="76"/>
      <c r="AX13" s="76" t="b">
        <v>0</v>
      </c>
      <c r="AY13" s="76" t="b">
        <v>1</v>
      </c>
      <c r="AZ13" s="76" t="b">
        <v>1</v>
      </c>
      <c r="BA13" s="76" t="b">
        <v>1</v>
      </c>
      <c r="BB13" s="76" t="b">
        <v>1</v>
      </c>
      <c r="BC13" s="76" t="b">
        <v>1</v>
      </c>
      <c r="BD13" s="76" t="b">
        <v>0</v>
      </c>
      <c r="BE13" s="76" t="b">
        <v>0</v>
      </c>
      <c r="BF13" s="76" t="b">
        <v>0</v>
      </c>
      <c r="BG13" s="76" t="b">
        <v>0</v>
      </c>
      <c r="BH13" s="82" t="str">
        <f>HYPERLINK("https://pbs.twimg.com/profile_banners/162659925/1694775415")</f>
        <v>https://pbs.twimg.com/profile_banners/162659925/1694775415</v>
      </c>
      <c r="BI13" s="76"/>
      <c r="BJ13" s="76" t="s">
        <v>7188</v>
      </c>
      <c r="BK13" s="76" t="b">
        <v>1</v>
      </c>
      <c r="BL13" s="76"/>
      <c r="BM13" s="76" t="s">
        <v>66</v>
      </c>
      <c r="BN13" s="76" t="s">
        <v>7190</v>
      </c>
      <c r="BO13" s="82" t="str">
        <f>HYPERLINK("https://twitter.com/chandra_sekhare")</f>
        <v>https://twitter.com/chandra_sekhare</v>
      </c>
      <c r="BP13" s="46"/>
      <c r="BQ13" s="46"/>
      <c r="BR13" s="46"/>
      <c r="BS13" s="46"/>
      <c r="BT13" s="46" t="s">
        <v>1710</v>
      </c>
      <c r="BU13" s="46" t="s">
        <v>1710</v>
      </c>
      <c r="BV13" s="105" t="s">
        <v>7787</v>
      </c>
      <c r="BW13" s="105" t="s">
        <v>7787</v>
      </c>
      <c r="BX13" s="105" t="s">
        <v>8018</v>
      </c>
      <c r="BY13" s="105" t="s">
        <v>8018</v>
      </c>
      <c r="BZ13" s="2"/>
    </row>
    <row r="14" spans="1:78" ht="15">
      <c r="A14" s="62" t="s">
        <v>231</v>
      </c>
      <c r="B14" s="63"/>
      <c r="C14" s="63"/>
      <c r="D14" s="64"/>
      <c r="E14" s="66"/>
      <c r="F14" s="100" t="str">
        <f>HYPERLINK("https://pbs.twimg.com/profile_images/1736757914126131200/ad1sraSi_normal.jpg")</f>
        <v>https://pbs.twimg.com/profile_images/1736757914126131200/ad1sraSi_normal.jpg</v>
      </c>
      <c r="G14" s="63"/>
      <c r="H14" s="67"/>
      <c r="I14" s="68"/>
      <c r="J14" s="68"/>
      <c r="K14" s="67" t="s">
        <v>7201</v>
      </c>
      <c r="L14" s="71"/>
      <c r="M14" s="72">
        <v>643.8807373046875</v>
      </c>
      <c r="N14" s="72">
        <v>6828.96875</v>
      </c>
      <c r="O14" s="73"/>
      <c r="P14" s="74"/>
      <c r="Q14" s="74"/>
      <c r="R14" s="86"/>
      <c r="S14" s="46">
        <v>1</v>
      </c>
      <c r="T14" s="46">
        <v>1</v>
      </c>
      <c r="U14" s="47">
        <v>0</v>
      </c>
      <c r="V14" s="47">
        <v>0</v>
      </c>
      <c r="W14" s="47">
        <v>0</v>
      </c>
      <c r="X14" s="47">
        <v>0.002882</v>
      </c>
      <c r="Y14" s="47">
        <v>0</v>
      </c>
      <c r="Z14" s="47">
        <v>0</v>
      </c>
      <c r="AA14" s="69">
        <v>14</v>
      </c>
      <c r="AB14" s="69"/>
      <c r="AC14" s="70"/>
      <c r="AD14" s="76" t="s">
        <v>5882</v>
      </c>
      <c r="AE14" s="83" t="s">
        <v>6215</v>
      </c>
      <c r="AF14" s="76">
        <v>2547</v>
      </c>
      <c r="AG14" s="76">
        <v>3734</v>
      </c>
      <c r="AH14" s="76">
        <v>160827</v>
      </c>
      <c r="AI14" s="76">
        <v>27</v>
      </c>
      <c r="AJ14" s="76">
        <v>8878</v>
      </c>
      <c r="AK14" s="76">
        <v>9822</v>
      </c>
      <c r="AL14" s="76" t="b">
        <v>0</v>
      </c>
      <c r="AM14" s="78">
        <v>40374.527546296296</v>
      </c>
      <c r="AN14" s="76" t="s">
        <v>6462</v>
      </c>
      <c r="AO14" s="76" t="s">
        <v>6643</v>
      </c>
      <c r="AP14" s="82" t="str">
        <f>HYPERLINK("https://t.co/uZNRBT5kaB")</f>
        <v>https://t.co/uZNRBT5kaB</v>
      </c>
      <c r="AQ14" s="82" t="str">
        <f>HYPERLINK("https://linktr.ee/davidansoncreatives")</f>
        <v>https://linktr.ee/davidansoncreatives</v>
      </c>
      <c r="AR14" s="76" t="s">
        <v>6942</v>
      </c>
      <c r="AS14" s="76"/>
      <c r="AT14" s="76"/>
      <c r="AU14" s="76"/>
      <c r="AV14" s="76">
        <v>1.64588827309548E+18</v>
      </c>
      <c r="AW14" s="82" t="str">
        <f>HYPERLINK("https://t.co/uZNRBT5kaB")</f>
        <v>https://t.co/uZNRBT5kaB</v>
      </c>
      <c r="AX14" s="76" t="b">
        <v>0</v>
      </c>
      <c r="AY14" s="76"/>
      <c r="AZ14" s="76"/>
      <c r="BA14" s="76" t="b">
        <v>1</v>
      </c>
      <c r="BB14" s="76" t="b">
        <v>0</v>
      </c>
      <c r="BC14" s="76" t="b">
        <v>0</v>
      </c>
      <c r="BD14" s="76" t="b">
        <v>0</v>
      </c>
      <c r="BE14" s="76" t="b">
        <v>1</v>
      </c>
      <c r="BF14" s="76" t="b">
        <v>0</v>
      </c>
      <c r="BG14" s="76" t="b">
        <v>0</v>
      </c>
      <c r="BH14" s="82" t="str">
        <f>HYPERLINK("https://pbs.twimg.com/profile_banners/166967184/1669629978")</f>
        <v>https://pbs.twimg.com/profile_banners/166967184/1669629978</v>
      </c>
      <c r="BI14" s="76"/>
      <c r="BJ14" s="76" t="s">
        <v>7188</v>
      </c>
      <c r="BK14" s="76" t="b">
        <v>0</v>
      </c>
      <c r="BL14" s="76"/>
      <c r="BM14" s="76" t="s">
        <v>66</v>
      </c>
      <c r="BN14" s="76" t="s">
        <v>7190</v>
      </c>
      <c r="BO14" s="82" t="str">
        <f>HYPERLINK("https://twitter.com/nnaya_a")</f>
        <v>https://twitter.com/nnaya_a</v>
      </c>
      <c r="BP14" s="46"/>
      <c r="BQ14" s="46"/>
      <c r="BR14" s="46"/>
      <c r="BS14" s="46"/>
      <c r="BT14" s="46"/>
      <c r="BU14" s="46"/>
      <c r="BV14" s="105" t="s">
        <v>7788</v>
      </c>
      <c r="BW14" s="105" t="s">
        <v>7788</v>
      </c>
      <c r="BX14" s="105" t="s">
        <v>8019</v>
      </c>
      <c r="BY14" s="105" t="s">
        <v>8019</v>
      </c>
      <c r="BZ14" s="2"/>
    </row>
    <row r="15" spans="1:78" ht="15">
      <c r="A15" s="62" t="s">
        <v>232</v>
      </c>
      <c r="B15" s="63"/>
      <c r="C15" s="63"/>
      <c r="D15" s="64"/>
      <c r="E15" s="66"/>
      <c r="F15" s="100" t="str">
        <f>HYPERLINK("https://pbs.twimg.com/profile_images/1395476442805194752/E9O8kFjj_normal.png")</f>
        <v>https://pbs.twimg.com/profile_images/1395476442805194752/E9O8kFjj_normal.png</v>
      </c>
      <c r="G15" s="63"/>
      <c r="H15" s="67"/>
      <c r="I15" s="68"/>
      <c r="J15" s="68"/>
      <c r="K15" s="67" t="s">
        <v>7202</v>
      </c>
      <c r="L15" s="71"/>
      <c r="M15" s="72">
        <v>670.5205688476562</v>
      </c>
      <c r="N15" s="72">
        <v>6985.275390625</v>
      </c>
      <c r="O15" s="73"/>
      <c r="P15" s="74"/>
      <c r="Q15" s="74"/>
      <c r="R15" s="86"/>
      <c r="S15" s="46">
        <v>0</v>
      </c>
      <c r="T15" s="46">
        <v>3</v>
      </c>
      <c r="U15" s="47">
        <v>6</v>
      </c>
      <c r="V15" s="47">
        <v>0.008671</v>
      </c>
      <c r="W15" s="47">
        <v>0</v>
      </c>
      <c r="X15" s="47">
        <v>0.003634</v>
      </c>
      <c r="Y15" s="47">
        <v>0</v>
      </c>
      <c r="Z15" s="47">
        <v>0</v>
      </c>
      <c r="AA15" s="69">
        <v>15</v>
      </c>
      <c r="AB15" s="69"/>
      <c r="AC15" s="70"/>
      <c r="AD15" s="76" t="s">
        <v>5883</v>
      </c>
      <c r="AE15" s="83" t="s">
        <v>5785</v>
      </c>
      <c r="AF15" s="76">
        <v>176</v>
      </c>
      <c r="AG15" s="76">
        <v>1110</v>
      </c>
      <c r="AH15" s="76">
        <v>20523</v>
      </c>
      <c r="AI15" s="76">
        <v>0</v>
      </c>
      <c r="AJ15" s="76">
        <v>99740</v>
      </c>
      <c r="AK15" s="76">
        <v>365</v>
      </c>
      <c r="AL15" s="76" t="b">
        <v>0</v>
      </c>
      <c r="AM15" s="78">
        <v>44336.852627314816</v>
      </c>
      <c r="AN15" s="76" t="s">
        <v>6463</v>
      </c>
      <c r="AO15" s="76" t="s">
        <v>6644</v>
      </c>
      <c r="AP15" s="76"/>
      <c r="AQ15" s="76"/>
      <c r="AR15" s="76"/>
      <c r="AS15" s="76"/>
      <c r="AT15" s="76"/>
      <c r="AU15" s="76"/>
      <c r="AV15" s="76">
        <v>1.59002719263721E+18</v>
      </c>
      <c r="AW15" s="76"/>
      <c r="AX15" s="76" t="b">
        <v>0</v>
      </c>
      <c r="AY15" s="76"/>
      <c r="AZ15" s="76"/>
      <c r="BA15" s="76" t="b">
        <v>1</v>
      </c>
      <c r="BB15" s="76" t="b">
        <v>1</v>
      </c>
      <c r="BC15" s="76" t="b">
        <v>1</v>
      </c>
      <c r="BD15" s="76" t="b">
        <v>0</v>
      </c>
      <c r="BE15" s="76" t="b">
        <v>1</v>
      </c>
      <c r="BF15" s="76" t="b">
        <v>0</v>
      </c>
      <c r="BG15" s="76" t="b">
        <v>0</v>
      </c>
      <c r="BH15" s="82" t="str">
        <f>HYPERLINK("https://pbs.twimg.com/profile_banners/1395476325041729537/1641182180")</f>
        <v>https://pbs.twimg.com/profile_banners/1395476325041729537/1641182180</v>
      </c>
      <c r="BI15" s="76"/>
      <c r="BJ15" s="76" t="s">
        <v>7188</v>
      </c>
      <c r="BK15" s="76" t="b">
        <v>0</v>
      </c>
      <c r="BL15" s="76"/>
      <c r="BM15" s="76" t="s">
        <v>66</v>
      </c>
      <c r="BN15" s="76" t="s">
        <v>7190</v>
      </c>
      <c r="BO15" s="82" t="str">
        <f>HYPERLINK("https://twitter.com/bbozuteru")</f>
        <v>https://twitter.com/bbozuteru</v>
      </c>
      <c r="BP15" s="46"/>
      <c r="BQ15" s="46"/>
      <c r="BR15" s="46"/>
      <c r="BS15" s="46"/>
      <c r="BT15" s="46"/>
      <c r="BU15" s="46"/>
      <c r="BV15" s="105" t="s">
        <v>7789</v>
      </c>
      <c r="BW15" s="105" t="s">
        <v>7789</v>
      </c>
      <c r="BX15" s="105" t="s">
        <v>8020</v>
      </c>
      <c r="BY15" s="105" t="s">
        <v>8020</v>
      </c>
      <c r="BZ15" s="2"/>
    </row>
    <row r="16" spans="1:78" ht="15">
      <c r="A16" s="62" t="s">
        <v>423</v>
      </c>
      <c r="B16" s="63"/>
      <c r="C16" s="63"/>
      <c r="D16" s="64"/>
      <c r="E16" s="66"/>
      <c r="F16" s="100" t="str">
        <f>HYPERLINK("https://pbs.twimg.com/profile_images/1353806309397655553/0zEtkDvx_normal.jpg")</f>
        <v>https://pbs.twimg.com/profile_images/1353806309397655553/0zEtkDvx_normal.jpg</v>
      </c>
      <c r="G16" s="63"/>
      <c r="H16" s="67"/>
      <c r="I16" s="68"/>
      <c r="J16" s="68"/>
      <c r="K16" s="67" t="s">
        <v>7203</v>
      </c>
      <c r="L16" s="71"/>
      <c r="M16" s="72">
        <v>697.1604614257812</v>
      </c>
      <c r="N16" s="72">
        <v>7139.0068359375</v>
      </c>
      <c r="O16" s="73"/>
      <c r="P16" s="74"/>
      <c r="Q16" s="74"/>
      <c r="R16" s="86"/>
      <c r="S16" s="46">
        <v>1</v>
      </c>
      <c r="T16" s="46">
        <v>0</v>
      </c>
      <c r="U16" s="47">
        <v>0</v>
      </c>
      <c r="V16" s="47">
        <v>0.005202</v>
      </c>
      <c r="W16" s="47">
        <v>0</v>
      </c>
      <c r="X16" s="47">
        <v>0.002631</v>
      </c>
      <c r="Y16" s="47">
        <v>0</v>
      </c>
      <c r="Z16" s="47">
        <v>0</v>
      </c>
      <c r="AA16" s="69">
        <v>16</v>
      </c>
      <c r="AB16" s="69"/>
      <c r="AC16" s="70"/>
      <c r="AD16" s="76" t="s">
        <v>5884</v>
      </c>
      <c r="AE16" s="83" t="s">
        <v>6216</v>
      </c>
      <c r="AF16" s="76">
        <v>17721717</v>
      </c>
      <c r="AG16" s="76">
        <v>6</v>
      </c>
      <c r="AH16" s="76">
        <v>933</v>
      </c>
      <c r="AI16" s="76">
        <v>17982</v>
      </c>
      <c r="AJ16" s="76">
        <v>1450</v>
      </c>
      <c r="AK16" s="76">
        <v>542</v>
      </c>
      <c r="AL16" s="76" t="b">
        <v>0</v>
      </c>
      <c r="AM16" s="78">
        <v>39981.008425925924</v>
      </c>
      <c r="AN16" s="76"/>
      <c r="AO16" s="76" t="s">
        <v>6645</v>
      </c>
      <c r="AP16" s="82" t="str">
        <f>HYPERLINK("https://t.co/WEF0VtH2p2")</f>
        <v>https://t.co/WEF0VtH2p2</v>
      </c>
      <c r="AQ16" s="82" t="str">
        <f>HYPERLINK("http://linktr.ee/robertdowneyjr")</f>
        <v>http://linktr.ee/robertdowneyjr</v>
      </c>
      <c r="AR16" s="76" t="s">
        <v>6943</v>
      </c>
      <c r="AS16" s="76"/>
      <c r="AT16" s="76"/>
      <c r="AU16" s="76"/>
      <c r="AV16" s="76"/>
      <c r="AW16" s="82" t="str">
        <f>HYPERLINK("https://t.co/WEF0VtH2p2")</f>
        <v>https://t.co/WEF0VtH2p2</v>
      </c>
      <c r="AX16" s="76" t="b">
        <v>1</v>
      </c>
      <c r="AY16" s="76"/>
      <c r="AZ16" s="76"/>
      <c r="BA16" s="76" t="b">
        <v>0</v>
      </c>
      <c r="BB16" s="76" t="b">
        <v>0</v>
      </c>
      <c r="BC16" s="76" t="b">
        <v>0</v>
      </c>
      <c r="BD16" s="76" t="b">
        <v>0</v>
      </c>
      <c r="BE16" s="76" t="b">
        <v>0</v>
      </c>
      <c r="BF16" s="76" t="b">
        <v>0</v>
      </c>
      <c r="BG16" s="76" t="b">
        <v>0</v>
      </c>
      <c r="BH16" s="82" t="str">
        <f>HYPERLINK("https://pbs.twimg.com/profile_banners/47786101/1625158674")</f>
        <v>https://pbs.twimg.com/profile_banners/47786101/1625158674</v>
      </c>
      <c r="BI16" s="76"/>
      <c r="BJ16" s="76" t="s">
        <v>7188</v>
      </c>
      <c r="BK16" s="76" t="b">
        <v>0</v>
      </c>
      <c r="BL16" s="76"/>
      <c r="BM16" s="76" t="s">
        <v>65</v>
      </c>
      <c r="BN16" s="76" t="s">
        <v>7190</v>
      </c>
      <c r="BO16" s="82" t="str">
        <f>HYPERLINK("https://twitter.com/robertdowneyjr")</f>
        <v>https://twitter.com/robertdowneyjr</v>
      </c>
      <c r="BP16" s="46"/>
      <c r="BQ16" s="46"/>
      <c r="BR16" s="46"/>
      <c r="BS16" s="46"/>
      <c r="BT16" s="46"/>
      <c r="BU16" s="46"/>
      <c r="BV16" s="46"/>
      <c r="BW16" s="46"/>
      <c r="BX16" s="46"/>
      <c r="BY16" s="46"/>
      <c r="BZ16" s="2"/>
    </row>
    <row r="17" spans="1:78" ht="15">
      <c r="A17" s="62" t="s">
        <v>424</v>
      </c>
      <c r="B17" s="63"/>
      <c r="C17" s="63"/>
      <c r="D17" s="64"/>
      <c r="E17" s="66"/>
      <c r="F17" s="100" t="str">
        <f>HYPERLINK("https://pbs.twimg.com/profile_images/1721360583503806464/P_UyHqzO_normal.jpg")</f>
        <v>https://pbs.twimg.com/profile_images/1721360583503806464/P_UyHqzO_normal.jpg</v>
      </c>
      <c r="G17" s="63"/>
      <c r="H17" s="67"/>
      <c r="I17" s="68"/>
      <c r="J17" s="68"/>
      <c r="K17" s="67" t="s">
        <v>7204</v>
      </c>
      <c r="L17" s="71"/>
      <c r="M17" s="72">
        <v>723.8003540039062</v>
      </c>
      <c r="N17" s="72">
        <v>7289.96630859375</v>
      </c>
      <c r="O17" s="73"/>
      <c r="P17" s="74"/>
      <c r="Q17" s="74"/>
      <c r="R17" s="86"/>
      <c r="S17" s="46">
        <v>1</v>
      </c>
      <c r="T17" s="46">
        <v>0</v>
      </c>
      <c r="U17" s="47">
        <v>0</v>
      </c>
      <c r="V17" s="47">
        <v>0.005202</v>
      </c>
      <c r="W17" s="47">
        <v>0</v>
      </c>
      <c r="X17" s="47">
        <v>0.002631</v>
      </c>
      <c r="Y17" s="47">
        <v>0</v>
      </c>
      <c r="Z17" s="47">
        <v>0</v>
      </c>
      <c r="AA17" s="69">
        <v>17</v>
      </c>
      <c r="AB17" s="69"/>
      <c r="AC17" s="70"/>
      <c r="AD17" s="76" t="s">
        <v>5885</v>
      </c>
      <c r="AE17" s="83" t="s">
        <v>6217</v>
      </c>
      <c r="AF17" s="76">
        <v>8827</v>
      </c>
      <c r="AG17" s="76">
        <v>2846</v>
      </c>
      <c r="AH17" s="76">
        <v>110740</v>
      </c>
      <c r="AI17" s="76">
        <v>422</v>
      </c>
      <c r="AJ17" s="76">
        <v>195544</v>
      </c>
      <c r="AK17" s="76">
        <v>6989</v>
      </c>
      <c r="AL17" s="76" t="b">
        <v>0</v>
      </c>
      <c r="AM17" s="78">
        <v>39776.2244212963</v>
      </c>
      <c r="AN17" s="76" t="s">
        <v>6464</v>
      </c>
      <c r="AO17" s="76" t="s">
        <v>6646</v>
      </c>
      <c r="AP17" s="82" t="str">
        <f>HYPERLINK("https://t.co/7JqwTJhgug")</f>
        <v>https://t.co/7JqwTJhgug</v>
      </c>
      <c r="AQ17" s="82" t="str">
        <f>HYPERLINK("https://linktr.ee/gregoryellwood")</f>
        <v>https://linktr.ee/gregoryellwood</v>
      </c>
      <c r="AR17" s="76" t="s">
        <v>6944</v>
      </c>
      <c r="AS17" s="82" t="str">
        <f>HYPERLINK("https://t.co/kSIvLUh6nB")</f>
        <v>https://t.co/kSIvLUh6nB</v>
      </c>
      <c r="AT17" s="82" t="str">
        <f>HYPERLINK("http://ThePlaylist.net")</f>
        <v>http://ThePlaylist.net</v>
      </c>
      <c r="AU17" s="76" t="s">
        <v>7163</v>
      </c>
      <c r="AV17" s="76">
        <v>1.72990384104976E+18</v>
      </c>
      <c r="AW17" s="82" t="str">
        <f>HYPERLINK("https://t.co/7JqwTJhgug")</f>
        <v>https://t.co/7JqwTJhgug</v>
      </c>
      <c r="AX17" s="76" t="b">
        <v>0</v>
      </c>
      <c r="AY17" s="76"/>
      <c r="AZ17" s="76"/>
      <c r="BA17" s="76" t="b">
        <v>0</v>
      </c>
      <c r="BB17" s="76" t="b">
        <v>1</v>
      </c>
      <c r="BC17" s="76" t="b">
        <v>0</v>
      </c>
      <c r="BD17" s="76" t="b">
        <v>0</v>
      </c>
      <c r="BE17" s="76" t="b">
        <v>1</v>
      </c>
      <c r="BF17" s="76" t="b">
        <v>0</v>
      </c>
      <c r="BG17" s="76" t="b">
        <v>0</v>
      </c>
      <c r="BH17" s="82" t="str">
        <f>HYPERLINK("https://pbs.twimg.com/profile_banners/17586386/1702789094")</f>
        <v>https://pbs.twimg.com/profile_banners/17586386/1702789094</v>
      </c>
      <c r="BI17" s="76"/>
      <c r="BJ17" s="76" t="s">
        <v>7188</v>
      </c>
      <c r="BK17" s="76" t="b">
        <v>0</v>
      </c>
      <c r="BL17" s="76"/>
      <c r="BM17" s="76" t="s">
        <v>65</v>
      </c>
      <c r="BN17" s="76" t="s">
        <v>7190</v>
      </c>
      <c r="BO17" s="82" t="str">
        <f>HYPERLINK("https://twitter.com/thegregorye")</f>
        <v>https://twitter.com/thegregorye</v>
      </c>
      <c r="BP17" s="46"/>
      <c r="BQ17" s="46"/>
      <c r="BR17" s="46"/>
      <c r="BS17" s="46"/>
      <c r="BT17" s="46"/>
      <c r="BU17" s="46"/>
      <c r="BV17" s="46"/>
      <c r="BW17" s="46"/>
      <c r="BX17" s="46"/>
      <c r="BY17" s="46"/>
      <c r="BZ17" s="2"/>
    </row>
    <row r="18" spans="1:78" ht="15">
      <c r="A18" s="62" t="s">
        <v>425</v>
      </c>
      <c r="B18" s="63"/>
      <c r="C18" s="63"/>
      <c r="D18" s="64"/>
      <c r="E18" s="66"/>
      <c r="F18" s="100" t="str">
        <f>HYPERLINK("https://pbs.twimg.com/profile_images/1270918583707566080/yCKeOPj9_normal.jpg")</f>
        <v>https://pbs.twimg.com/profile_images/1270918583707566080/yCKeOPj9_normal.jpg</v>
      </c>
      <c r="G18" s="63"/>
      <c r="H18" s="67"/>
      <c r="I18" s="68"/>
      <c r="J18" s="68"/>
      <c r="K18" s="67" t="s">
        <v>7205</v>
      </c>
      <c r="L18" s="71"/>
      <c r="M18" s="72">
        <v>750.440185546875</v>
      </c>
      <c r="N18" s="72">
        <v>7437.955078125</v>
      </c>
      <c r="O18" s="73"/>
      <c r="P18" s="74"/>
      <c r="Q18" s="74"/>
      <c r="R18" s="86"/>
      <c r="S18" s="46">
        <v>1</v>
      </c>
      <c r="T18" s="46">
        <v>0</v>
      </c>
      <c r="U18" s="47">
        <v>0</v>
      </c>
      <c r="V18" s="47">
        <v>0.005202</v>
      </c>
      <c r="W18" s="47">
        <v>0</v>
      </c>
      <c r="X18" s="47">
        <v>0.002631</v>
      </c>
      <c r="Y18" s="47">
        <v>0</v>
      </c>
      <c r="Z18" s="47">
        <v>0</v>
      </c>
      <c r="AA18" s="69">
        <v>18</v>
      </c>
      <c r="AB18" s="69"/>
      <c r="AC18" s="70"/>
      <c r="AD18" s="76" t="s">
        <v>5886</v>
      </c>
      <c r="AE18" s="83" t="s">
        <v>5722</v>
      </c>
      <c r="AF18" s="76">
        <v>297</v>
      </c>
      <c r="AG18" s="76">
        <v>945</v>
      </c>
      <c r="AH18" s="76">
        <v>20952</v>
      </c>
      <c r="AI18" s="76">
        <v>0</v>
      </c>
      <c r="AJ18" s="76">
        <v>16344</v>
      </c>
      <c r="AK18" s="76">
        <v>1006</v>
      </c>
      <c r="AL18" s="76" t="b">
        <v>0</v>
      </c>
      <c r="AM18" s="78">
        <v>41104.22574074074</v>
      </c>
      <c r="AN18" s="76" t="s">
        <v>6465</v>
      </c>
      <c r="AO18" s="76" t="s">
        <v>6647</v>
      </c>
      <c r="AP18" s="82" t="str">
        <f>HYPERLINK("https://t.co/HVwqctcgQX")</f>
        <v>https://t.co/HVwqctcgQX</v>
      </c>
      <c r="AQ18" s="82" t="str">
        <f>HYPERLINK("http://shorturl.at/hlq46")</f>
        <v>http://shorturl.at/hlq46</v>
      </c>
      <c r="AR18" s="76" t="s">
        <v>6945</v>
      </c>
      <c r="AS18" s="82" t="str">
        <f>HYPERLINK("https://t.co/HVwqctcgQX")</f>
        <v>https://t.co/HVwqctcgQX</v>
      </c>
      <c r="AT18" s="82" t="str">
        <f>HYPERLINK("http://shorturl.at/hlq46")</f>
        <v>http://shorturl.at/hlq46</v>
      </c>
      <c r="AU18" s="76" t="s">
        <v>6945</v>
      </c>
      <c r="AV18" s="76">
        <v>1.0889629568538E+18</v>
      </c>
      <c r="AW18" s="82" t="str">
        <f>HYPERLINK("https://t.co/HVwqctcgQX")</f>
        <v>https://t.co/HVwqctcgQX</v>
      </c>
      <c r="AX18" s="76" t="b">
        <v>0</v>
      </c>
      <c r="AY18" s="76"/>
      <c r="AZ18" s="76"/>
      <c r="BA18" s="76" t="b">
        <v>1</v>
      </c>
      <c r="BB18" s="76" t="b">
        <v>1</v>
      </c>
      <c r="BC18" s="76" t="b">
        <v>1</v>
      </c>
      <c r="BD18" s="76" t="b">
        <v>0</v>
      </c>
      <c r="BE18" s="76" t="b">
        <v>0</v>
      </c>
      <c r="BF18" s="76" t="b">
        <v>0</v>
      </c>
      <c r="BG18" s="76" t="b">
        <v>0</v>
      </c>
      <c r="BH18" s="82" t="str">
        <f>HYPERLINK("https://pbs.twimg.com/profile_banners/635138347/1541131414")</f>
        <v>https://pbs.twimg.com/profile_banners/635138347/1541131414</v>
      </c>
      <c r="BI18" s="76"/>
      <c r="BJ18" s="76" t="s">
        <v>7188</v>
      </c>
      <c r="BK18" s="76" t="b">
        <v>0</v>
      </c>
      <c r="BL18" s="76"/>
      <c r="BM18" s="76" t="s">
        <v>65</v>
      </c>
      <c r="BN18" s="76" t="s">
        <v>7190</v>
      </c>
      <c r="BO18" s="82" t="str">
        <f>HYPERLINK("https://twitter.com/hockeywoodkings")</f>
        <v>https://twitter.com/hockeywoodkings</v>
      </c>
      <c r="BP18" s="46"/>
      <c r="BQ18" s="46"/>
      <c r="BR18" s="46"/>
      <c r="BS18" s="46"/>
      <c r="BT18" s="46"/>
      <c r="BU18" s="46"/>
      <c r="BV18" s="46"/>
      <c r="BW18" s="46"/>
      <c r="BX18" s="46"/>
      <c r="BY18" s="46"/>
      <c r="BZ18" s="2"/>
    </row>
    <row r="19" spans="1:78" ht="15">
      <c r="A19" s="62" t="s">
        <v>233</v>
      </c>
      <c r="B19" s="63"/>
      <c r="C19" s="63"/>
      <c r="D19" s="64"/>
      <c r="E19" s="66"/>
      <c r="F19" s="100" t="str">
        <f>HYPERLINK("https://pbs.twimg.com/profile_images/1735032746530234370/qU1oOKJL_normal.jpg")</f>
        <v>https://pbs.twimg.com/profile_images/1735032746530234370/qU1oOKJL_normal.jpg</v>
      </c>
      <c r="G19" s="63"/>
      <c r="H19" s="67"/>
      <c r="I19" s="68"/>
      <c r="J19" s="68"/>
      <c r="K19" s="67" t="s">
        <v>7206</v>
      </c>
      <c r="L19" s="71"/>
      <c r="M19" s="72">
        <v>777.0800170898438</v>
      </c>
      <c r="N19" s="72">
        <v>7582.783203125</v>
      </c>
      <c r="O19" s="73"/>
      <c r="P19" s="74"/>
      <c r="Q19" s="74"/>
      <c r="R19" s="86"/>
      <c r="S19" s="46">
        <v>1</v>
      </c>
      <c r="T19" s="46">
        <v>1</v>
      </c>
      <c r="U19" s="47">
        <v>0</v>
      </c>
      <c r="V19" s="47">
        <v>0</v>
      </c>
      <c r="W19" s="47">
        <v>0</v>
      </c>
      <c r="X19" s="47">
        <v>0.002882</v>
      </c>
      <c r="Y19" s="47">
        <v>0</v>
      </c>
      <c r="Z19" s="47">
        <v>0</v>
      </c>
      <c r="AA19" s="69">
        <v>19</v>
      </c>
      <c r="AB19" s="69"/>
      <c r="AC19" s="70"/>
      <c r="AD19" s="76" t="s">
        <v>5887</v>
      </c>
      <c r="AE19" s="83" t="s">
        <v>5786</v>
      </c>
      <c r="AF19" s="76">
        <v>1487</v>
      </c>
      <c r="AG19" s="76">
        <v>3946</v>
      </c>
      <c r="AH19" s="76">
        <v>54795</v>
      </c>
      <c r="AI19" s="76">
        <v>7</v>
      </c>
      <c r="AJ19" s="76">
        <v>67218</v>
      </c>
      <c r="AK19" s="76">
        <v>10618</v>
      </c>
      <c r="AL19" s="76" t="b">
        <v>0</v>
      </c>
      <c r="AM19" s="78">
        <v>43915.699166666665</v>
      </c>
      <c r="AN19" s="76" t="s">
        <v>6466</v>
      </c>
      <c r="AO19" s="76" t="s">
        <v>6648</v>
      </c>
      <c r="AP19" s="82" t="str">
        <f>HYPERLINK("https://t.co/U94BnlIACX")</f>
        <v>https://t.co/U94BnlIACX</v>
      </c>
      <c r="AQ19" s="82" t="str">
        <f>HYPERLINK("https://linktr.ee/theradzone")</f>
        <v>https://linktr.ee/theradzone</v>
      </c>
      <c r="AR19" s="76" t="s">
        <v>6946</v>
      </c>
      <c r="AS19" s="76"/>
      <c r="AT19" s="76"/>
      <c r="AU19" s="76"/>
      <c r="AV19" s="76">
        <v>1.72807576549585E+18</v>
      </c>
      <c r="AW19" s="82" t="str">
        <f>HYPERLINK("https://t.co/U94BnlIACX")</f>
        <v>https://t.co/U94BnlIACX</v>
      </c>
      <c r="AX19" s="76" t="b">
        <v>0</v>
      </c>
      <c r="AY19" s="76"/>
      <c r="AZ19" s="76"/>
      <c r="BA19" s="76" t="b">
        <v>0</v>
      </c>
      <c r="BB19" s="76" t="b">
        <v>0</v>
      </c>
      <c r="BC19" s="76" t="b">
        <v>1</v>
      </c>
      <c r="BD19" s="76" t="b">
        <v>0</v>
      </c>
      <c r="BE19" s="76" t="b">
        <v>1</v>
      </c>
      <c r="BF19" s="76" t="b">
        <v>0</v>
      </c>
      <c r="BG19" s="76" t="b">
        <v>0</v>
      </c>
      <c r="BH19" s="82" t="str">
        <f>HYPERLINK("https://pbs.twimg.com/profile_banners/1242855366829854722/1702498958")</f>
        <v>https://pbs.twimg.com/profile_banners/1242855366829854722/1702498958</v>
      </c>
      <c r="BI19" s="76"/>
      <c r="BJ19" s="76" t="s">
        <v>7188</v>
      </c>
      <c r="BK19" s="76" t="b">
        <v>0</v>
      </c>
      <c r="BL19" s="76"/>
      <c r="BM19" s="76" t="s">
        <v>66</v>
      </c>
      <c r="BN19" s="76" t="s">
        <v>7190</v>
      </c>
      <c r="BO19" s="82" t="str">
        <f>HYPERLINK("https://twitter.com/the_rad_zone")</f>
        <v>https://twitter.com/the_rad_zone</v>
      </c>
      <c r="BP19" s="46"/>
      <c r="BQ19" s="46"/>
      <c r="BR19" s="46"/>
      <c r="BS19" s="46"/>
      <c r="BT19" s="46"/>
      <c r="BU19" s="46"/>
      <c r="BV19" s="105" t="s">
        <v>7790</v>
      </c>
      <c r="BW19" s="105" t="s">
        <v>7790</v>
      </c>
      <c r="BX19" s="105" t="s">
        <v>8021</v>
      </c>
      <c r="BY19" s="105" t="s">
        <v>8021</v>
      </c>
      <c r="BZ19" s="2"/>
    </row>
    <row r="20" spans="1:78" ht="15">
      <c r="A20" s="62" t="s">
        <v>234</v>
      </c>
      <c r="B20" s="63"/>
      <c r="C20" s="63"/>
      <c r="D20" s="64"/>
      <c r="E20" s="66"/>
      <c r="F20" s="100" t="str">
        <f>HYPERLINK("https://pbs.twimg.com/profile_images/1690580475327471616/G1bD9-E0_normal.jpg")</f>
        <v>https://pbs.twimg.com/profile_images/1690580475327471616/G1bD9-E0_normal.jpg</v>
      </c>
      <c r="G20" s="63"/>
      <c r="H20" s="67"/>
      <c r="I20" s="68"/>
      <c r="J20" s="68"/>
      <c r="K20" s="67" t="s">
        <v>7207</v>
      </c>
      <c r="L20" s="71"/>
      <c r="M20" s="72">
        <v>803.7199096679688</v>
      </c>
      <c r="N20" s="72">
        <v>7724.26220703125</v>
      </c>
      <c r="O20" s="73"/>
      <c r="P20" s="74"/>
      <c r="Q20" s="74"/>
      <c r="R20" s="86"/>
      <c r="S20" s="46">
        <v>0</v>
      </c>
      <c r="T20" s="46">
        <v>1</v>
      </c>
      <c r="U20" s="47">
        <v>0</v>
      </c>
      <c r="V20" s="47">
        <v>0.00289</v>
      </c>
      <c r="W20" s="47">
        <v>0</v>
      </c>
      <c r="X20" s="47">
        <v>0.002882</v>
      </c>
      <c r="Y20" s="47">
        <v>0</v>
      </c>
      <c r="Z20" s="47">
        <v>0</v>
      </c>
      <c r="AA20" s="69">
        <v>20</v>
      </c>
      <c r="AB20" s="69"/>
      <c r="AC20" s="70"/>
      <c r="AD20" s="76" t="s">
        <v>5888</v>
      </c>
      <c r="AE20" s="83" t="s">
        <v>6218</v>
      </c>
      <c r="AF20" s="76">
        <v>225</v>
      </c>
      <c r="AG20" s="76">
        <v>345</v>
      </c>
      <c r="AH20" s="76">
        <v>29116</v>
      </c>
      <c r="AI20" s="76">
        <v>3</v>
      </c>
      <c r="AJ20" s="76">
        <v>103171</v>
      </c>
      <c r="AK20" s="76">
        <v>381</v>
      </c>
      <c r="AL20" s="76" t="b">
        <v>0</v>
      </c>
      <c r="AM20" s="78">
        <v>40721.75869212963</v>
      </c>
      <c r="AN20" s="76" t="s">
        <v>6467</v>
      </c>
      <c r="AO20" s="76" t="s">
        <v>6649</v>
      </c>
      <c r="AP20" s="76"/>
      <c r="AQ20" s="76"/>
      <c r="AR20" s="76"/>
      <c r="AS20" s="76"/>
      <c r="AT20" s="76"/>
      <c r="AU20" s="76"/>
      <c r="AV20" s="76">
        <v>1.09023765494645E+18</v>
      </c>
      <c r="AW20" s="76"/>
      <c r="AX20" s="76" t="b">
        <v>0</v>
      </c>
      <c r="AY20" s="76"/>
      <c r="AZ20" s="76"/>
      <c r="BA20" s="76" t="b">
        <v>0</v>
      </c>
      <c r="BB20" s="76" t="b">
        <v>0</v>
      </c>
      <c r="BC20" s="76" t="b">
        <v>0</v>
      </c>
      <c r="BD20" s="76" t="b">
        <v>0</v>
      </c>
      <c r="BE20" s="76" t="b">
        <v>0</v>
      </c>
      <c r="BF20" s="76" t="b">
        <v>0</v>
      </c>
      <c r="BG20" s="76" t="b">
        <v>0</v>
      </c>
      <c r="BH20" s="82" t="str">
        <f>HYPERLINK("https://pbs.twimg.com/profile_banners/325079689/1526192308")</f>
        <v>https://pbs.twimg.com/profile_banners/325079689/1526192308</v>
      </c>
      <c r="BI20" s="76"/>
      <c r="BJ20" s="76" t="s">
        <v>7188</v>
      </c>
      <c r="BK20" s="76" t="b">
        <v>0</v>
      </c>
      <c r="BL20" s="76"/>
      <c r="BM20" s="76" t="s">
        <v>66</v>
      </c>
      <c r="BN20" s="76" t="s">
        <v>7190</v>
      </c>
      <c r="BO20" s="82" t="str">
        <f>HYPERLINK("https://twitter.com/sivashanker_26")</f>
        <v>https://twitter.com/sivashanker_26</v>
      </c>
      <c r="BP20" s="46"/>
      <c r="BQ20" s="46"/>
      <c r="BR20" s="46"/>
      <c r="BS20" s="46"/>
      <c r="BT20" s="46"/>
      <c r="BU20" s="46"/>
      <c r="BV20" s="105" t="s">
        <v>7791</v>
      </c>
      <c r="BW20" s="105" t="s">
        <v>7791</v>
      </c>
      <c r="BX20" s="105" t="s">
        <v>8022</v>
      </c>
      <c r="BY20" s="105" t="s">
        <v>8022</v>
      </c>
      <c r="BZ20" s="2"/>
    </row>
    <row r="21" spans="1:78" ht="15">
      <c r="A21" s="62" t="s">
        <v>426</v>
      </c>
      <c r="B21" s="63"/>
      <c r="C21" s="63"/>
      <c r="D21" s="64"/>
      <c r="E21" s="66"/>
      <c r="F21" s="100" t="str">
        <f>HYPERLINK("https://pbs.twimg.com/profile_images/1470643979930669057/voO1d114_normal.jpg")</f>
        <v>https://pbs.twimg.com/profile_images/1470643979930669057/voO1d114_normal.jpg</v>
      </c>
      <c r="G21" s="63"/>
      <c r="H21" s="67"/>
      <c r="I21" s="68"/>
      <c r="J21" s="68"/>
      <c r="K21" s="67" t="s">
        <v>7208</v>
      </c>
      <c r="L21" s="71"/>
      <c r="M21" s="72">
        <v>830.3598022460938</v>
      </c>
      <c r="N21" s="72">
        <v>7862.208984375</v>
      </c>
      <c r="O21" s="73"/>
      <c r="P21" s="74"/>
      <c r="Q21" s="74"/>
      <c r="R21" s="86"/>
      <c r="S21" s="46">
        <v>1</v>
      </c>
      <c r="T21" s="46">
        <v>0</v>
      </c>
      <c r="U21" s="47">
        <v>0</v>
      </c>
      <c r="V21" s="47">
        <v>0.00289</v>
      </c>
      <c r="W21" s="47">
        <v>0</v>
      </c>
      <c r="X21" s="47">
        <v>0.002882</v>
      </c>
      <c r="Y21" s="47">
        <v>0</v>
      </c>
      <c r="Z21" s="47">
        <v>0</v>
      </c>
      <c r="AA21" s="69">
        <v>21</v>
      </c>
      <c r="AB21" s="69"/>
      <c r="AC21" s="70"/>
      <c r="AD21" s="76" t="s">
        <v>5889</v>
      </c>
      <c r="AE21" s="83" t="s">
        <v>5723</v>
      </c>
      <c r="AF21" s="76">
        <v>351875</v>
      </c>
      <c r="AG21" s="76">
        <v>133</v>
      </c>
      <c r="AH21" s="76">
        <v>19860</v>
      </c>
      <c r="AI21" s="76">
        <v>191</v>
      </c>
      <c r="AJ21" s="76">
        <v>17481</v>
      </c>
      <c r="AK21" s="76">
        <v>4851</v>
      </c>
      <c r="AL21" s="76" t="b">
        <v>0</v>
      </c>
      <c r="AM21" s="78">
        <v>41317.69619212963</v>
      </c>
      <c r="AN21" s="76" t="s">
        <v>6458</v>
      </c>
      <c r="AO21" s="76" t="s">
        <v>6650</v>
      </c>
      <c r="AP21" s="82" t="str">
        <f>HYPERLINK("https://t.co/ZwWJiqLlv2")</f>
        <v>https://t.co/ZwWJiqLlv2</v>
      </c>
      <c r="AQ21" s="82" t="str">
        <f>HYPERLINK("http://www.nawabmalik.in")</f>
        <v>http://www.nawabmalik.in</v>
      </c>
      <c r="AR21" s="76" t="s">
        <v>6947</v>
      </c>
      <c r="AS21" s="76"/>
      <c r="AT21" s="76"/>
      <c r="AU21" s="76"/>
      <c r="AV21" s="76">
        <v>1.4965073504671E+18</v>
      </c>
      <c r="AW21" s="82" t="str">
        <f>HYPERLINK("https://t.co/ZwWJiqLlv2")</f>
        <v>https://t.co/ZwWJiqLlv2</v>
      </c>
      <c r="AX21" s="76" t="b">
        <v>1</v>
      </c>
      <c r="AY21" s="76"/>
      <c r="AZ21" s="76"/>
      <c r="BA21" s="76" t="b">
        <v>1</v>
      </c>
      <c r="BB21" s="76" t="b">
        <v>1</v>
      </c>
      <c r="BC21" s="76" t="b">
        <v>1</v>
      </c>
      <c r="BD21" s="76" t="b">
        <v>0</v>
      </c>
      <c r="BE21" s="76" t="b">
        <v>1</v>
      </c>
      <c r="BF21" s="76" t="b">
        <v>0</v>
      </c>
      <c r="BG21" s="76" t="b">
        <v>0</v>
      </c>
      <c r="BH21" s="82" t="str">
        <f>HYPERLINK("https://pbs.twimg.com/profile_banners/1172482152/1637060147")</f>
        <v>https://pbs.twimg.com/profile_banners/1172482152/1637060147</v>
      </c>
      <c r="BI21" s="76"/>
      <c r="BJ21" s="76" t="s">
        <v>7188</v>
      </c>
      <c r="BK21" s="76" t="b">
        <v>0</v>
      </c>
      <c r="BL21" s="76"/>
      <c r="BM21" s="76" t="s">
        <v>65</v>
      </c>
      <c r="BN21" s="76" t="s">
        <v>7190</v>
      </c>
      <c r="BO21" s="82" t="str">
        <f>HYPERLINK("https://twitter.com/nawabmalikncp")</f>
        <v>https://twitter.com/nawabmalikncp</v>
      </c>
      <c r="BP21" s="46"/>
      <c r="BQ21" s="46"/>
      <c r="BR21" s="46"/>
      <c r="BS21" s="46"/>
      <c r="BT21" s="46"/>
      <c r="BU21" s="46"/>
      <c r="BV21" s="46"/>
      <c r="BW21" s="46"/>
      <c r="BX21" s="46"/>
      <c r="BY21" s="46"/>
      <c r="BZ21" s="2"/>
    </row>
    <row r="22" spans="1:78" ht="15">
      <c r="A22" s="62" t="s">
        <v>235</v>
      </c>
      <c r="B22" s="63"/>
      <c r="C22" s="63"/>
      <c r="D22" s="64"/>
      <c r="E22" s="66"/>
      <c r="F22" s="100" t="str">
        <f>HYPERLINK("https://pbs.twimg.com/profile_images/1583030578785488897/2jdHclLv_normal.jpg")</f>
        <v>https://pbs.twimg.com/profile_images/1583030578785488897/2jdHclLv_normal.jpg</v>
      </c>
      <c r="G22" s="63"/>
      <c r="H22" s="67"/>
      <c r="I22" s="68"/>
      <c r="J22" s="68"/>
      <c r="K22" s="67" t="s">
        <v>7209</v>
      </c>
      <c r="L22" s="71"/>
      <c r="M22" s="72">
        <v>856.999755859375</v>
      </c>
      <c r="N22" s="72">
        <v>7996.44580078125</v>
      </c>
      <c r="O22" s="73"/>
      <c r="P22" s="74"/>
      <c r="Q22" s="74"/>
      <c r="R22" s="86"/>
      <c r="S22" s="46">
        <v>0</v>
      </c>
      <c r="T22" s="46">
        <v>3</v>
      </c>
      <c r="U22" s="47">
        <v>698</v>
      </c>
      <c r="V22" s="47">
        <v>0.21677</v>
      </c>
      <c r="W22" s="47">
        <v>0.063014</v>
      </c>
      <c r="X22" s="47">
        <v>0.003283</v>
      </c>
      <c r="Y22" s="47">
        <v>0</v>
      </c>
      <c r="Z22" s="47">
        <v>0</v>
      </c>
      <c r="AA22" s="69">
        <v>22</v>
      </c>
      <c r="AB22" s="69"/>
      <c r="AC22" s="70"/>
      <c r="AD22" s="76" t="s">
        <v>5890</v>
      </c>
      <c r="AE22" s="83" t="s">
        <v>6219</v>
      </c>
      <c r="AF22" s="76">
        <v>715</v>
      </c>
      <c r="AG22" s="76">
        <v>900</v>
      </c>
      <c r="AH22" s="76">
        <v>8934</v>
      </c>
      <c r="AI22" s="76">
        <v>0</v>
      </c>
      <c r="AJ22" s="76">
        <v>2100</v>
      </c>
      <c r="AK22" s="76">
        <v>1501</v>
      </c>
      <c r="AL22" s="76" t="b">
        <v>0</v>
      </c>
      <c r="AM22" s="78">
        <v>41081.45410879629</v>
      </c>
      <c r="AN22" s="76"/>
      <c r="AO22" s="76" t="s">
        <v>6651</v>
      </c>
      <c r="AP22" s="82" t="str">
        <f>HYPERLINK("https://t.co/6NLwDaDQAu")</f>
        <v>https://t.co/6NLwDaDQAu</v>
      </c>
      <c r="AQ22" s="82" t="str">
        <f>HYPERLINK("http://www.1stchoicerec.com")</f>
        <v>http://www.1stchoicerec.com</v>
      </c>
      <c r="AR22" s="76" t="s">
        <v>6948</v>
      </c>
      <c r="AS22" s="76"/>
      <c r="AT22" s="76"/>
      <c r="AU22" s="76"/>
      <c r="AV22" s="76"/>
      <c r="AW22" s="82" t="str">
        <f>HYPERLINK("https://t.co/6NLwDaDQAu")</f>
        <v>https://t.co/6NLwDaDQAu</v>
      </c>
      <c r="AX22" s="76" t="b">
        <v>0</v>
      </c>
      <c r="AY22" s="76"/>
      <c r="AZ22" s="76"/>
      <c r="BA22" s="76" t="b">
        <v>0</v>
      </c>
      <c r="BB22" s="76" t="b">
        <v>1</v>
      </c>
      <c r="BC22" s="76" t="b">
        <v>0</v>
      </c>
      <c r="BD22" s="76" t="b">
        <v>0</v>
      </c>
      <c r="BE22" s="76" t="b">
        <v>0</v>
      </c>
      <c r="BF22" s="76" t="b">
        <v>0</v>
      </c>
      <c r="BG22" s="76" t="b">
        <v>0</v>
      </c>
      <c r="BH22" s="82" t="str">
        <f>HYPERLINK("https://pbs.twimg.com/profile_banners/614218528/1677574073")</f>
        <v>https://pbs.twimg.com/profile_banners/614218528/1677574073</v>
      </c>
      <c r="BI22" s="76"/>
      <c r="BJ22" s="76" t="s">
        <v>7188</v>
      </c>
      <c r="BK22" s="76" t="b">
        <v>0</v>
      </c>
      <c r="BL22" s="76"/>
      <c r="BM22" s="76" t="s">
        <v>66</v>
      </c>
      <c r="BN22" s="76" t="s">
        <v>7190</v>
      </c>
      <c r="BO22" s="82" t="str">
        <f>HYPERLINK("https://twitter.com/1stchoicerec")</f>
        <v>https://twitter.com/1stchoicerec</v>
      </c>
      <c r="BP22" s="46"/>
      <c r="BQ22" s="46"/>
      <c r="BR22" s="46"/>
      <c r="BS22" s="46"/>
      <c r="BT22" s="46" t="s">
        <v>1711</v>
      </c>
      <c r="BU22" s="46" t="s">
        <v>1711</v>
      </c>
      <c r="BV22" s="105" t="s">
        <v>7792</v>
      </c>
      <c r="BW22" s="105" t="s">
        <v>7792</v>
      </c>
      <c r="BX22" s="105" t="s">
        <v>8023</v>
      </c>
      <c r="BY22" s="105" t="s">
        <v>8023</v>
      </c>
      <c r="BZ22" s="2"/>
    </row>
    <row r="23" spans="1:78" ht="15">
      <c r="A23" s="62" t="s">
        <v>427</v>
      </c>
      <c r="B23" s="63"/>
      <c r="C23" s="63"/>
      <c r="D23" s="64"/>
      <c r="E23" s="66"/>
      <c r="F23" s="100" t="str">
        <f>HYPERLINK("https://pbs.twimg.com/profile_images/858955865004679169/-r_P46yw_normal.jpg")</f>
        <v>https://pbs.twimg.com/profile_images/858955865004679169/-r_P46yw_normal.jpg</v>
      </c>
      <c r="G23" s="63"/>
      <c r="H23" s="67"/>
      <c r="I23" s="68"/>
      <c r="J23" s="68"/>
      <c r="K23" s="67" t="s">
        <v>7210</v>
      </c>
      <c r="L23" s="71"/>
      <c r="M23" s="72">
        <v>883.6395263671875</v>
      </c>
      <c r="N23" s="72">
        <v>8126.7958984375</v>
      </c>
      <c r="O23" s="73"/>
      <c r="P23" s="74"/>
      <c r="Q23" s="74"/>
      <c r="R23" s="86"/>
      <c r="S23" s="46">
        <v>1</v>
      </c>
      <c r="T23" s="46">
        <v>0</v>
      </c>
      <c r="U23" s="47">
        <v>0</v>
      </c>
      <c r="V23" s="47">
        <v>0.152255</v>
      </c>
      <c r="W23" s="47">
        <v>0.005579</v>
      </c>
      <c r="X23" s="47">
        <v>0.002614</v>
      </c>
      <c r="Y23" s="47">
        <v>0</v>
      </c>
      <c r="Z23" s="47">
        <v>0</v>
      </c>
      <c r="AA23" s="69">
        <v>23</v>
      </c>
      <c r="AB23" s="69"/>
      <c r="AC23" s="70"/>
      <c r="AD23" s="76" t="s">
        <v>5891</v>
      </c>
      <c r="AE23" s="83" t="s">
        <v>6220</v>
      </c>
      <c r="AF23" s="76">
        <v>190</v>
      </c>
      <c r="AG23" s="76">
        <v>207</v>
      </c>
      <c r="AH23" s="76">
        <v>703</v>
      </c>
      <c r="AI23" s="76">
        <v>3</v>
      </c>
      <c r="AJ23" s="76">
        <v>514</v>
      </c>
      <c r="AK23" s="76">
        <v>449</v>
      </c>
      <c r="AL23" s="76" t="b">
        <v>0</v>
      </c>
      <c r="AM23" s="78">
        <v>42855.913356481484</v>
      </c>
      <c r="AN23" s="76" t="s">
        <v>6468</v>
      </c>
      <c r="AO23" s="76" t="s">
        <v>6652</v>
      </c>
      <c r="AP23" s="82" t="str">
        <f>HYPERLINK("https://t.co/jFs9t6bLjP")</f>
        <v>https://t.co/jFs9t6bLjP</v>
      </c>
      <c r="AQ23" s="82" t="str">
        <f>HYPERLINK("http://www.financialrelease.uk")</f>
        <v>http://www.financialrelease.uk</v>
      </c>
      <c r="AR23" s="76" t="s">
        <v>6949</v>
      </c>
      <c r="AS23" s="76"/>
      <c r="AT23" s="76"/>
      <c r="AU23" s="76"/>
      <c r="AV23" s="76"/>
      <c r="AW23" s="82" t="str">
        <f>HYPERLINK("https://t.co/jFs9t6bLjP")</f>
        <v>https://t.co/jFs9t6bLjP</v>
      </c>
      <c r="AX23" s="76" t="b">
        <v>0</v>
      </c>
      <c r="AY23" s="76"/>
      <c r="AZ23" s="76"/>
      <c r="BA23" s="76" t="b">
        <v>0</v>
      </c>
      <c r="BB23" s="76" t="b">
        <v>1</v>
      </c>
      <c r="BC23" s="76" t="b">
        <v>1</v>
      </c>
      <c r="BD23" s="76" t="b">
        <v>0</v>
      </c>
      <c r="BE23" s="76" t="b">
        <v>0</v>
      </c>
      <c r="BF23" s="76" t="b">
        <v>0</v>
      </c>
      <c r="BG23" s="76" t="b">
        <v>0</v>
      </c>
      <c r="BH23" s="82" t="str">
        <f>HYPERLINK("https://pbs.twimg.com/profile_banners/858801946853027841/1501779522")</f>
        <v>https://pbs.twimg.com/profile_banners/858801946853027841/1501779522</v>
      </c>
      <c r="BI23" s="76"/>
      <c r="BJ23" s="76" t="s">
        <v>7188</v>
      </c>
      <c r="BK23" s="76" t="b">
        <v>0</v>
      </c>
      <c r="BL23" s="76"/>
      <c r="BM23" s="76" t="s">
        <v>65</v>
      </c>
      <c r="BN23" s="76" t="s">
        <v>7190</v>
      </c>
      <c r="BO23" s="82" t="str">
        <f>HYPERLINK("https://twitter.com/finreluk")</f>
        <v>https://twitter.com/finreluk</v>
      </c>
      <c r="BP23" s="46"/>
      <c r="BQ23" s="46"/>
      <c r="BR23" s="46"/>
      <c r="BS23" s="46"/>
      <c r="BT23" s="46"/>
      <c r="BU23" s="46"/>
      <c r="BV23" s="46"/>
      <c r="BW23" s="46"/>
      <c r="BX23" s="46"/>
      <c r="BY23" s="46"/>
      <c r="BZ23" s="2"/>
    </row>
    <row r="24" spans="1:78" ht="15">
      <c r="A24" s="62" t="s">
        <v>428</v>
      </c>
      <c r="B24" s="63"/>
      <c r="C24" s="63"/>
      <c r="D24" s="64"/>
      <c r="E24" s="66"/>
      <c r="F24" s="100" t="str">
        <f>HYPERLINK("https://pbs.twimg.com/profile_images/1151233782470647809/-3gOmGcI_normal.jpg")</f>
        <v>https://pbs.twimg.com/profile_images/1151233782470647809/-3gOmGcI_normal.jpg</v>
      </c>
      <c r="G24" s="63"/>
      <c r="H24" s="67"/>
      <c r="I24" s="68"/>
      <c r="J24" s="68"/>
      <c r="K24" s="67" t="s">
        <v>7211</v>
      </c>
      <c r="L24" s="71"/>
      <c r="M24" s="72">
        <v>910.2794189453125</v>
      </c>
      <c r="N24" s="72">
        <v>8253.0927734375</v>
      </c>
      <c r="O24" s="73"/>
      <c r="P24" s="74"/>
      <c r="Q24" s="74"/>
      <c r="R24" s="86"/>
      <c r="S24" s="46">
        <v>1</v>
      </c>
      <c r="T24" s="46">
        <v>0</v>
      </c>
      <c r="U24" s="47">
        <v>0</v>
      </c>
      <c r="V24" s="47">
        <v>0.152255</v>
      </c>
      <c r="W24" s="47">
        <v>0.005579</v>
      </c>
      <c r="X24" s="47">
        <v>0.002614</v>
      </c>
      <c r="Y24" s="47">
        <v>0</v>
      </c>
      <c r="Z24" s="47">
        <v>0</v>
      </c>
      <c r="AA24" s="69">
        <v>24</v>
      </c>
      <c r="AB24" s="69"/>
      <c r="AC24" s="70"/>
      <c r="AD24" s="76" t="s">
        <v>5892</v>
      </c>
      <c r="AE24" s="83" t="s">
        <v>6221</v>
      </c>
      <c r="AF24" s="76">
        <v>8951</v>
      </c>
      <c r="AG24" s="76">
        <v>483</v>
      </c>
      <c r="AH24" s="76">
        <v>6336</v>
      </c>
      <c r="AI24" s="76">
        <v>245</v>
      </c>
      <c r="AJ24" s="76">
        <v>10331</v>
      </c>
      <c r="AK24" s="76">
        <v>3824</v>
      </c>
      <c r="AL24" s="76" t="b">
        <v>0</v>
      </c>
      <c r="AM24" s="78">
        <v>41397.72063657407</v>
      </c>
      <c r="AN24" s="76" t="s">
        <v>6469</v>
      </c>
      <c r="AO24" s="76" t="s">
        <v>6653</v>
      </c>
      <c r="AP24" s="82" t="str">
        <f>HYPERLINK("https://t.co/qSZJ6nT4o0")</f>
        <v>https://t.co/qSZJ6nT4o0</v>
      </c>
      <c r="AQ24" s="82" t="str">
        <f>HYPERLINK("http://uk.linkedin.com/in/tonyhoran/")</f>
        <v>http://uk.linkedin.com/in/tonyhoran/</v>
      </c>
      <c r="AR24" s="76" t="s">
        <v>6950</v>
      </c>
      <c r="AS24" s="76"/>
      <c r="AT24" s="76"/>
      <c r="AU24" s="76"/>
      <c r="AV24" s="76"/>
      <c r="AW24" s="82" t="str">
        <f>HYPERLINK("https://t.co/qSZJ6nT4o0")</f>
        <v>https://t.co/qSZJ6nT4o0</v>
      </c>
      <c r="AX24" s="76" t="b">
        <v>0</v>
      </c>
      <c r="AY24" s="76"/>
      <c r="AZ24" s="76"/>
      <c r="BA24" s="76" t="b">
        <v>1</v>
      </c>
      <c r="BB24" s="76" t="b">
        <v>1</v>
      </c>
      <c r="BC24" s="76" t="b">
        <v>0</v>
      </c>
      <c r="BD24" s="76" t="b">
        <v>0</v>
      </c>
      <c r="BE24" s="76" t="b">
        <v>0</v>
      </c>
      <c r="BF24" s="76" t="b">
        <v>0</v>
      </c>
      <c r="BG24" s="76" t="b">
        <v>0</v>
      </c>
      <c r="BH24" s="82" t="str">
        <f>HYPERLINK("https://pbs.twimg.com/profile_banners/1400258503/1512093453")</f>
        <v>https://pbs.twimg.com/profile_banners/1400258503/1512093453</v>
      </c>
      <c r="BI24" s="76"/>
      <c r="BJ24" s="76" t="s">
        <v>7188</v>
      </c>
      <c r="BK24" s="76" t="b">
        <v>0</v>
      </c>
      <c r="BL24" s="76"/>
      <c r="BM24" s="76" t="s">
        <v>65</v>
      </c>
      <c r="BN24" s="76" t="s">
        <v>7190</v>
      </c>
      <c r="BO24" s="82" t="str">
        <f>HYPERLINK("https://twitter.com/t0nyh0ran")</f>
        <v>https://twitter.com/t0nyh0ran</v>
      </c>
      <c r="BP24" s="46"/>
      <c r="BQ24" s="46"/>
      <c r="BR24" s="46"/>
      <c r="BS24" s="46"/>
      <c r="BT24" s="46"/>
      <c r="BU24" s="46"/>
      <c r="BV24" s="46"/>
      <c r="BW24" s="46"/>
      <c r="BX24" s="46"/>
      <c r="BY24" s="46"/>
      <c r="BZ24" s="2"/>
    </row>
    <row r="25" spans="1:78" ht="15">
      <c r="A25" s="62" t="s">
        <v>236</v>
      </c>
      <c r="B25" s="63"/>
      <c r="C25" s="63"/>
      <c r="D25" s="64"/>
      <c r="E25" s="66"/>
      <c r="F25" s="100" t="str">
        <f>HYPERLINK("https://pbs.twimg.com/profile_images/716477715243642881/IrrTIgea_normal.jpg")</f>
        <v>https://pbs.twimg.com/profile_images/716477715243642881/IrrTIgea_normal.jpg</v>
      </c>
      <c r="G25" s="63"/>
      <c r="H25" s="67"/>
      <c r="I25" s="68"/>
      <c r="J25" s="68"/>
      <c r="K25" s="67" t="s">
        <v>7212</v>
      </c>
      <c r="L25" s="71"/>
      <c r="M25" s="72">
        <v>936.9193115234375</v>
      </c>
      <c r="N25" s="72">
        <v>8375.171875</v>
      </c>
      <c r="O25" s="73"/>
      <c r="P25" s="74"/>
      <c r="Q25" s="74"/>
      <c r="R25" s="86"/>
      <c r="S25" s="46">
        <v>1</v>
      </c>
      <c r="T25" s="46">
        <v>1</v>
      </c>
      <c r="U25" s="47">
        <v>0</v>
      </c>
      <c r="V25" s="47">
        <v>0</v>
      </c>
      <c r="W25" s="47">
        <v>0</v>
      </c>
      <c r="X25" s="47">
        <v>0.002882</v>
      </c>
      <c r="Y25" s="47">
        <v>0</v>
      </c>
      <c r="Z25" s="47">
        <v>0</v>
      </c>
      <c r="AA25" s="69">
        <v>25</v>
      </c>
      <c r="AB25" s="69"/>
      <c r="AC25" s="70"/>
      <c r="AD25" s="76" t="s">
        <v>5893</v>
      </c>
      <c r="AE25" s="83" t="s">
        <v>5787</v>
      </c>
      <c r="AF25" s="76">
        <v>623</v>
      </c>
      <c r="AG25" s="76">
        <v>82</v>
      </c>
      <c r="AH25" s="76">
        <v>23469</v>
      </c>
      <c r="AI25" s="76">
        <v>37</v>
      </c>
      <c r="AJ25" s="76">
        <v>39</v>
      </c>
      <c r="AK25" s="76">
        <v>0</v>
      </c>
      <c r="AL25" s="76" t="b">
        <v>0</v>
      </c>
      <c r="AM25" s="78">
        <v>42443.08912037037</v>
      </c>
      <c r="AN25" s="76" t="s">
        <v>6470</v>
      </c>
      <c r="AO25" s="76" t="s">
        <v>6654</v>
      </c>
      <c r="AP25" s="82" t="str">
        <f>HYPERLINK("https://t.co/Ac3vmzamUd")</f>
        <v>https://t.co/Ac3vmzamUd</v>
      </c>
      <c r="AQ25" s="82" t="str">
        <f>HYPERLINK("https://linktr.ee/uxjobs")</f>
        <v>https://linktr.ee/uxjobs</v>
      </c>
      <c r="AR25" s="76" t="s">
        <v>6951</v>
      </c>
      <c r="AS25" s="76"/>
      <c r="AT25" s="76"/>
      <c r="AU25" s="76"/>
      <c r="AV25" s="76">
        <v>7.13715181839208E+17</v>
      </c>
      <c r="AW25" s="82" t="str">
        <f>HYPERLINK("https://t.co/Ac3vmzamUd")</f>
        <v>https://t.co/Ac3vmzamUd</v>
      </c>
      <c r="AX25" s="76" t="b">
        <v>0</v>
      </c>
      <c r="AY25" s="76"/>
      <c r="AZ25" s="76"/>
      <c r="BA25" s="76" t="b">
        <v>0</v>
      </c>
      <c r="BB25" s="76" t="b">
        <v>0</v>
      </c>
      <c r="BC25" s="76" t="b">
        <v>0</v>
      </c>
      <c r="BD25" s="76" t="b">
        <v>0</v>
      </c>
      <c r="BE25" s="76" t="b">
        <v>0</v>
      </c>
      <c r="BF25" s="76" t="b">
        <v>0</v>
      </c>
      <c r="BG25" s="76" t="b">
        <v>0</v>
      </c>
      <c r="BH25" s="82" t="str">
        <f>HYPERLINK("https://pbs.twimg.com/profile_banners/709199453865975809/1459656604")</f>
        <v>https://pbs.twimg.com/profile_banners/709199453865975809/1459656604</v>
      </c>
      <c r="BI25" s="76"/>
      <c r="BJ25" s="76" t="s">
        <v>7188</v>
      </c>
      <c r="BK25" s="76" t="b">
        <v>0</v>
      </c>
      <c r="BL25" s="76"/>
      <c r="BM25" s="76" t="s">
        <v>66</v>
      </c>
      <c r="BN25" s="76" t="s">
        <v>7190</v>
      </c>
      <c r="BO25" s="82" t="str">
        <f>HYPERLINK("https://twitter.com/uxjobs_imea")</f>
        <v>https://twitter.com/uxjobs_imea</v>
      </c>
      <c r="BP25" s="46" t="s">
        <v>7603</v>
      </c>
      <c r="BQ25" s="46" t="s">
        <v>7686</v>
      </c>
      <c r="BR25" s="46" t="s">
        <v>1976</v>
      </c>
      <c r="BS25" s="46" t="s">
        <v>1976</v>
      </c>
      <c r="BT25" s="46" t="s">
        <v>1712</v>
      </c>
      <c r="BU25" s="46" t="s">
        <v>7748</v>
      </c>
      <c r="BV25" s="105" t="s">
        <v>7793</v>
      </c>
      <c r="BW25" s="105" t="s">
        <v>7975</v>
      </c>
      <c r="BX25" s="105" t="s">
        <v>8024</v>
      </c>
      <c r="BY25" s="105" t="s">
        <v>8205</v>
      </c>
      <c r="BZ25" s="2"/>
    </row>
    <row r="26" spans="1:78" ht="15">
      <c r="A26" s="62" t="s">
        <v>237</v>
      </c>
      <c r="B26" s="63"/>
      <c r="C26" s="63"/>
      <c r="D26" s="64"/>
      <c r="E26" s="66"/>
      <c r="F26" s="100" t="str">
        <f>HYPERLINK("https://pbs.twimg.com/profile_images/583339387166990336/56iMGRnj_normal.png")</f>
        <v>https://pbs.twimg.com/profile_images/583339387166990336/56iMGRnj_normal.png</v>
      </c>
      <c r="G26" s="63"/>
      <c r="H26" s="67"/>
      <c r="I26" s="68"/>
      <c r="J26" s="68"/>
      <c r="K26" s="67" t="s">
        <v>7213</v>
      </c>
      <c r="L26" s="71"/>
      <c r="M26" s="72">
        <v>963.5592041015625</v>
      </c>
      <c r="N26" s="72">
        <v>8492.875</v>
      </c>
      <c r="O26" s="73"/>
      <c r="P26" s="74"/>
      <c r="Q26" s="74"/>
      <c r="R26" s="86"/>
      <c r="S26" s="46">
        <v>1</v>
      </c>
      <c r="T26" s="46">
        <v>2</v>
      </c>
      <c r="U26" s="47">
        <v>350</v>
      </c>
      <c r="V26" s="47">
        <v>0.215725</v>
      </c>
      <c r="W26" s="47">
        <v>0.062516</v>
      </c>
      <c r="X26" s="47">
        <v>0.002899</v>
      </c>
      <c r="Y26" s="47">
        <v>0</v>
      </c>
      <c r="Z26" s="47">
        <v>0.5</v>
      </c>
      <c r="AA26" s="69">
        <v>26</v>
      </c>
      <c r="AB26" s="69"/>
      <c r="AC26" s="70"/>
      <c r="AD26" s="76" t="s">
        <v>5894</v>
      </c>
      <c r="AE26" s="83" t="s">
        <v>5738</v>
      </c>
      <c r="AF26" s="76">
        <v>3656</v>
      </c>
      <c r="AG26" s="76">
        <v>2977</v>
      </c>
      <c r="AH26" s="76">
        <v>9470</v>
      </c>
      <c r="AI26" s="76">
        <v>531</v>
      </c>
      <c r="AJ26" s="76">
        <v>3449</v>
      </c>
      <c r="AK26" s="76">
        <v>7579</v>
      </c>
      <c r="AL26" s="76" t="b">
        <v>0</v>
      </c>
      <c r="AM26" s="78">
        <v>42060.54614583333</v>
      </c>
      <c r="AN26" s="76"/>
      <c r="AO26" s="76" t="s">
        <v>6655</v>
      </c>
      <c r="AP26" s="82" t="str">
        <f>HYPERLINK("https://t.co/xC82RGw0IS")</f>
        <v>https://t.co/xC82RGw0IS</v>
      </c>
      <c r="AQ26" s="82" t="str">
        <f>HYPERLINK("https://www.webguruawards.com")</f>
        <v>https://www.webguruawards.com</v>
      </c>
      <c r="AR26" s="76" t="s">
        <v>1977</v>
      </c>
      <c r="AS26" s="76"/>
      <c r="AT26" s="76"/>
      <c r="AU26" s="76"/>
      <c r="AV26" s="76"/>
      <c r="AW26" s="82" t="str">
        <f>HYPERLINK("https://t.co/xC82RGw0IS")</f>
        <v>https://t.co/xC82RGw0IS</v>
      </c>
      <c r="AX26" s="76" t="b">
        <v>0</v>
      </c>
      <c r="AY26" s="76"/>
      <c r="AZ26" s="76"/>
      <c r="BA26" s="76" t="b">
        <v>0</v>
      </c>
      <c r="BB26" s="76" t="b">
        <v>1</v>
      </c>
      <c r="BC26" s="76" t="b">
        <v>0</v>
      </c>
      <c r="BD26" s="76" t="b">
        <v>0</v>
      </c>
      <c r="BE26" s="76" t="b">
        <v>1</v>
      </c>
      <c r="BF26" s="76" t="b">
        <v>0</v>
      </c>
      <c r="BG26" s="76" t="b">
        <v>0</v>
      </c>
      <c r="BH26" s="82" t="str">
        <f>HYPERLINK("https://pbs.twimg.com/profile_banners/3041320412/1432574337")</f>
        <v>https://pbs.twimg.com/profile_banners/3041320412/1432574337</v>
      </c>
      <c r="BI26" s="76"/>
      <c r="BJ26" s="76" t="s">
        <v>7188</v>
      </c>
      <c r="BK26" s="76" t="b">
        <v>0</v>
      </c>
      <c r="BL26" s="76"/>
      <c r="BM26" s="76" t="s">
        <v>66</v>
      </c>
      <c r="BN26" s="76" t="s">
        <v>7190</v>
      </c>
      <c r="BO26" s="82" t="str">
        <f>HYPERLINK("https://twitter.com/webguruawards")</f>
        <v>https://twitter.com/webguruawards</v>
      </c>
      <c r="BP26" s="46" t="s">
        <v>7604</v>
      </c>
      <c r="BQ26" s="46" t="s">
        <v>7687</v>
      </c>
      <c r="BR26" s="46" t="s">
        <v>1977</v>
      </c>
      <c r="BS26" s="46" t="s">
        <v>1977</v>
      </c>
      <c r="BT26" s="46" t="s">
        <v>7731</v>
      </c>
      <c r="BU26" s="46" t="s">
        <v>7749</v>
      </c>
      <c r="BV26" s="105" t="s">
        <v>7794</v>
      </c>
      <c r="BW26" s="105" t="s">
        <v>7976</v>
      </c>
      <c r="BX26" s="105" t="s">
        <v>8025</v>
      </c>
      <c r="BY26" s="105" t="s">
        <v>8025</v>
      </c>
      <c r="BZ26" s="2"/>
    </row>
    <row r="27" spans="1:78" ht="15">
      <c r="A27" s="62" t="s">
        <v>429</v>
      </c>
      <c r="B27" s="63"/>
      <c r="C27" s="63"/>
      <c r="D27" s="64"/>
      <c r="E27" s="66"/>
      <c r="F27" s="100" t="str">
        <f>HYPERLINK("https://pbs.twimg.com/profile_images/1485551894722453505/rElhCnge_normal.jpg")</f>
        <v>https://pbs.twimg.com/profile_images/1485551894722453505/rElhCnge_normal.jpg</v>
      </c>
      <c r="G27" s="63"/>
      <c r="H27" s="67"/>
      <c r="I27" s="68"/>
      <c r="J27" s="68"/>
      <c r="K27" s="67" t="s">
        <v>7214</v>
      </c>
      <c r="L27" s="71"/>
      <c r="M27" s="72">
        <v>990.1990356445312</v>
      </c>
      <c r="N27" s="72">
        <v>8606.0498046875</v>
      </c>
      <c r="O27" s="73"/>
      <c r="P27" s="74"/>
      <c r="Q27" s="74"/>
      <c r="R27" s="86"/>
      <c r="S27" s="46">
        <v>1</v>
      </c>
      <c r="T27" s="46">
        <v>0</v>
      </c>
      <c r="U27" s="47">
        <v>0</v>
      </c>
      <c r="V27" s="47">
        <v>0.151739</v>
      </c>
      <c r="W27" s="47">
        <v>0.005535</v>
      </c>
      <c r="X27" s="47">
        <v>0.002667</v>
      </c>
      <c r="Y27" s="47">
        <v>0</v>
      </c>
      <c r="Z27" s="47">
        <v>0</v>
      </c>
      <c r="AA27" s="69">
        <v>27</v>
      </c>
      <c r="AB27" s="69"/>
      <c r="AC27" s="70"/>
      <c r="AD27" s="76" t="s">
        <v>5895</v>
      </c>
      <c r="AE27" s="83" t="s">
        <v>6222</v>
      </c>
      <c r="AF27" s="76">
        <v>425</v>
      </c>
      <c r="AG27" s="76">
        <v>39</v>
      </c>
      <c r="AH27" s="76">
        <v>1683</v>
      </c>
      <c r="AI27" s="76">
        <v>7</v>
      </c>
      <c r="AJ27" s="76">
        <v>432</v>
      </c>
      <c r="AK27" s="76">
        <v>126</v>
      </c>
      <c r="AL27" s="76" t="b">
        <v>0</v>
      </c>
      <c r="AM27" s="78">
        <v>42563.709016203706</v>
      </c>
      <c r="AN27" s="76" t="s">
        <v>6471</v>
      </c>
      <c r="AO27" s="76" t="s">
        <v>6656</v>
      </c>
      <c r="AP27" s="82" t="str">
        <f>HYPERLINK("https://t.co/zXlFfjAhT9")</f>
        <v>https://t.co/zXlFfjAhT9</v>
      </c>
      <c r="AQ27" s="82" t="str">
        <f>HYPERLINK("http://virtuoso.qa")</f>
        <v>http://virtuoso.qa</v>
      </c>
      <c r="AR27" s="76" t="s">
        <v>6952</v>
      </c>
      <c r="AS27" s="76"/>
      <c r="AT27" s="76"/>
      <c r="AU27" s="76"/>
      <c r="AV27" s="76"/>
      <c r="AW27" s="82" t="str">
        <f>HYPERLINK("https://t.co/zXlFfjAhT9")</f>
        <v>https://t.co/zXlFfjAhT9</v>
      </c>
      <c r="AX27" s="76" t="b">
        <v>0</v>
      </c>
      <c r="AY27" s="76"/>
      <c r="AZ27" s="76"/>
      <c r="BA27" s="76" t="b">
        <v>1</v>
      </c>
      <c r="BB27" s="76" t="b">
        <v>1</v>
      </c>
      <c r="BC27" s="76" t="b">
        <v>0</v>
      </c>
      <c r="BD27" s="76" t="b">
        <v>0</v>
      </c>
      <c r="BE27" s="76" t="b">
        <v>0</v>
      </c>
      <c r="BF27" s="76" t="b">
        <v>0</v>
      </c>
      <c r="BG27" s="76" t="b">
        <v>0</v>
      </c>
      <c r="BH27" s="82" t="str">
        <f>HYPERLINK("https://pbs.twimg.com/profile_banners/752910638192660482/1644943703")</f>
        <v>https://pbs.twimg.com/profile_banners/752910638192660482/1644943703</v>
      </c>
      <c r="BI27" s="76"/>
      <c r="BJ27" s="76" t="s">
        <v>7188</v>
      </c>
      <c r="BK27" s="76" t="b">
        <v>0</v>
      </c>
      <c r="BL27" s="76"/>
      <c r="BM27" s="76" t="s">
        <v>65</v>
      </c>
      <c r="BN27" s="76" t="s">
        <v>7190</v>
      </c>
      <c r="BO27" s="82" t="str">
        <f>HYPERLINK("https://twitter.com/virtuoso_qa")</f>
        <v>https://twitter.com/virtuoso_qa</v>
      </c>
      <c r="BP27" s="46"/>
      <c r="BQ27" s="46"/>
      <c r="BR27" s="46"/>
      <c r="BS27" s="46"/>
      <c r="BT27" s="46"/>
      <c r="BU27" s="46"/>
      <c r="BV27" s="46"/>
      <c r="BW27" s="46"/>
      <c r="BX27" s="46"/>
      <c r="BY27" s="46"/>
      <c r="BZ27" s="2"/>
    </row>
    <row r="28" spans="1:78" ht="15">
      <c r="A28" s="62" t="s">
        <v>238</v>
      </c>
      <c r="B28" s="63"/>
      <c r="C28" s="63"/>
      <c r="D28" s="64"/>
      <c r="E28" s="66"/>
      <c r="F28" s="100" t="str">
        <f>HYPERLINK("https://pbs.twimg.com/profile_images/911215376737951745/uxVKDZxu_normal.jpg")</f>
        <v>https://pbs.twimg.com/profile_images/911215376737951745/uxVKDZxu_normal.jpg</v>
      </c>
      <c r="G28" s="63"/>
      <c r="H28" s="67"/>
      <c r="I28" s="68"/>
      <c r="J28" s="68"/>
      <c r="K28" s="67" t="s">
        <v>7215</v>
      </c>
      <c r="L28" s="71"/>
      <c r="M28" s="72">
        <v>1016.8389282226562</v>
      </c>
      <c r="N28" s="72">
        <v>8714.548828125</v>
      </c>
      <c r="O28" s="73"/>
      <c r="P28" s="74"/>
      <c r="Q28" s="74"/>
      <c r="R28" s="86"/>
      <c r="S28" s="46">
        <v>1</v>
      </c>
      <c r="T28" s="46">
        <v>1</v>
      </c>
      <c r="U28" s="47">
        <v>0</v>
      </c>
      <c r="V28" s="47">
        <v>0</v>
      </c>
      <c r="W28" s="47">
        <v>0</v>
      </c>
      <c r="X28" s="47">
        <v>0.002882</v>
      </c>
      <c r="Y28" s="47">
        <v>0</v>
      </c>
      <c r="Z28" s="47">
        <v>0</v>
      </c>
      <c r="AA28" s="69">
        <v>28</v>
      </c>
      <c r="AB28" s="69"/>
      <c r="AC28" s="70"/>
      <c r="AD28" s="76" t="s">
        <v>5896</v>
      </c>
      <c r="AE28" s="83" t="s">
        <v>5788</v>
      </c>
      <c r="AF28" s="76">
        <v>1279</v>
      </c>
      <c r="AG28" s="76">
        <v>2526</v>
      </c>
      <c r="AH28" s="76">
        <v>9283</v>
      </c>
      <c r="AI28" s="76">
        <v>9</v>
      </c>
      <c r="AJ28" s="76">
        <v>67</v>
      </c>
      <c r="AK28" s="76">
        <v>2882</v>
      </c>
      <c r="AL28" s="76" t="b">
        <v>0</v>
      </c>
      <c r="AM28" s="78">
        <v>42990.568032407406</v>
      </c>
      <c r="AN28" s="76" t="s">
        <v>6468</v>
      </c>
      <c r="AO28" s="76" t="s">
        <v>6657</v>
      </c>
      <c r="AP28" s="82" t="str">
        <f>HYPERLINK("https://t.co/LQFXcOUIFp")</f>
        <v>https://t.co/LQFXcOUIFp</v>
      </c>
      <c r="AQ28" s="82" t="str">
        <f>HYPERLINK("http://webpageland.com")</f>
        <v>http://webpageland.com</v>
      </c>
      <c r="AR28" s="76" t="s">
        <v>6953</v>
      </c>
      <c r="AS28" s="76"/>
      <c r="AT28" s="76"/>
      <c r="AU28" s="76"/>
      <c r="AV28" s="76">
        <v>9.09841800390758E+17</v>
      </c>
      <c r="AW28" s="82" t="str">
        <f>HYPERLINK("https://t.co/LQFXcOUIFp")</f>
        <v>https://t.co/LQFXcOUIFp</v>
      </c>
      <c r="AX28" s="76" t="b">
        <v>0</v>
      </c>
      <c r="AY28" s="76"/>
      <c r="AZ28" s="76"/>
      <c r="BA28" s="76" t="b">
        <v>0</v>
      </c>
      <c r="BB28" s="76" t="b">
        <v>1</v>
      </c>
      <c r="BC28" s="76" t="b">
        <v>1</v>
      </c>
      <c r="BD28" s="76" t="b">
        <v>0</v>
      </c>
      <c r="BE28" s="76" t="b">
        <v>0</v>
      </c>
      <c r="BF28" s="76" t="b">
        <v>0</v>
      </c>
      <c r="BG28" s="76" t="b">
        <v>0</v>
      </c>
      <c r="BH28" s="82" t="str">
        <f>HYPERLINK("https://pbs.twimg.com/profile_banners/907599166146301952/1506106290")</f>
        <v>https://pbs.twimg.com/profile_banners/907599166146301952/1506106290</v>
      </c>
      <c r="BI28" s="76"/>
      <c r="BJ28" s="76" t="s">
        <v>7188</v>
      </c>
      <c r="BK28" s="76" t="b">
        <v>0</v>
      </c>
      <c r="BL28" s="76"/>
      <c r="BM28" s="76" t="s">
        <v>66</v>
      </c>
      <c r="BN28" s="76" t="s">
        <v>7190</v>
      </c>
      <c r="BO28" s="82" t="str">
        <f>HYPERLINK("https://twitter.com/webpageland")</f>
        <v>https://twitter.com/webpageland</v>
      </c>
      <c r="BP28" s="46" t="s">
        <v>7605</v>
      </c>
      <c r="BQ28" s="46" t="s">
        <v>7605</v>
      </c>
      <c r="BR28" s="46" t="s">
        <v>1978</v>
      </c>
      <c r="BS28" s="46" t="s">
        <v>1978</v>
      </c>
      <c r="BT28" s="46" t="s">
        <v>299</v>
      </c>
      <c r="BU28" s="46" t="s">
        <v>299</v>
      </c>
      <c r="BV28" s="105" t="s">
        <v>7795</v>
      </c>
      <c r="BW28" s="105" t="s">
        <v>7795</v>
      </c>
      <c r="BX28" s="105" t="s">
        <v>8026</v>
      </c>
      <c r="BY28" s="105" t="s">
        <v>8026</v>
      </c>
      <c r="BZ28" s="2"/>
    </row>
    <row r="29" spans="1:78" ht="15">
      <c r="A29" s="62" t="s">
        <v>239</v>
      </c>
      <c r="B29" s="63"/>
      <c r="C29" s="63"/>
      <c r="D29" s="64"/>
      <c r="E29" s="66"/>
      <c r="F29" s="100" t="str">
        <f>HYPERLINK("https://pbs.twimg.com/profile_images/661473093890654208/8rc2wsU2_normal.jpg")</f>
        <v>https://pbs.twimg.com/profile_images/661473093890654208/8rc2wsU2_normal.jpg</v>
      </c>
      <c r="G29" s="63"/>
      <c r="H29" s="67"/>
      <c r="I29" s="68"/>
      <c r="J29" s="68"/>
      <c r="K29" s="67" t="s">
        <v>7216</v>
      </c>
      <c r="L29" s="71"/>
      <c r="M29" s="72">
        <v>1043.478759765625</v>
      </c>
      <c r="N29" s="72">
        <v>8818.2314453125</v>
      </c>
      <c r="O29" s="73"/>
      <c r="P29" s="74"/>
      <c r="Q29" s="74"/>
      <c r="R29" s="86"/>
      <c r="S29" s="46">
        <v>1</v>
      </c>
      <c r="T29" s="46">
        <v>3</v>
      </c>
      <c r="U29" s="47">
        <v>350</v>
      </c>
      <c r="V29" s="47">
        <v>0.215725</v>
      </c>
      <c r="W29" s="47">
        <v>0.068642</v>
      </c>
      <c r="X29" s="47">
        <v>0.003041</v>
      </c>
      <c r="Y29" s="47">
        <v>0</v>
      </c>
      <c r="Z29" s="47">
        <v>0</v>
      </c>
      <c r="AA29" s="69">
        <v>29</v>
      </c>
      <c r="AB29" s="69"/>
      <c r="AC29" s="70"/>
      <c r="AD29" s="76" t="s">
        <v>5897</v>
      </c>
      <c r="AE29" s="83" t="s">
        <v>6223</v>
      </c>
      <c r="AF29" s="76">
        <v>414</v>
      </c>
      <c r="AG29" s="76">
        <v>606</v>
      </c>
      <c r="AH29" s="76">
        <v>3401</v>
      </c>
      <c r="AI29" s="76">
        <v>108</v>
      </c>
      <c r="AJ29" s="76">
        <v>132</v>
      </c>
      <c r="AK29" s="76">
        <v>19</v>
      </c>
      <c r="AL29" s="76" t="b">
        <v>0</v>
      </c>
      <c r="AM29" s="78">
        <v>42151.533483796295</v>
      </c>
      <c r="AN29" s="76" t="s">
        <v>6472</v>
      </c>
      <c r="AO29" s="76" t="s">
        <v>6658</v>
      </c>
      <c r="AP29" s="82" t="str">
        <f>HYPERLINK("http://t.co/1IunGNupIn")</f>
        <v>http://t.co/1IunGNupIn</v>
      </c>
      <c r="AQ29" s="82" t="str">
        <f>HYPERLINK("http://www.designbrandindia.com")</f>
        <v>http://www.designbrandindia.com</v>
      </c>
      <c r="AR29" s="76" t="s">
        <v>6954</v>
      </c>
      <c r="AS29" s="76"/>
      <c r="AT29" s="76"/>
      <c r="AU29" s="76"/>
      <c r="AV29" s="76"/>
      <c r="AW29" s="82" t="str">
        <f>HYPERLINK("http://t.co/1IunGNupIn")</f>
        <v>http://t.co/1IunGNupIn</v>
      </c>
      <c r="AX29" s="76" t="b">
        <v>0</v>
      </c>
      <c r="AY29" s="76"/>
      <c r="AZ29" s="76"/>
      <c r="BA29" s="76" t="b">
        <v>0</v>
      </c>
      <c r="BB29" s="76" t="b">
        <v>1</v>
      </c>
      <c r="BC29" s="76" t="b">
        <v>0</v>
      </c>
      <c r="BD29" s="76" t="b">
        <v>0</v>
      </c>
      <c r="BE29" s="76" t="b">
        <v>0</v>
      </c>
      <c r="BF29" s="76" t="b">
        <v>0</v>
      </c>
      <c r="BG29" s="76" t="b">
        <v>0</v>
      </c>
      <c r="BH29" s="82" t="str">
        <f>HYPERLINK("https://pbs.twimg.com/profile_banners/3228207062/1451472411")</f>
        <v>https://pbs.twimg.com/profile_banners/3228207062/1451472411</v>
      </c>
      <c r="BI29" s="76"/>
      <c r="BJ29" s="76" t="s">
        <v>7188</v>
      </c>
      <c r="BK29" s="76" t="b">
        <v>0</v>
      </c>
      <c r="BL29" s="76"/>
      <c r="BM29" s="76" t="s">
        <v>66</v>
      </c>
      <c r="BN29" s="76" t="s">
        <v>7190</v>
      </c>
      <c r="BO29" s="82" t="str">
        <f>HYPERLINK("https://twitter.com/designbrandind")</f>
        <v>https://twitter.com/designbrandind</v>
      </c>
      <c r="BP29" s="46" t="s">
        <v>7606</v>
      </c>
      <c r="BQ29" s="46" t="s">
        <v>7606</v>
      </c>
      <c r="BR29" s="46" t="s">
        <v>1978</v>
      </c>
      <c r="BS29" s="46" t="s">
        <v>1978</v>
      </c>
      <c r="BT29" s="46" t="s">
        <v>1714</v>
      </c>
      <c r="BU29" s="46" t="s">
        <v>1714</v>
      </c>
      <c r="BV29" s="105" t="s">
        <v>7796</v>
      </c>
      <c r="BW29" s="105" t="s">
        <v>7977</v>
      </c>
      <c r="BX29" s="105" t="s">
        <v>8027</v>
      </c>
      <c r="BY29" s="105" t="s">
        <v>8206</v>
      </c>
      <c r="BZ29" s="2"/>
    </row>
    <row r="30" spans="1:78" ht="15">
      <c r="A30" s="62" t="s">
        <v>430</v>
      </c>
      <c r="B30" s="63"/>
      <c r="C30" s="63"/>
      <c r="D30" s="64"/>
      <c r="E30" s="66"/>
      <c r="F30" s="100" t="str">
        <f>HYPERLINK("https://pbs.twimg.com/profile_images/603011736753569792/W_Q7sY4D_normal.png")</f>
        <v>https://pbs.twimg.com/profile_images/603011736753569792/W_Q7sY4D_normal.png</v>
      </c>
      <c r="G30" s="63"/>
      <c r="H30" s="67"/>
      <c r="I30" s="68"/>
      <c r="J30" s="68"/>
      <c r="K30" s="67" t="s">
        <v>7217</v>
      </c>
      <c r="L30" s="71"/>
      <c r="M30" s="72">
        <v>1070.11865234375</v>
      </c>
      <c r="N30" s="72">
        <v>8916.9638671875</v>
      </c>
      <c r="O30" s="73"/>
      <c r="P30" s="74"/>
      <c r="Q30" s="74"/>
      <c r="R30" s="86"/>
      <c r="S30" s="46">
        <v>1</v>
      </c>
      <c r="T30" s="46">
        <v>0</v>
      </c>
      <c r="U30" s="47">
        <v>0</v>
      </c>
      <c r="V30" s="47">
        <v>0.151739</v>
      </c>
      <c r="W30" s="47">
        <v>0.006078</v>
      </c>
      <c r="X30" s="47">
        <v>0.002602</v>
      </c>
      <c r="Y30" s="47">
        <v>0</v>
      </c>
      <c r="Z30" s="47">
        <v>0</v>
      </c>
      <c r="AA30" s="69">
        <v>30</v>
      </c>
      <c r="AB30" s="69"/>
      <c r="AC30" s="70"/>
      <c r="AD30" s="76" t="s">
        <v>5898</v>
      </c>
      <c r="AE30" s="83" t="s">
        <v>6224</v>
      </c>
      <c r="AF30" s="76">
        <v>202</v>
      </c>
      <c r="AG30" s="76">
        <v>71</v>
      </c>
      <c r="AH30" s="76">
        <v>593</v>
      </c>
      <c r="AI30" s="76">
        <v>2</v>
      </c>
      <c r="AJ30" s="76">
        <v>0</v>
      </c>
      <c r="AK30" s="76">
        <v>9</v>
      </c>
      <c r="AL30" s="76" t="b">
        <v>0</v>
      </c>
      <c r="AM30" s="78">
        <v>40271.816875</v>
      </c>
      <c r="AN30" s="76" t="s">
        <v>6473</v>
      </c>
      <c r="AO30" s="76" t="s">
        <v>6659</v>
      </c>
      <c r="AP30" s="82" t="str">
        <f>HYPERLINK("http://t.co/5vAUrt3wYi")</f>
        <v>http://t.co/5vAUrt3wYi</v>
      </c>
      <c r="AQ30" s="82" t="str">
        <f>HYPERLINK("http://www.freemanmultimedia.com")</f>
        <v>http://www.freemanmultimedia.com</v>
      </c>
      <c r="AR30" s="76" t="s">
        <v>6955</v>
      </c>
      <c r="AS30" s="76"/>
      <c r="AT30" s="76"/>
      <c r="AU30" s="76"/>
      <c r="AV30" s="76"/>
      <c r="AW30" s="82" t="str">
        <f>HYPERLINK("http://t.co/5vAUrt3wYi")</f>
        <v>http://t.co/5vAUrt3wYi</v>
      </c>
      <c r="AX30" s="76" t="b">
        <v>0</v>
      </c>
      <c r="AY30" s="76"/>
      <c r="AZ30" s="76"/>
      <c r="BA30" s="76" t="b">
        <v>0</v>
      </c>
      <c r="BB30" s="76" t="b">
        <v>1</v>
      </c>
      <c r="BC30" s="76" t="b">
        <v>0</v>
      </c>
      <c r="BD30" s="76" t="b">
        <v>0</v>
      </c>
      <c r="BE30" s="76" t="b">
        <v>0</v>
      </c>
      <c r="BF30" s="76" t="b">
        <v>0</v>
      </c>
      <c r="BG30" s="76" t="b">
        <v>0</v>
      </c>
      <c r="BH30" s="82" t="str">
        <f>HYPERLINK("https://pbs.twimg.com/profile_banners/129279726/1432604162")</f>
        <v>https://pbs.twimg.com/profile_banners/129279726/1432604162</v>
      </c>
      <c r="BI30" s="76"/>
      <c r="BJ30" s="76" t="s">
        <v>7188</v>
      </c>
      <c r="BK30" s="76" t="b">
        <v>0</v>
      </c>
      <c r="BL30" s="76"/>
      <c r="BM30" s="76" t="s">
        <v>65</v>
      </c>
      <c r="BN30" s="76" t="s">
        <v>7190</v>
      </c>
      <c r="BO30" s="82" t="str">
        <f>HYPERLINK("https://twitter.com/fmidesign")</f>
        <v>https://twitter.com/fmidesign</v>
      </c>
      <c r="BP30" s="46"/>
      <c r="BQ30" s="46"/>
      <c r="BR30" s="46"/>
      <c r="BS30" s="46"/>
      <c r="BT30" s="46"/>
      <c r="BU30" s="46"/>
      <c r="BV30" s="46"/>
      <c r="BW30" s="46"/>
      <c r="BX30" s="46"/>
      <c r="BY30" s="46"/>
      <c r="BZ30" s="2"/>
    </row>
    <row r="31" spans="1:78" ht="15">
      <c r="A31" s="62" t="s">
        <v>240</v>
      </c>
      <c r="B31" s="63"/>
      <c r="C31" s="63"/>
      <c r="D31" s="64"/>
      <c r="E31" s="66"/>
      <c r="F31" s="100" t="str">
        <f>HYPERLINK("https://pbs.twimg.com/profile_images/1626400526760914949/qClfTTQP_normal.jpg")</f>
        <v>https://pbs.twimg.com/profile_images/1626400526760914949/qClfTTQP_normal.jpg</v>
      </c>
      <c r="G31" s="63"/>
      <c r="H31" s="67"/>
      <c r="I31" s="68"/>
      <c r="J31" s="68"/>
      <c r="K31" s="67" t="s">
        <v>7218</v>
      </c>
      <c r="L31" s="71"/>
      <c r="M31" s="72">
        <v>1096.758544921875</v>
      </c>
      <c r="N31" s="72">
        <v>9010.6181640625</v>
      </c>
      <c r="O31" s="73"/>
      <c r="P31" s="74"/>
      <c r="Q31" s="74"/>
      <c r="R31" s="86"/>
      <c r="S31" s="46">
        <v>0</v>
      </c>
      <c r="T31" s="46">
        <v>1</v>
      </c>
      <c r="U31" s="47">
        <v>0</v>
      </c>
      <c r="V31" s="47">
        <v>0.00289</v>
      </c>
      <c r="W31" s="47">
        <v>0</v>
      </c>
      <c r="X31" s="47">
        <v>0.002882</v>
      </c>
      <c r="Y31" s="47">
        <v>0</v>
      </c>
      <c r="Z31" s="47">
        <v>0</v>
      </c>
      <c r="AA31" s="69">
        <v>31</v>
      </c>
      <c r="AB31" s="69"/>
      <c r="AC31" s="70"/>
      <c r="AD31" s="76" t="s">
        <v>5899</v>
      </c>
      <c r="AE31" s="83" t="s">
        <v>5789</v>
      </c>
      <c r="AF31" s="76">
        <v>1595</v>
      </c>
      <c r="AG31" s="76">
        <v>796</v>
      </c>
      <c r="AH31" s="76">
        <v>53909</v>
      </c>
      <c r="AI31" s="76">
        <v>12</v>
      </c>
      <c r="AJ31" s="76">
        <v>68798</v>
      </c>
      <c r="AK31" s="76">
        <v>4986</v>
      </c>
      <c r="AL31" s="76" t="b">
        <v>0</v>
      </c>
      <c r="AM31" s="78">
        <v>43131.15215277778</v>
      </c>
      <c r="AN31" s="76"/>
      <c r="AO31" s="76" t="s">
        <v>6660</v>
      </c>
      <c r="AP31" s="76"/>
      <c r="AQ31" s="76"/>
      <c r="AR31" s="76"/>
      <c r="AS31" s="76"/>
      <c r="AT31" s="76"/>
      <c r="AU31" s="76"/>
      <c r="AV31" s="76">
        <v>1.72008657237535E+18</v>
      </c>
      <c r="AW31" s="76"/>
      <c r="AX31" s="76" t="b">
        <v>0</v>
      </c>
      <c r="AY31" s="76"/>
      <c r="AZ31" s="76"/>
      <c r="BA31" s="76" t="b">
        <v>1</v>
      </c>
      <c r="BB31" s="76" t="b">
        <v>1</v>
      </c>
      <c r="BC31" s="76" t="b">
        <v>1</v>
      </c>
      <c r="BD31" s="76" t="b">
        <v>0</v>
      </c>
      <c r="BE31" s="76" t="b">
        <v>1</v>
      </c>
      <c r="BF31" s="76" t="b">
        <v>0</v>
      </c>
      <c r="BG31" s="76" t="b">
        <v>0</v>
      </c>
      <c r="BH31" s="82" t="str">
        <f>HYPERLINK("https://pbs.twimg.com/profile_banners/958545147280723970/1519109489")</f>
        <v>https://pbs.twimg.com/profile_banners/958545147280723970/1519109489</v>
      </c>
      <c r="BI31" s="76"/>
      <c r="BJ31" s="76" t="s">
        <v>7188</v>
      </c>
      <c r="BK31" s="76" t="b">
        <v>0</v>
      </c>
      <c r="BL31" s="76"/>
      <c r="BM31" s="76" t="s">
        <v>66</v>
      </c>
      <c r="BN31" s="76" t="s">
        <v>7190</v>
      </c>
      <c r="BO31" s="82" t="str">
        <f>HYPERLINK("https://twitter.com/racjac23")</f>
        <v>https://twitter.com/racjac23</v>
      </c>
      <c r="BP31" s="46"/>
      <c r="BQ31" s="46"/>
      <c r="BR31" s="46"/>
      <c r="BS31" s="46"/>
      <c r="BT31" s="46"/>
      <c r="BU31" s="46"/>
      <c r="BV31" s="105" t="s">
        <v>7797</v>
      </c>
      <c r="BW31" s="105" t="s">
        <v>7797</v>
      </c>
      <c r="BX31" s="105" t="s">
        <v>8028</v>
      </c>
      <c r="BY31" s="105" t="s">
        <v>8028</v>
      </c>
      <c r="BZ31" s="2"/>
    </row>
    <row r="32" spans="1:78" ht="15">
      <c r="A32" s="62" t="s">
        <v>431</v>
      </c>
      <c r="B32" s="63"/>
      <c r="C32" s="63"/>
      <c r="D32" s="64"/>
      <c r="E32" s="66"/>
      <c r="F32" s="100" t="str">
        <f>HYPERLINK("https://pbs.twimg.com/profile_images/1595468476616941574/wc--tiFR_normal.jpg")</f>
        <v>https://pbs.twimg.com/profile_images/1595468476616941574/wc--tiFR_normal.jpg</v>
      </c>
      <c r="G32" s="63"/>
      <c r="H32" s="67"/>
      <c r="I32" s="68"/>
      <c r="J32" s="68"/>
      <c r="K32" s="67" t="s">
        <v>7219</v>
      </c>
      <c r="L32" s="71"/>
      <c r="M32" s="72">
        <v>1123.3984375</v>
      </c>
      <c r="N32" s="72">
        <v>9099.0732421875</v>
      </c>
      <c r="O32" s="73"/>
      <c r="P32" s="74"/>
      <c r="Q32" s="74"/>
      <c r="R32" s="86"/>
      <c r="S32" s="46">
        <v>1</v>
      </c>
      <c r="T32" s="46">
        <v>0</v>
      </c>
      <c r="U32" s="47">
        <v>0</v>
      </c>
      <c r="V32" s="47">
        <v>0.00289</v>
      </c>
      <c r="W32" s="47">
        <v>0</v>
      </c>
      <c r="X32" s="47">
        <v>0.002882</v>
      </c>
      <c r="Y32" s="47">
        <v>0</v>
      </c>
      <c r="Z32" s="47">
        <v>0</v>
      </c>
      <c r="AA32" s="69">
        <v>32</v>
      </c>
      <c r="AB32" s="69"/>
      <c r="AC32" s="70"/>
      <c r="AD32" s="76" t="s">
        <v>5900</v>
      </c>
      <c r="AE32" s="83" t="s">
        <v>5724</v>
      </c>
      <c r="AF32" s="76">
        <v>26628</v>
      </c>
      <c r="AG32" s="76">
        <v>972</v>
      </c>
      <c r="AH32" s="76">
        <v>29943</v>
      </c>
      <c r="AI32" s="76">
        <v>0</v>
      </c>
      <c r="AJ32" s="76">
        <v>29068</v>
      </c>
      <c r="AK32" s="76">
        <v>1645</v>
      </c>
      <c r="AL32" s="76" t="b">
        <v>0</v>
      </c>
      <c r="AM32" s="78">
        <v>40000.767175925925</v>
      </c>
      <c r="AN32" s="76" t="s">
        <v>6474</v>
      </c>
      <c r="AO32" s="76" t="s">
        <v>6661</v>
      </c>
      <c r="AP32" s="82" t="str">
        <f>HYPERLINK("https://t.co/jH0OEXGqbq")</f>
        <v>https://t.co/jH0OEXGqbq</v>
      </c>
      <c r="AQ32" s="82" t="str">
        <f>HYPERLINK("https://linktr.ee/willburge")</f>
        <v>https://linktr.ee/willburge</v>
      </c>
      <c r="AR32" s="76" t="s">
        <v>6956</v>
      </c>
      <c r="AS32" s="76"/>
      <c r="AT32" s="76"/>
      <c r="AU32" s="76"/>
      <c r="AV32" s="76">
        <v>1.60486962241047E+18</v>
      </c>
      <c r="AW32" s="82" t="str">
        <f>HYPERLINK("https://t.co/jH0OEXGqbq")</f>
        <v>https://t.co/jH0OEXGqbq</v>
      </c>
      <c r="AX32" s="76" t="b">
        <v>1</v>
      </c>
      <c r="AY32" s="76"/>
      <c r="AZ32" s="76"/>
      <c r="BA32" s="76" t="b">
        <v>1</v>
      </c>
      <c r="BB32" s="76" t="b">
        <v>1</v>
      </c>
      <c r="BC32" s="76" t="b">
        <v>1</v>
      </c>
      <c r="BD32" s="76" t="b">
        <v>0</v>
      </c>
      <c r="BE32" s="76" t="b">
        <v>0</v>
      </c>
      <c r="BF32" s="76" t="b">
        <v>0</v>
      </c>
      <c r="BG32" s="76" t="b">
        <v>0</v>
      </c>
      <c r="BH32" s="82" t="str">
        <f>HYPERLINK("https://pbs.twimg.com/profile_banners/54287536/1642990710")</f>
        <v>https://pbs.twimg.com/profile_banners/54287536/1642990710</v>
      </c>
      <c r="BI32" s="76"/>
      <c r="BJ32" s="76" t="s">
        <v>7188</v>
      </c>
      <c r="BK32" s="76" t="b">
        <v>0</v>
      </c>
      <c r="BL32" s="76"/>
      <c r="BM32" s="76" t="s">
        <v>65</v>
      </c>
      <c r="BN32" s="76" t="s">
        <v>7190</v>
      </c>
      <c r="BO32" s="82" t="str">
        <f>HYPERLINK("https://twitter.com/willburge")</f>
        <v>https://twitter.com/willburge</v>
      </c>
      <c r="BP32" s="46"/>
      <c r="BQ32" s="46"/>
      <c r="BR32" s="46"/>
      <c r="BS32" s="46"/>
      <c r="BT32" s="46"/>
      <c r="BU32" s="46"/>
      <c r="BV32" s="46"/>
      <c r="BW32" s="46"/>
      <c r="BX32" s="46"/>
      <c r="BY32" s="46"/>
      <c r="BZ32" s="2"/>
    </row>
    <row r="33" spans="1:78" ht="15">
      <c r="A33" s="62" t="s">
        <v>241</v>
      </c>
      <c r="B33" s="63"/>
      <c r="C33" s="63"/>
      <c r="D33" s="64"/>
      <c r="E33" s="66"/>
      <c r="F33" s="100" t="str">
        <f>HYPERLINK("https://pbs.twimg.com/profile_images/1425592583368200195/VUo3ioDj_normal.jpg")</f>
        <v>https://pbs.twimg.com/profile_images/1425592583368200195/VUo3ioDj_normal.jpg</v>
      </c>
      <c r="G33" s="63"/>
      <c r="H33" s="67"/>
      <c r="I33" s="68"/>
      <c r="J33" s="68"/>
      <c r="K33" s="67" t="s">
        <v>7220</v>
      </c>
      <c r="L33" s="71"/>
      <c r="M33" s="72">
        <v>1150.038330078125</v>
      </c>
      <c r="N33" s="72">
        <v>9182.212890625</v>
      </c>
      <c r="O33" s="73"/>
      <c r="P33" s="74"/>
      <c r="Q33" s="74"/>
      <c r="R33" s="86"/>
      <c r="S33" s="46">
        <v>0</v>
      </c>
      <c r="T33" s="46">
        <v>1</v>
      </c>
      <c r="U33" s="47">
        <v>0</v>
      </c>
      <c r="V33" s="47">
        <v>0.00289</v>
      </c>
      <c r="W33" s="47">
        <v>0</v>
      </c>
      <c r="X33" s="47">
        <v>0.002882</v>
      </c>
      <c r="Y33" s="47">
        <v>0</v>
      </c>
      <c r="Z33" s="47">
        <v>0</v>
      </c>
      <c r="AA33" s="69">
        <v>33</v>
      </c>
      <c r="AB33" s="69"/>
      <c r="AC33" s="70"/>
      <c r="AD33" s="76" t="s">
        <v>5901</v>
      </c>
      <c r="AE33" s="83" t="s">
        <v>6225</v>
      </c>
      <c r="AF33" s="76">
        <v>1156</v>
      </c>
      <c r="AG33" s="76">
        <v>2830</v>
      </c>
      <c r="AH33" s="76">
        <v>46150</v>
      </c>
      <c r="AI33" s="76">
        <v>46</v>
      </c>
      <c r="AJ33" s="76">
        <v>12440</v>
      </c>
      <c r="AK33" s="76">
        <v>2440</v>
      </c>
      <c r="AL33" s="76" t="b">
        <v>0</v>
      </c>
      <c r="AM33" s="78">
        <v>40215.27599537037</v>
      </c>
      <c r="AN33" s="76" t="s">
        <v>6475</v>
      </c>
      <c r="AO33" s="76" t="s">
        <v>6662</v>
      </c>
      <c r="AP33" s="82" t="str">
        <f>HYPERLINK("https://t.co/8IaVukFPEK")</f>
        <v>https://t.co/8IaVukFPEK</v>
      </c>
      <c r="AQ33" s="82" t="str">
        <f>HYPERLINK("http://www.facebook.com/john20connor")</f>
        <v>http://www.facebook.com/john20connor</v>
      </c>
      <c r="AR33" s="76" t="s">
        <v>6957</v>
      </c>
      <c r="AS33" s="76"/>
      <c r="AT33" s="76"/>
      <c r="AU33" s="76"/>
      <c r="AV33" s="76">
        <v>1.72180890208009E+18</v>
      </c>
      <c r="AW33" s="82" t="str">
        <f>HYPERLINK("https://t.co/8IaVukFPEK")</f>
        <v>https://t.co/8IaVukFPEK</v>
      </c>
      <c r="AX33" s="76" t="b">
        <v>0</v>
      </c>
      <c r="AY33" s="76"/>
      <c r="AZ33" s="76"/>
      <c r="BA33" s="76" t="b">
        <v>0</v>
      </c>
      <c r="BB33" s="76" t="b">
        <v>0</v>
      </c>
      <c r="BC33" s="76" t="b">
        <v>0</v>
      </c>
      <c r="BD33" s="76" t="b">
        <v>0</v>
      </c>
      <c r="BE33" s="76" t="b">
        <v>1</v>
      </c>
      <c r="BF33" s="76" t="b">
        <v>0</v>
      </c>
      <c r="BG33" s="76" t="b">
        <v>0</v>
      </c>
      <c r="BH33" s="82" t="str">
        <f>HYPERLINK("https://pbs.twimg.com/profile_banners/111816657/1527961425")</f>
        <v>https://pbs.twimg.com/profile_banners/111816657/1527961425</v>
      </c>
      <c r="BI33" s="76"/>
      <c r="BJ33" s="76" t="s">
        <v>7188</v>
      </c>
      <c r="BK33" s="76" t="b">
        <v>0</v>
      </c>
      <c r="BL33" s="76"/>
      <c r="BM33" s="76" t="s">
        <v>66</v>
      </c>
      <c r="BN33" s="76" t="s">
        <v>7190</v>
      </c>
      <c r="BO33" s="82" t="str">
        <f>HYPERLINK("https://twitter.com/connor182010")</f>
        <v>https://twitter.com/connor182010</v>
      </c>
      <c r="BP33" s="46"/>
      <c r="BQ33" s="46"/>
      <c r="BR33" s="46"/>
      <c r="BS33" s="46"/>
      <c r="BT33" s="46"/>
      <c r="BU33" s="46"/>
      <c r="BV33" s="105" t="s">
        <v>7798</v>
      </c>
      <c r="BW33" s="105" t="s">
        <v>7798</v>
      </c>
      <c r="BX33" s="105" t="s">
        <v>8029</v>
      </c>
      <c r="BY33" s="105" t="s">
        <v>8029</v>
      </c>
      <c r="BZ33" s="2"/>
    </row>
    <row r="34" spans="1:78" ht="15">
      <c r="A34" s="62" t="s">
        <v>432</v>
      </c>
      <c r="B34" s="63"/>
      <c r="C34" s="63"/>
      <c r="D34" s="64"/>
      <c r="E34" s="66"/>
      <c r="F34" s="100" t="str">
        <f>HYPERLINK("https://pbs.twimg.com/profile_images/1605992160309952527/SIC4ndrR_normal.jpg")</f>
        <v>https://pbs.twimg.com/profile_images/1605992160309952527/SIC4ndrR_normal.jpg</v>
      </c>
      <c r="G34" s="63"/>
      <c r="H34" s="67"/>
      <c r="I34" s="68"/>
      <c r="J34" s="68"/>
      <c r="K34" s="67" t="s">
        <v>7221</v>
      </c>
      <c r="L34" s="71"/>
      <c r="M34" s="72">
        <v>1176.67822265625</v>
      </c>
      <c r="N34" s="72">
        <v>9259.9306640625</v>
      </c>
      <c r="O34" s="73"/>
      <c r="P34" s="74"/>
      <c r="Q34" s="74"/>
      <c r="R34" s="86"/>
      <c r="S34" s="46">
        <v>1</v>
      </c>
      <c r="T34" s="46">
        <v>0</v>
      </c>
      <c r="U34" s="47">
        <v>0</v>
      </c>
      <c r="V34" s="47">
        <v>0.00289</v>
      </c>
      <c r="W34" s="47">
        <v>0</v>
      </c>
      <c r="X34" s="47">
        <v>0.002882</v>
      </c>
      <c r="Y34" s="47">
        <v>0</v>
      </c>
      <c r="Z34" s="47">
        <v>0</v>
      </c>
      <c r="AA34" s="69">
        <v>34</v>
      </c>
      <c r="AB34" s="69"/>
      <c r="AC34" s="70"/>
      <c r="AD34" s="76" t="s">
        <v>5902</v>
      </c>
      <c r="AE34" s="83" t="s">
        <v>5725</v>
      </c>
      <c r="AF34" s="76">
        <v>2210</v>
      </c>
      <c r="AG34" s="76">
        <v>34</v>
      </c>
      <c r="AH34" s="76">
        <v>1057</v>
      </c>
      <c r="AI34" s="76">
        <v>1</v>
      </c>
      <c r="AJ34" s="76">
        <v>779</v>
      </c>
      <c r="AK34" s="76">
        <v>126</v>
      </c>
      <c r="AL34" s="76" t="b">
        <v>0</v>
      </c>
      <c r="AM34" s="78">
        <v>42615.09143518518</v>
      </c>
      <c r="AN34" s="76" t="s">
        <v>6476</v>
      </c>
      <c r="AO34" s="76" t="s">
        <v>6663</v>
      </c>
      <c r="AP34" s="82" t="str">
        <f>HYPERLINK("https://t.co/8SDiOrIizM")</f>
        <v>https://t.co/8SDiOrIizM</v>
      </c>
      <c r="AQ34" s="82" t="str">
        <f>HYPERLINK("https://www.youtube.com/channel/UCQwZFDn-hUsyzysP3l-iPcQ")</f>
        <v>https://www.youtube.com/channel/UCQwZFDn-hUsyzysP3l-iPcQ</v>
      </c>
      <c r="AR34" s="76" t="s">
        <v>6958</v>
      </c>
      <c r="AS34" s="82" t="str">
        <f>HYPERLINK("https://t.co/Dm9RhtmcFM")</f>
        <v>https://t.co/Dm9RhtmcFM</v>
      </c>
      <c r="AT34" s="82" t="str">
        <f>HYPERLINK("https://www.instagram.com/ashleydufner/?hl=en")</f>
        <v>https://www.instagram.com/ashleydufner/?hl=en</v>
      </c>
      <c r="AU34" s="76" t="s">
        <v>7164</v>
      </c>
      <c r="AV34" s="76">
        <v>1.43887359180684E+18</v>
      </c>
      <c r="AW34" s="82" t="str">
        <f>HYPERLINK("https://t.co/8SDiOrIizM")</f>
        <v>https://t.co/8SDiOrIizM</v>
      </c>
      <c r="AX34" s="76" t="b">
        <v>0</v>
      </c>
      <c r="AY34" s="76"/>
      <c r="AZ34" s="76"/>
      <c r="BA34" s="76" t="b">
        <v>0</v>
      </c>
      <c r="BB34" s="76" t="b">
        <v>1</v>
      </c>
      <c r="BC34" s="76" t="b">
        <v>0</v>
      </c>
      <c r="BD34" s="76" t="b">
        <v>0</v>
      </c>
      <c r="BE34" s="76" t="b">
        <v>1</v>
      </c>
      <c r="BF34" s="76" t="b">
        <v>0</v>
      </c>
      <c r="BG34" s="76" t="b">
        <v>0</v>
      </c>
      <c r="BH34" s="82" t="str">
        <f>HYPERLINK("https://pbs.twimg.com/profile_banners/771531001793159168/1671733765")</f>
        <v>https://pbs.twimg.com/profile_banners/771531001793159168/1671733765</v>
      </c>
      <c r="BI34" s="76"/>
      <c r="BJ34" s="76" t="s">
        <v>7188</v>
      </c>
      <c r="BK34" s="76" t="b">
        <v>0</v>
      </c>
      <c r="BL34" s="76"/>
      <c r="BM34" s="76" t="s">
        <v>65</v>
      </c>
      <c r="BN34" s="76" t="s">
        <v>7190</v>
      </c>
      <c r="BO34" s="82" t="str">
        <f>HYPERLINK("https://twitter.com/ashleydufner")</f>
        <v>https://twitter.com/ashleydufner</v>
      </c>
      <c r="BP34" s="46"/>
      <c r="BQ34" s="46"/>
      <c r="BR34" s="46"/>
      <c r="BS34" s="46"/>
      <c r="BT34" s="46"/>
      <c r="BU34" s="46"/>
      <c r="BV34" s="46"/>
      <c r="BW34" s="46"/>
      <c r="BX34" s="46"/>
      <c r="BY34" s="46"/>
      <c r="BZ34" s="2"/>
    </row>
    <row r="35" spans="1:78" ht="15">
      <c r="A35" s="62" t="s">
        <v>242</v>
      </c>
      <c r="B35" s="63"/>
      <c r="C35" s="63"/>
      <c r="D35" s="64"/>
      <c r="E35" s="66"/>
      <c r="F35" s="100" t="str">
        <f>HYPERLINK("https://pbs.twimg.com/profile_images/1235364542/favicon_normal.png")</f>
        <v>https://pbs.twimg.com/profile_images/1235364542/favicon_normal.png</v>
      </c>
      <c r="G35" s="63"/>
      <c r="H35" s="67"/>
      <c r="I35" s="68"/>
      <c r="J35" s="68"/>
      <c r="K35" s="67" t="s">
        <v>7222</v>
      </c>
      <c r="L35" s="71"/>
      <c r="M35" s="72">
        <v>1203.318115234375</v>
      </c>
      <c r="N35" s="72">
        <v>9332.1240234375</v>
      </c>
      <c r="O35" s="73"/>
      <c r="P35" s="74"/>
      <c r="Q35" s="74"/>
      <c r="R35" s="86"/>
      <c r="S35" s="46">
        <v>0</v>
      </c>
      <c r="T35" s="46">
        <v>1</v>
      </c>
      <c r="U35" s="47">
        <v>0</v>
      </c>
      <c r="V35" s="47">
        <v>0.214691</v>
      </c>
      <c r="W35" s="47">
        <v>0.062026</v>
      </c>
      <c r="X35" s="47">
        <v>0.002499</v>
      </c>
      <c r="Y35" s="47">
        <v>0</v>
      </c>
      <c r="Z35" s="47">
        <v>0</v>
      </c>
      <c r="AA35" s="69">
        <v>35</v>
      </c>
      <c r="AB35" s="69"/>
      <c r="AC35" s="70"/>
      <c r="AD35" s="76" t="s">
        <v>5903</v>
      </c>
      <c r="AE35" s="83" t="s">
        <v>6226</v>
      </c>
      <c r="AF35" s="76">
        <v>2649</v>
      </c>
      <c r="AG35" s="76">
        <v>2083</v>
      </c>
      <c r="AH35" s="76">
        <v>3783</v>
      </c>
      <c r="AI35" s="76">
        <v>53</v>
      </c>
      <c r="AJ35" s="76">
        <v>1109</v>
      </c>
      <c r="AK35" s="76">
        <v>564</v>
      </c>
      <c r="AL35" s="76" t="b">
        <v>0</v>
      </c>
      <c r="AM35" s="78">
        <v>40554.82680555555</v>
      </c>
      <c r="AN35" s="76" t="s">
        <v>6477</v>
      </c>
      <c r="AO35" s="76" t="s">
        <v>6664</v>
      </c>
      <c r="AP35" s="82" t="str">
        <f>HYPERLINK("http://t.co/lAPFYOLbJQ")</f>
        <v>http://t.co/lAPFYOLbJQ</v>
      </c>
      <c r="AQ35" s="82" t="str">
        <f>HYPERLINK("http://www.followupthen.com")</f>
        <v>http://www.followupthen.com</v>
      </c>
      <c r="AR35" s="76" t="s">
        <v>1979</v>
      </c>
      <c r="AS35" s="76"/>
      <c r="AT35" s="76"/>
      <c r="AU35" s="76"/>
      <c r="AV35" s="76">
        <v>1.65380301299162E+18</v>
      </c>
      <c r="AW35" s="82" t="str">
        <f>HYPERLINK("http://t.co/lAPFYOLbJQ")</f>
        <v>http://t.co/lAPFYOLbJQ</v>
      </c>
      <c r="AX35" s="76" t="b">
        <v>0</v>
      </c>
      <c r="AY35" s="76"/>
      <c r="AZ35" s="76"/>
      <c r="BA35" s="76" t="b">
        <v>1</v>
      </c>
      <c r="BB35" s="76" t="b">
        <v>1</v>
      </c>
      <c r="BC35" s="76" t="b">
        <v>1</v>
      </c>
      <c r="BD35" s="76" t="b">
        <v>0</v>
      </c>
      <c r="BE35" s="76" t="b">
        <v>1</v>
      </c>
      <c r="BF35" s="76" t="b">
        <v>0</v>
      </c>
      <c r="BG35" s="76" t="b">
        <v>0</v>
      </c>
      <c r="BH35" s="82" t="str">
        <f>HYPERLINK("https://pbs.twimg.com/profile_banners/236971013/1607650839")</f>
        <v>https://pbs.twimg.com/profile_banners/236971013/1607650839</v>
      </c>
      <c r="BI35" s="76"/>
      <c r="BJ35" s="76" t="s">
        <v>7188</v>
      </c>
      <c r="BK35" s="76" t="b">
        <v>0</v>
      </c>
      <c r="BL35" s="76"/>
      <c r="BM35" s="76" t="s">
        <v>66</v>
      </c>
      <c r="BN35" s="76" t="s">
        <v>7190</v>
      </c>
      <c r="BO35" s="82" t="str">
        <f>HYPERLINK("https://twitter.com/followupthen")</f>
        <v>https://twitter.com/followupthen</v>
      </c>
      <c r="BP35" s="46" t="s">
        <v>7607</v>
      </c>
      <c r="BQ35" s="46" t="s">
        <v>7607</v>
      </c>
      <c r="BR35" s="46" t="s">
        <v>1979</v>
      </c>
      <c r="BS35" s="46" t="s">
        <v>1979</v>
      </c>
      <c r="BT35" s="46"/>
      <c r="BU35" s="46"/>
      <c r="BV35" s="105" t="s">
        <v>7799</v>
      </c>
      <c r="BW35" s="105" t="s">
        <v>7799</v>
      </c>
      <c r="BX35" s="105" t="s">
        <v>8030</v>
      </c>
      <c r="BY35" s="105" t="s">
        <v>8030</v>
      </c>
      <c r="BZ35" s="2"/>
    </row>
    <row r="36" spans="1:78" ht="15">
      <c r="A36" s="62" t="s">
        <v>243</v>
      </c>
      <c r="B36" s="63"/>
      <c r="C36" s="63"/>
      <c r="D36" s="64"/>
      <c r="E36" s="66"/>
      <c r="F36" s="100" t="str">
        <f>HYPERLINK("https://pbs.twimg.com/profile_images/1150586830204678146/OIMBkdJX_normal.jpg")</f>
        <v>https://pbs.twimg.com/profile_images/1150586830204678146/OIMBkdJX_normal.jpg</v>
      </c>
      <c r="G36" s="63"/>
      <c r="H36" s="67"/>
      <c r="I36" s="68"/>
      <c r="J36" s="68"/>
      <c r="K36" s="67" t="s">
        <v>7223</v>
      </c>
      <c r="L36" s="71"/>
      <c r="M36" s="72">
        <v>1229.9578857421875</v>
      </c>
      <c r="N36" s="72">
        <v>9398.703125</v>
      </c>
      <c r="O36" s="73"/>
      <c r="P36" s="74"/>
      <c r="Q36" s="74"/>
      <c r="R36" s="86"/>
      <c r="S36" s="46">
        <v>0</v>
      </c>
      <c r="T36" s="46">
        <v>1</v>
      </c>
      <c r="U36" s="47">
        <v>0</v>
      </c>
      <c r="V36" s="47">
        <v>0.00289</v>
      </c>
      <c r="W36" s="47">
        <v>0</v>
      </c>
      <c r="X36" s="47">
        <v>0.002882</v>
      </c>
      <c r="Y36" s="47">
        <v>0</v>
      </c>
      <c r="Z36" s="47">
        <v>0</v>
      </c>
      <c r="AA36" s="69">
        <v>36</v>
      </c>
      <c r="AB36" s="69"/>
      <c r="AC36" s="70"/>
      <c r="AD36" s="76" t="s">
        <v>5904</v>
      </c>
      <c r="AE36" s="83" t="s">
        <v>5790</v>
      </c>
      <c r="AF36" s="76">
        <v>44</v>
      </c>
      <c r="AG36" s="76">
        <v>109</v>
      </c>
      <c r="AH36" s="76">
        <v>2350</v>
      </c>
      <c r="AI36" s="76">
        <v>0</v>
      </c>
      <c r="AJ36" s="76">
        <v>673</v>
      </c>
      <c r="AK36" s="76">
        <v>339</v>
      </c>
      <c r="AL36" s="76" t="b">
        <v>0</v>
      </c>
      <c r="AM36" s="78">
        <v>43526.10603009259</v>
      </c>
      <c r="AN36" s="76"/>
      <c r="AO36" s="76" t="s">
        <v>6665</v>
      </c>
      <c r="AP36" s="76"/>
      <c r="AQ36" s="76"/>
      <c r="AR36" s="76"/>
      <c r="AS36" s="76"/>
      <c r="AT36" s="76"/>
      <c r="AU36" s="76"/>
      <c r="AV36" s="76">
        <v>1.11758183455934E+18</v>
      </c>
      <c r="AW36" s="76"/>
      <c r="AX36" s="76" t="b">
        <v>0</v>
      </c>
      <c r="AY36" s="76"/>
      <c r="AZ36" s="76"/>
      <c r="BA36" s="76" t="b">
        <v>0</v>
      </c>
      <c r="BB36" s="76" t="b">
        <v>1</v>
      </c>
      <c r="BC36" s="76" t="b">
        <v>1</v>
      </c>
      <c r="BD36" s="76" t="b">
        <v>0</v>
      </c>
      <c r="BE36" s="76" t="b">
        <v>1</v>
      </c>
      <c r="BF36" s="76" t="b">
        <v>0</v>
      </c>
      <c r="BG36" s="76" t="b">
        <v>0</v>
      </c>
      <c r="BH36" s="82" t="str">
        <f>HYPERLINK("https://pbs.twimg.com/profile_banners/1101671637110403072/1563156251")</f>
        <v>https://pbs.twimg.com/profile_banners/1101671637110403072/1563156251</v>
      </c>
      <c r="BI36" s="76"/>
      <c r="BJ36" s="76" t="s">
        <v>7188</v>
      </c>
      <c r="BK36" s="76" t="b">
        <v>0</v>
      </c>
      <c r="BL36" s="76"/>
      <c r="BM36" s="76" t="s">
        <v>66</v>
      </c>
      <c r="BN36" s="76" t="s">
        <v>7190</v>
      </c>
      <c r="BO36" s="82" t="str">
        <f>HYPERLINK("https://twitter.com/dprian____")</f>
        <v>https://twitter.com/dprian____</v>
      </c>
      <c r="BP36" s="46"/>
      <c r="BQ36" s="46"/>
      <c r="BR36" s="46"/>
      <c r="BS36" s="46"/>
      <c r="BT36" s="46"/>
      <c r="BU36" s="46"/>
      <c r="BV36" s="105" t="s">
        <v>7800</v>
      </c>
      <c r="BW36" s="105" t="s">
        <v>7800</v>
      </c>
      <c r="BX36" s="105" t="s">
        <v>8031</v>
      </c>
      <c r="BY36" s="105" t="s">
        <v>8031</v>
      </c>
      <c r="BZ36" s="2"/>
    </row>
    <row r="37" spans="1:78" ht="15">
      <c r="A37" s="62" t="s">
        <v>433</v>
      </c>
      <c r="B37" s="63"/>
      <c r="C37" s="63"/>
      <c r="D37" s="64"/>
      <c r="E37" s="66"/>
      <c r="F37" s="100" t="str">
        <f>HYPERLINK("https://pbs.twimg.com/profile_images/1115118095788650501/nCnvFPdx_normal.jpg")</f>
        <v>https://pbs.twimg.com/profile_images/1115118095788650501/nCnvFPdx_normal.jpg</v>
      </c>
      <c r="G37" s="63"/>
      <c r="H37" s="67"/>
      <c r="I37" s="68"/>
      <c r="J37" s="68"/>
      <c r="K37" s="67" t="s">
        <v>7224</v>
      </c>
      <c r="L37" s="71"/>
      <c r="M37" s="72">
        <v>1256.5977783203125</v>
      </c>
      <c r="N37" s="72">
        <v>9459.578125</v>
      </c>
      <c r="O37" s="73"/>
      <c r="P37" s="74"/>
      <c r="Q37" s="74"/>
      <c r="R37" s="86"/>
      <c r="S37" s="46">
        <v>1</v>
      </c>
      <c r="T37" s="46">
        <v>0</v>
      </c>
      <c r="U37" s="47">
        <v>0</v>
      </c>
      <c r="V37" s="47">
        <v>0.00289</v>
      </c>
      <c r="W37" s="47">
        <v>0</v>
      </c>
      <c r="X37" s="47">
        <v>0.002882</v>
      </c>
      <c r="Y37" s="47">
        <v>0</v>
      </c>
      <c r="Z37" s="47">
        <v>0</v>
      </c>
      <c r="AA37" s="69">
        <v>37</v>
      </c>
      <c r="AB37" s="69"/>
      <c r="AC37" s="70"/>
      <c r="AD37" s="76" t="s">
        <v>5905</v>
      </c>
      <c r="AE37" s="83" t="s">
        <v>5726</v>
      </c>
      <c r="AF37" s="76">
        <v>225</v>
      </c>
      <c r="AG37" s="76">
        <v>233</v>
      </c>
      <c r="AH37" s="76">
        <v>4106</v>
      </c>
      <c r="AI37" s="76">
        <v>1</v>
      </c>
      <c r="AJ37" s="76">
        <v>1130</v>
      </c>
      <c r="AK37" s="76">
        <v>469</v>
      </c>
      <c r="AL37" s="76" t="b">
        <v>0</v>
      </c>
      <c r="AM37" s="78">
        <v>43478.73806712963</v>
      </c>
      <c r="AN37" s="76"/>
      <c r="AO37" s="76" t="s">
        <v>6666</v>
      </c>
      <c r="AP37" s="76"/>
      <c r="AQ37" s="76"/>
      <c r="AR37" s="76"/>
      <c r="AS37" s="76"/>
      <c r="AT37" s="76"/>
      <c r="AU37" s="76"/>
      <c r="AV37" s="76"/>
      <c r="AW37" s="76"/>
      <c r="AX37" s="76" t="b">
        <v>0</v>
      </c>
      <c r="AY37" s="76"/>
      <c r="AZ37" s="76"/>
      <c r="BA37" s="76" t="b">
        <v>0</v>
      </c>
      <c r="BB37" s="76" t="b">
        <v>1</v>
      </c>
      <c r="BC37" s="76" t="b">
        <v>1</v>
      </c>
      <c r="BD37" s="76" t="b">
        <v>0</v>
      </c>
      <c r="BE37" s="76" t="b">
        <v>1</v>
      </c>
      <c r="BF37" s="76" t="b">
        <v>0</v>
      </c>
      <c r="BG37" s="76" t="b">
        <v>0</v>
      </c>
      <c r="BH37" s="82" t="str">
        <f>HYPERLINK("https://pbs.twimg.com/profile_banners/1084506064287162368/1552735176")</f>
        <v>https://pbs.twimg.com/profile_banners/1084506064287162368/1552735176</v>
      </c>
      <c r="BI37" s="76"/>
      <c r="BJ37" s="76" t="s">
        <v>7188</v>
      </c>
      <c r="BK37" s="76" t="b">
        <v>0</v>
      </c>
      <c r="BL37" s="76"/>
      <c r="BM37" s="76" t="s">
        <v>65</v>
      </c>
      <c r="BN37" s="76" t="s">
        <v>7190</v>
      </c>
      <c r="BO37" s="82" t="str">
        <f>HYPERLINK("https://twitter.com/choisansatan")</f>
        <v>https://twitter.com/choisansatan</v>
      </c>
      <c r="BP37" s="46"/>
      <c r="BQ37" s="46"/>
      <c r="BR37" s="46"/>
      <c r="BS37" s="46"/>
      <c r="BT37" s="46"/>
      <c r="BU37" s="46"/>
      <c r="BV37" s="46"/>
      <c r="BW37" s="46"/>
      <c r="BX37" s="46"/>
      <c r="BY37" s="46"/>
      <c r="BZ37" s="2"/>
    </row>
    <row r="38" spans="1:78" ht="15">
      <c r="A38" s="62" t="s">
        <v>244</v>
      </c>
      <c r="B38" s="63"/>
      <c r="C38" s="63"/>
      <c r="D38" s="64"/>
      <c r="E38" s="66"/>
      <c r="F38" s="100" t="str">
        <f>HYPERLINK("https://pbs.twimg.com/profile_images/1734233041474596864/KchuvCH6_normal.jpg")</f>
        <v>https://pbs.twimg.com/profile_images/1734233041474596864/KchuvCH6_normal.jpg</v>
      </c>
      <c r="G38" s="63"/>
      <c r="H38" s="67"/>
      <c r="I38" s="68"/>
      <c r="J38" s="68"/>
      <c r="K38" s="67" t="s">
        <v>7225</v>
      </c>
      <c r="L38" s="71"/>
      <c r="M38" s="72">
        <v>1283.2376708984375</v>
      </c>
      <c r="N38" s="72">
        <v>9514.671875</v>
      </c>
      <c r="O38" s="73"/>
      <c r="P38" s="74"/>
      <c r="Q38" s="74"/>
      <c r="R38" s="86"/>
      <c r="S38" s="46">
        <v>1</v>
      </c>
      <c r="T38" s="46">
        <v>1</v>
      </c>
      <c r="U38" s="47">
        <v>0</v>
      </c>
      <c r="V38" s="47">
        <v>0</v>
      </c>
      <c r="W38" s="47">
        <v>0</v>
      </c>
      <c r="X38" s="47">
        <v>0.002882</v>
      </c>
      <c r="Y38" s="47">
        <v>0</v>
      </c>
      <c r="Z38" s="47">
        <v>0</v>
      </c>
      <c r="AA38" s="69">
        <v>38</v>
      </c>
      <c r="AB38" s="69"/>
      <c r="AC38" s="70"/>
      <c r="AD38" s="76" t="s">
        <v>5906</v>
      </c>
      <c r="AE38" s="83" t="s">
        <v>5791</v>
      </c>
      <c r="AF38" s="76">
        <v>2444</v>
      </c>
      <c r="AG38" s="76">
        <v>862</v>
      </c>
      <c r="AH38" s="76">
        <v>144871</v>
      </c>
      <c r="AI38" s="76">
        <v>59</v>
      </c>
      <c r="AJ38" s="76">
        <v>253497</v>
      </c>
      <c r="AK38" s="76">
        <v>18284</v>
      </c>
      <c r="AL38" s="76" t="b">
        <v>0</v>
      </c>
      <c r="AM38" s="78">
        <v>43878.83422453704</v>
      </c>
      <c r="AN38" s="76" t="s">
        <v>6478</v>
      </c>
      <c r="AO38" s="76" t="s">
        <v>6667</v>
      </c>
      <c r="AP38" s="82" t="str">
        <f>HYPERLINK("https://t.co/uadiqdBR71")</f>
        <v>https://t.co/uadiqdBR71</v>
      </c>
      <c r="AQ38" s="82" t="str">
        <f>HYPERLINK("http://makdikoo.com")</f>
        <v>http://makdikoo.com</v>
      </c>
      <c r="AR38" s="76" t="s">
        <v>6959</v>
      </c>
      <c r="AS38" s="76"/>
      <c r="AT38" s="76"/>
      <c r="AU38" s="76"/>
      <c r="AV38" s="76">
        <v>1.69591238622013E+18</v>
      </c>
      <c r="AW38" s="82" t="str">
        <f>HYPERLINK("https://t.co/uadiqdBR71")</f>
        <v>https://t.co/uadiqdBR71</v>
      </c>
      <c r="AX38" s="76" t="b">
        <v>0</v>
      </c>
      <c r="AY38" s="76"/>
      <c r="AZ38" s="76"/>
      <c r="BA38" s="76" t="b">
        <v>1</v>
      </c>
      <c r="BB38" s="76" t="b">
        <v>0</v>
      </c>
      <c r="BC38" s="76" t="b">
        <v>1</v>
      </c>
      <c r="BD38" s="76" t="b">
        <v>0</v>
      </c>
      <c r="BE38" s="76" t="b">
        <v>1</v>
      </c>
      <c r="BF38" s="76" t="b">
        <v>0</v>
      </c>
      <c r="BG38" s="76" t="b">
        <v>0</v>
      </c>
      <c r="BH38" s="82" t="str">
        <f>HYPERLINK("https://pbs.twimg.com/profile_banners/1229496005005074435/1702217642")</f>
        <v>https://pbs.twimg.com/profile_banners/1229496005005074435/1702217642</v>
      </c>
      <c r="BI38" s="76"/>
      <c r="BJ38" s="76" t="s">
        <v>7188</v>
      </c>
      <c r="BK38" s="76" t="b">
        <v>0</v>
      </c>
      <c r="BL38" s="76"/>
      <c r="BM38" s="76" t="s">
        <v>66</v>
      </c>
      <c r="BN38" s="76" t="s">
        <v>7190</v>
      </c>
      <c r="BO38" s="82" t="str">
        <f>HYPERLINK("https://twitter.com/taedodekoo")</f>
        <v>https://twitter.com/taedodekoo</v>
      </c>
      <c r="BP38" s="46"/>
      <c r="BQ38" s="46"/>
      <c r="BR38" s="46"/>
      <c r="BS38" s="46"/>
      <c r="BT38" s="46"/>
      <c r="BU38" s="46"/>
      <c r="BV38" s="105" t="s">
        <v>7801</v>
      </c>
      <c r="BW38" s="105" t="s">
        <v>7801</v>
      </c>
      <c r="BX38" s="105" t="s">
        <v>8032</v>
      </c>
      <c r="BY38" s="105" t="s">
        <v>8032</v>
      </c>
      <c r="BZ38" s="2"/>
    </row>
    <row r="39" spans="1:78" ht="15">
      <c r="A39" s="62" t="s">
        <v>245</v>
      </c>
      <c r="B39" s="63"/>
      <c r="C39" s="63"/>
      <c r="D39" s="64"/>
      <c r="E39" s="66"/>
      <c r="F39" s="100" t="str">
        <f>HYPERLINK("https://pbs.twimg.com/profile_images/859235137308966912/zq2KEvLx_normal.jpg")</f>
        <v>https://pbs.twimg.com/profile_images/859235137308966912/zq2KEvLx_normal.jpg</v>
      </c>
      <c r="G39" s="63"/>
      <c r="H39" s="67"/>
      <c r="I39" s="68"/>
      <c r="J39" s="68"/>
      <c r="K39" s="67" t="s">
        <v>7226</v>
      </c>
      <c r="L39" s="71"/>
      <c r="M39" s="72">
        <v>1309.8775634765625</v>
      </c>
      <c r="N39" s="72">
        <v>9563.9111328125</v>
      </c>
      <c r="O39" s="73"/>
      <c r="P39" s="74"/>
      <c r="Q39" s="74"/>
      <c r="R39" s="86"/>
      <c r="S39" s="46">
        <v>0</v>
      </c>
      <c r="T39" s="46">
        <v>2</v>
      </c>
      <c r="U39" s="47">
        <v>0</v>
      </c>
      <c r="V39" s="47">
        <v>0.215207</v>
      </c>
      <c r="W39" s="47">
        <v>0.069854</v>
      </c>
      <c r="X39" s="47">
        <v>0.002594</v>
      </c>
      <c r="Y39" s="47">
        <v>0.5</v>
      </c>
      <c r="Z39" s="47">
        <v>0</v>
      </c>
      <c r="AA39" s="69">
        <v>39</v>
      </c>
      <c r="AB39" s="69"/>
      <c r="AC39" s="70"/>
      <c r="AD39" s="76" t="s">
        <v>5907</v>
      </c>
      <c r="AE39" s="83" t="s">
        <v>5792</v>
      </c>
      <c r="AF39" s="76">
        <v>276</v>
      </c>
      <c r="AG39" s="76">
        <v>32</v>
      </c>
      <c r="AH39" s="76">
        <v>42853</v>
      </c>
      <c r="AI39" s="76">
        <v>0</v>
      </c>
      <c r="AJ39" s="76">
        <v>0</v>
      </c>
      <c r="AK39" s="76">
        <v>40588</v>
      </c>
      <c r="AL39" s="76" t="b">
        <v>0</v>
      </c>
      <c r="AM39" s="78">
        <v>42857.10556712963</v>
      </c>
      <c r="AN39" s="76" t="s">
        <v>6479</v>
      </c>
      <c r="AO39" s="76" t="s">
        <v>6668</v>
      </c>
      <c r="AP39" s="82" t="str">
        <f>HYPERLINK("https://t.co/WJMWzGGfX2")</f>
        <v>https://t.co/WJMWzGGfX2</v>
      </c>
      <c r="AQ39" s="82" t="str">
        <f>HYPERLINK("https://goo.gl/oHQB7c")</f>
        <v>https://goo.gl/oHQB7c</v>
      </c>
      <c r="AR39" s="76" t="s">
        <v>6960</v>
      </c>
      <c r="AS39" s="76"/>
      <c r="AT39" s="76"/>
      <c r="AU39" s="76"/>
      <c r="AV39" s="76"/>
      <c r="AW39" s="82" t="str">
        <f>HYPERLINK("https://t.co/WJMWzGGfX2")</f>
        <v>https://t.co/WJMWzGGfX2</v>
      </c>
      <c r="AX39" s="76" t="b">
        <v>0</v>
      </c>
      <c r="AY39" s="76"/>
      <c r="AZ39" s="76"/>
      <c r="BA39" s="76" t="b">
        <v>0</v>
      </c>
      <c r="BB39" s="76" t="b">
        <v>1</v>
      </c>
      <c r="BC39" s="76" t="b">
        <v>1</v>
      </c>
      <c r="BD39" s="76" t="b">
        <v>0</v>
      </c>
      <c r="BE39" s="76" t="b">
        <v>0</v>
      </c>
      <c r="BF39" s="76" t="b">
        <v>0</v>
      </c>
      <c r="BG39" s="76" t="b">
        <v>0</v>
      </c>
      <c r="BH39" s="82" t="str">
        <f>HYPERLINK("https://pbs.twimg.com/profile_banners/859233989797625857/1494142381")</f>
        <v>https://pbs.twimg.com/profile_banners/859233989797625857/1494142381</v>
      </c>
      <c r="BI39" s="76"/>
      <c r="BJ39" s="76" t="s">
        <v>7188</v>
      </c>
      <c r="BK39" s="76" t="b">
        <v>0</v>
      </c>
      <c r="BL39" s="76"/>
      <c r="BM39" s="76" t="s">
        <v>66</v>
      </c>
      <c r="BN39" s="76" t="s">
        <v>7190</v>
      </c>
      <c r="BO39" s="82" t="str">
        <f>HYPERLINK("https://twitter.com/mehkaadams")</f>
        <v>https://twitter.com/mehkaadams</v>
      </c>
      <c r="BP39" s="46" t="s">
        <v>1957</v>
      </c>
      <c r="BQ39" s="46" t="s">
        <v>1957</v>
      </c>
      <c r="BR39" s="46" t="s">
        <v>1980</v>
      </c>
      <c r="BS39" s="46" t="s">
        <v>7718</v>
      </c>
      <c r="BT39" s="46" t="s">
        <v>1715</v>
      </c>
      <c r="BU39" s="46" t="s">
        <v>7750</v>
      </c>
      <c r="BV39" s="105" t="s">
        <v>7802</v>
      </c>
      <c r="BW39" s="105" t="s">
        <v>7802</v>
      </c>
      <c r="BX39" s="105" t="s">
        <v>8033</v>
      </c>
      <c r="BY39" s="105" t="s">
        <v>8033</v>
      </c>
      <c r="BZ39" s="2"/>
    </row>
    <row r="40" spans="1:78" ht="15">
      <c r="A40" s="62" t="s">
        <v>369</v>
      </c>
      <c r="B40" s="63"/>
      <c r="C40" s="63"/>
      <c r="D40" s="64"/>
      <c r="E40" s="66"/>
      <c r="F40" s="100" t="str">
        <f>HYPERLINK("https://pbs.twimg.com/profile_images/1402842160508981252/1dGsTHpA_normal.jpg")</f>
        <v>https://pbs.twimg.com/profile_images/1402842160508981252/1dGsTHpA_normal.jpg</v>
      </c>
      <c r="G40" s="63"/>
      <c r="H40" s="67"/>
      <c r="I40" s="68"/>
      <c r="J40" s="68"/>
      <c r="K40" s="67" t="s">
        <v>7227</v>
      </c>
      <c r="L40" s="71"/>
      <c r="M40" s="72">
        <v>1336.517333984375</v>
      </c>
      <c r="N40" s="72">
        <v>9607.234375</v>
      </c>
      <c r="O40" s="73"/>
      <c r="P40" s="74"/>
      <c r="Q40" s="74"/>
      <c r="R40" s="86"/>
      <c r="S40" s="46">
        <v>4</v>
      </c>
      <c r="T40" s="46">
        <v>2</v>
      </c>
      <c r="U40" s="47">
        <v>3</v>
      </c>
      <c r="V40" s="47">
        <v>0.216246</v>
      </c>
      <c r="W40" s="47">
        <v>0.088409</v>
      </c>
      <c r="X40" s="47">
        <v>0.003178</v>
      </c>
      <c r="Y40" s="47">
        <v>0.25</v>
      </c>
      <c r="Z40" s="47">
        <v>0</v>
      </c>
      <c r="AA40" s="69">
        <v>40</v>
      </c>
      <c r="AB40" s="69"/>
      <c r="AC40" s="70"/>
      <c r="AD40" s="76" t="s">
        <v>5908</v>
      </c>
      <c r="AE40" s="83" t="s">
        <v>5819</v>
      </c>
      <c r="AF40" s="76">
        <v>153</v>
      </c>
      <c r="AG40" s="76">
        <v>230</v>
      </c>
      <c r="AH40" s="76">
        <v>211</v>
      </c>
      <c r="AI40" s="76">
        <v>0</v>
      </c>
      <c r="AJ40" s="76">
        <v>2</v>
      </c>
      <c r="AK40" s="76">
        <v>147</v>
      </c>
      <c r="AL40" s="76" t="b">
        <v>0</v>
      </c>
      <c r="AM40" s="78">
        <v>42873.277592592596</v>
      </c>
      <c r="AN40" s="76" t="s">
        <v>3895</v>
      </c>
      <c r="AO40" s="76" t="s">
        <v>6669</v>
      </c>
      <c r="AP40" s="82" t="str">
        <f>HYPERLINK("https://t.co/eTxVigLedP")</f>
        <v>https://t.co/eTxVigLedP</v>
      </c>
      <c r="AQ40" s="82" t="str">
        <f>HYPERLINK("http://inovies.com")</f>
        <v>http://inovies.com</v>
      </c>
      <c r="AR40" s="76" t="s">
        <v>1982</v>
      </c>
      <c r="AS40" s="76"/>
      <c r="AT40" s="76"/>
      <c r="AU40" s="76"/>
      <c r="AV40" s="76"/>
      <c r="AW40" s="82" t="str">
        <f>HYPERLINK("https://t.co/eTxVigLedP")</f>
        <v>https://t.co/eTxVigLedP</v>
      </c>
      <c r="AX40" s="76" t="b">
        <v>0</v>
      </c>
      <c r="AY40" s="76"/>
      <c r="AZ40" s="76" t="b">
        <v>1</v>
      </c>
      <c r="BA40" s="76" t="b">
        <v>0</v>
      </c>
      <c r="BB40" s="76" t="b">
        <v>1</v>
      </c>
      <c r="BC40" s="76" t="b">
        <v>0</v>
      </c>
      <c r="BD40" s="76" t="b">
        <v>0</v>
      </c>
      <c r="BE40" s="76" t="b">
        <v>0</v>
      </c>
      <c r="BF40" s="76" t="b">
        <v>0</v>
      </c>
      <c r="BG40" s="76" t="b">
        <v>0</v>
      </c>
      <c r="BH40" s="82" t="str">
        <f>HYPERLINK("https://pbs.twimg.com/profile_banners/865094534073524224/1623298707")</f>
        <v>https://pbs.twimg.com/profile_banners/865094534073524224/1623298707</v>
      </c>
      <c r="BI40" s="76"/>
      <c r="BJ40" s="76" t="s">
        <v>7188</v>
      </c>
      <c r="BK40" s="76" t="b">
        <v>1</v>
      </c>
      <c r="BL40" s="76"/>
      <c r="BM40" s="76" t="s">
        <v>66</v>
      </c>
      <c r="BN40" s="76" t="s">
        <v>7190</v>
      </c>
      <c r="BO40" s="82" t="str">
        <f>HYPERLINK("https://twitter.com/suryakotianu")</f>
        <v>https://twitter.com/suryakotianu</v>
      </c>
      <c r="BP40" s="46" t="s">
        <v>7608</v>
      </c>
      <c r="BQ40" s="46" t="s">
        <v>7688</v>
      </c>
      <c r="BR40" s="46" t="s">
        <v>7709</v>
      </c>
      <c r="BS40" s="46" t="s">
        <v>7719</v>
      </c>
      <c r="BT40" s="46" t="s">
        <v>7732</v>
      </c>
      <c r="BU40" s="46" t="s">
        <v>7751</v>
      </c>
      <c r="BV40" s="105" t="s">
        <v>7803</v>
      </c>
      <c r="BW40" s="105" t="s">
        <v>7978</v>
      </c>
      <c r="BX40" s="105" t="s">
        <v>8034</v>
      </c>
      <c r="BY40" s="105" t="s">
        <v>8034</v>
      </c>
      <c r="BZ40" s="2"/>
    </row>
    <row r="41" spans="1:78" ht="15">
      <c r="A41" s="62" t="s">
        <v>246</v>
      </c>
      <c r="B41" s="63"/>
      <c r="C41" s="63"/>
      <c r="D41" s="64"/>
      <c r="E41" s="66"/>
      <c r="F41" s="100" t="str">
        <f>HYPERLINK("https://pbs.twimg.com/profile_images/1595048650220228612/7d0PQZ96_normal.jpg")</f>
        <v>https://pbs.twimg.com/profile_images/1595048650220228612/7d0PQZ96_normal.jpg</v>
      </c>
      <c r="G41" s="63"/>
      <c r="H41" s="67"/>
      <c r="I41" s="68"/>
      <c r="J41" s="68"/>
      <c r="K41" s="67" t="s">
        <v>7228</v>
      </c>
      <c r="L41" s="71"/>
      <c r="M41" s="72">
        <v>1363.1572265625</v>
      </c>
      <c r="N41" s="72">
        <v>9610.1181640625</v>
      </c>
      <c r="O41" s="73"/>
      <c r="P41" s="74"/>
      <c r="Q41" s="74"/>
      <c r="R41" s="86"/>
      <c r="S41" s="46">
        <v>0</v>
      </c>
      <c r="T41" s="46">
        <v>6</v>
      </c>
      <c r="U41" s="47">
        <v>1730</v>
      </c>
      <c r="V41" s="47">
        <v>0.219966</v>
      </c>
      <c r="W41" s="47">
        <v>0.064557</v>
      </c>
      <c r="X41" s="47">
        <v>0.004419</v>
      </c>
      <c r="Y41" s="47">
        <v>0</v>
      </c>
      <c r="Z41" s="47">
        <v>0</v>
      </c>
      <c r="AA41" s="69">
        <v>41</v>
      </c>
      <c r="AB41" s="69"/>
      <c r="AC41" s="70"/>
      <c r="AD41" s="76" t="s">
        <v>5909</v>
      </c>
      <c r="AE41" s="83" t="s">
        <v>6227</v>
      </c>
      <c r="AF41" s="76">
        <v>3709</v>
      </c>
      <c r="AG41" s="76">
        <v>3535</v>
      </c>
      <c r="AH41" s="76">
        <v>1661</v>
      </c>
      <c r="AI41" s="76">
        <v>25</v>
      </c>
      <c r="AJ41" s="76">
        <v>5109</v>
      </c>
      <c r="AK41" s="76">
        <v>644</v>
      </c>
      <c r="AL41" s="76" t="b">
        <v>0</v>
      </c>
      <c r="AM41" s="78">
        <v>40862.84233796296</v>
      </c>
      <c r="AN41" s="76" t="s">
        <v>6480</v>
      </c>
      <c r="AO41" s="76" t="s">
        <v>6670</v>
      </c>
      <c r="AP41" s="82" t="str">
        <f>HYPERLINK("https://t.co/VJChqxzgGj")</f>
        <v>https://t.co/VJChqxzgGj</v>
      </c>
      <c r="AQ41" s="82" t="str">
        <f>HYPERLINK("https://www.linkedin.com/in/barnaby-wass/")</f>
        <v>https://www.linkedin.com/in/barnaby-wass/</v>
      </c>
      <c r="AR41" s="76" t="s">
        <v>6961</v>
      </c>
      <c r="AS41" s="76"/>
      <c r="AT41" s="76"/>
      <c r="AU41" s="76"/>
      <c r="AV41" s="76">
        <v>1.71891664612586E+18</v>
      </c>
      <c r="AW41" s="82" t="str">
        <f>HYPERLINK("https://t.co/VJChqxzgGj")</f>
        <v>https://t.co/VJChqxzgGj</v>
      </c>
      <c r="AX41" s="76" t="b">
        <v>0</v>
      </c>
      <c r="AY41" s="76"/>
      <c r="AZ41" s="76"/>
      <c r="BA41" s="76" t="b">
        <v>0</v>
      </c>
      <c r="BB41" s="76" t="b">
        <v>1</v>
      </c>
      <c r="BC41" s="76" t="b">
        <v>0</v>
      </c>
      <c r="BD41" s="76" t="b">
        <v>0</v>
      </c>
      <c r="BE41" s="76" t="b">
        <v>1</v>
      </c>
      <c r="BF41" s="76" t="b">
        <v>0</v>
      </c>
      <c r="BG41" s="76" t="b">
        <v>0</v>
      </c>
      <c r="BH41" s="82" t="str">
        <f>HYPERLINK("https://pbs.twimg.com/profile_banners/413370855/1669124381")</f>
        <v>https://pbs.twimg.com/profile_banners/413370855/1669124381</v>
      </c>
      <c r="BI41" s="76"/>
      <c r="BJ41" s="76" t="s">
        <v>7188</v>
      </c>
      <c r="BK41" s="76" t="b">
        <v>0</v>
      </c>
      <c r="BL41" s="76"/>
      <c r="BM41" s="76" t="s">
        <v>66</v>
      </c>
      <c r="BN41" s="76" t="s">
        <v>7190</v>
      </c>
      <c r="BO41" s="82" t="str">
        <f>HYPERLINK("https://twitter.com/barnabywass")</f>
        <v>https://twitter.com/barnabywass</v>
      </c>
      <c r="BP41" s="46"/>
      <c r="BQ41" s="46"/>
      <c r="BR41" s="46"/>
      <c r="BS41" s="46"/>
      <c r="BT41" s="46"/>
      <c r="BU41" s="46"/>
      <c r="BV41" s="105" t="s">
        <v>7804</v>
      </c>
      <c r="BW41" s="105" t="s">
        <v>7804</v>
      </c>
      <c r="BX41" s="105" t="s">
        <v>8035</v>
      </c>
      <c r="BY41" s="105" t="s">
        <v>8035</v>
      </c>
      <c r="BZ41" s="2"/>
    </row>
    <row r="42" spans="1:78" ht="15">
      <c r="A42" s="62" t="s">
        <v>434</v>
      </c>
      <c r="B42" s="63"/>
      <c r="C42" s="63"/>
      <c r="D42" s="64"/>
      <c r="E42" s="66"/>
      <c r="F42" s="100" t="str">
        <f>HYPERLINK("https://pbs.twimg.com/profile_images/991489093858082816/K-oQetIl_normal.jpg")</f>
        <v>https://pbs.twimg.com/profile_images/991489093858082816/K-oQetIl_normal.jpg</v>
      </c>
      <c r="G42" s="63"/>
      <c r="H42" s="67"/>
      <c r="I42" s="68"/>
      <c r="J42" s="68"/>
      <c r="K42" s="67" t="s">
        <v>7229</v>
      </c>
      <c r="L42" s="71"/>
      <c r="M42" s="72">
        <v>1389.797119140625</v>
      </c>
      <c r="N42" s="72">
        <v>9610.1181640625</v>
      </c>
      <c r="O42" s="73"/>
      <c r="P42" s="74"/>
      <c r="Q42" s="74"/>
      <c r="R42" s="86"/>
      <c r="S42" s="46">
        <v>1</v>
      </c>
      <c r="T42" s="46">
        <v>0</v>
      </c>
      <c r="U42" s="47">
        <v>0</v>
      </c>
      <c r="V42" s="47">
        <v>0.153825</v>
      </c>
      <c r="W42" s="47">
        <v>0.005716</v>
      </c>
      <c r="X42" s="47">
        <v>0.00256</v>
      </c>
      <c r="Y42" s="47">
        <v>0</v>
      </c>
      <c r="Z42" s="47">
        <v>0</v>
      </c>
      <c r="AA42" s="69">
        <v>42</v>
      </c>
      <c r="AB42" s="69"/>
      <c r="AC42" s="70"/>
      <c r="AD42" s="76" t="s">
        <v>5910</v>
      </c>
      <c r="AE42" s="83" t="s">
        <v>6228</v>
      </c>
      <c r="AF42" s="76">
        <v>241</v>
      </c>
      <c r="AG42" s="76">
        <v>544</v>
      </c>
      <c r="AH42" s="76">
        <v>1164</v>
      </c>
      <c r="AI42" s="76">
        <v>4</v>
      </c>
      <c r="AJ42" s="76">
        <v>1052</v>
      </c>
      <c r="AK42" s="76">
        <v>32</v>
      </c>
      <c r="AL42" s="76" t="b">
        <v>0</v>
      </c>
      <c r="AM42" s="78">
        <v>39910.9509837963</v>
      </c>
      <c r="AN42" s="76" t="s">
        <v>6481</v>
      </c>
      <c r="AO42" s="76" t="s">
        <v>6671</v>
      </c>
      <c r="AP42" s="82" t="str">
        <f>HYPERLINK("https://t.co/SMGZZfTY7G")</f>
        <v>https://t.co/SMGZZfTY7G</v>
      </c>
      <c r="AQ42" s="82" t="str">
        <f>HYPERLINK("http://awazbeats.com")</f>
        <v>http://awazbeats.com</v>
      </c>
      <c r="AR42" s="76" t="s">
        <v>6962</v>
      </c>
      <c r="AS42" s="76"/>
      <c r="AT42" s="76"/>
      <c r="AU42" s="76"/>
      <c r="AV42" s="76"/>
      <c r="AW42" s="82" t="str">
        <f>HYPERLINK("https://t.co/SMGZZfTY7G")</f>
        <v>https://t.co/SMGZZfTY7G</v>
      </c>
      <c r="AX42" s="76" t="b">
        <v>0</v>
      </c>
      <c r="AY42" s="76"/>
      <c r="AZ42" s="76"/>
      <c r="BA42" s="76" t="b">
        <v>0</v>
      </c>
      <c r="BB42" s="76" t="b">
        <v>1</v>
      </c>
      <c r="BC42" s="76" t="b">
        <v>0</v>
      </c>
      <c r="BD42" s="76" t="b">
        <v>0</v>
      </c>
      <c r="BE42" s="76" t="b">
        <v>1</v>
      </c>
      <c r="BF42" s="76" t="b">
        <v>0</v>
      </c>
      <c r="BG42" s="76" t="b">
        <v>0</v>
      </c>
      <c r="BH42" s="82" t="str">
        <f>HYPERLINK("https://pbs.twimg.com/profile_banners/29568688/1652400264")</f>
        <v>https://pbs.twimg.com/profile_banners/29568688/1652400264</v>
      </c>
      <c r="BI42" s="76"/>
      <c r="BJ42" s="76" t="s">
        <v>7188</v>
      </c>
      <c r="BK42" s="76" t="b">
        <v>0</v>
      </c>
      <c r="BL42" s="76"/>
      <c r="BM42" s="76" t="s">
        <v>65</v>
      </c>
      <c r="BN42" s="76" t="s">
        <v>7190</v>
      </c>
      <c r="BO42" s="82" t="str">
        <f>HYPERLINK("https://twitter.com/swiftymorgan")</f>
        <v>https://twitter.com/swiftymorgan</v>
      </c>
      <c r="BP42" s="46"/>
      <c r="BQ42" s="46"/>
      <c r="BR42" s="46"/>
      <c r="BS42" s="46"/>
      <c r="BT42" s="46"/>
      <c r="BU42" s="46"/>
      <c r="BV42" s="46"/>
      <c r="BW42" s="46"/>
      <c r="BX42" s="46"/>
      <c r="BY42" s="46"/>
      <c r="BZ42" s="2"/>
    </row>
    <row r="43" spans="1:78" ht="15">
      <c r="A43" s="62" t="s">
        <v>435</v>
      </c>
      <c r="B43" s="63"/>
      <c r="C43" s="63"/>
      <c r="D43" s="64"/>
      <c r="E43" s="66"/>
      <c r="F43" s="100" t="str">
        <f>HYPERLINK("https://pbs.twimg.com/profile_images/1356925931739377664/un6TkI1h_normal.jpg")</f>
        <v>https://pbs.twimg.com/profile_images/1356925931739377664/un6TkI1h_normal.jpg</v>
      </c>
      <c r="G43" s="63"/>
      <c r="H43" s="67"/>
      <c r="I43" s="68"/>
      <c r="J43" s="68"/>
      <c r="K43" s="67" t="s">
        <v>7230</v>
      </c>
      <c r="L43" s="71"/>
      <c r="M43" s="72">
        <v>1416.43701171875</v>
      </c>
      <c r="N43" s="72">
        <v>9610.1181640625</v>
      </c>
      <c r="O43" s="73"/>
      <c r="P43" s="74"/>
      <c r="Q43" s="74"/>
      <c r="R43" s="86"/>
      <c r="S43" s="46">
        <v>1</v>
      </c>
      <c r="T43" s="46">
        <v>0</v>
      </c>
      <c r="U43" s="47">
        <v>0</v>
      </c>
      <c r="V43" s="47">
        <v>0.153825</v>
      </c>
      <c r="W43" s="47">
        <v>0.005716</v>
      </c>
      <c r="X43" s="47">
        <v>0.00256</v>
      </c>
      <c r="Y43" s="47">
        <v>0</v>
      </c>
      <c r="Z43" s="47">
        <v>0</v>
      </c>
      <c r="AA43" s="69">
        <v>43</v>
      </c>
      <c r="AB43" s="69"/>
      <c r="AC43" s="70"/>
      <c r="AD43" s="76" t="s">
        <v>5911</v>
      </c>
      <c r="AE43" s="83" t="s">
        <v>6229</v>
      </c>
      <c r="AF43" s="76">
        <v>17044</v>
      </c>
      <c r="AG43" s="76">
        <v>13491</v>
      </c>
      <c r="AH43" s="76">
        <v>32</v>
      </c>
      <c r="AI43" s="76">
        <v>562</v>
      </c>
      <c r="AJ43" s="76">
        <v>1734</v>
      </c>
      <c r="AK43" s="76">
        <v>0</v>
      </c>
      <c r="AL43" s="76" t="b">
        <v>0</v>
      </c>
      <c r="AM43" s="78">
        <v>39984.25622685185</v>
      </c>
      <c r="AN43" s="76" t="s">
        <v>6462</v>
      </c>
      <c r="AO43" s="76" t="s">
        <v>6672</v>
      </c>
      <c r="AP43" s="82" t="str">
        <f>HYPERLINK("https://t.co/CqX9eYDXyb")</f>
        <v>https://t.co/CqX9eYDXyb</v>
      </c>
      <c r="AQ43" s="82" t="str">
        <f>HYPERLINK("https://twitter.com/johngow")</f>
        <v>https://twitter.com/johngow</v>
      </c>
      <c r="AR43" s="76" t="s">
        <v>6963</v>
      </c>
      <c r="AS43" s="76"/>
      <c r="AT43" s="76"/>
      <c r="AU43" s="76"/>
      <c r="AV43" s="76"/>
      <c r="AW43" s="82" t="str">
        <f>HYPERLINK("https://t.co/CqX9eYDXyb")</f>
        <v>https://t.co/CqX9eYDXyb</v>
      </c>
      <c r="AX43" s="76" t="b">
        <v>0</v>
      </c>
      <c r="AY43" s="76"/>
      <c r="AZ43" s="76"/>
      <c r="BA43" s="76" t="b">
        <v>1</v>
      </c>
      <c r="BB43" s="76" t="b">
        <v>1</v>
      </c>
      <c r="BC43" s="76" t="b">
        <v>0</v>
      </c>
      <c r="BD43" s="76" t="b">
        <v>0</v>
      </c>
      <c r="BE43" s="76" t="b">
        <v>0</v>
      </c>
      <c r="BF43" s="76" t="b">
        <v>0</v>
      </c>
      <c r="BG43" s="76" t="b">
        <v>0</v>
      </c>
      <c r="BH43" s="82" t="str">
        <f>HYPERLINK("https://pbs.twimg.com/profile_banners/48942281/1612356449")</f>
        <v>https://pbs.twimg.com/profile_banners/48942281/1612356449</v>
      </c>
      <c r="BI43" s="76"/>
      <c r="BJ43" s="76" t="s">
        <v>7188</v>
      </c>
      <c r="BK43" s="76" t="b">
        <v>0</v>
      </c>
      <c r="BL43" s="76"/>
      <c r="BM43" s="76" t="s">
        <v>65</v>
      </c>
      <c r="BN43" s="76" t="s">
        <v>7190</v>
      </c>
      <c r="BO43" s="82" t="str">
        <f>HYPERLINK("https://twitter.com/johngow")</f>
        <v>https://twitter.com/johngow</v>
      </c>
      <c r="BP43" s="46"/>
      <c r="BQ43" s="46"/>
      <c r="BR43" s="46"/>
      <c r="BS43" s="46"/>
      <c r="BT43" s="46"/>
      <c r="BU43" s="46"/>
      <c r="BV43" s="46"/>
      <c r="BW43" s="46"/>
      <c r="BX43" s="46"/>
      <c r="BY43" s="46"/>
      <c r="BZ43" s="2"/>
    </row>
    <row r="44" spans="1:78" ht="15">
      <c r="A44" s="62" t="s">
        <v>436</v>
      </c>
      <c r="B44" s="63"/>
      <c r="C44" s="63"/>
      <c r="D44" s="64"/>
      <c r="E44" s="66"/>
      <c r="F44" s="100" t="str">
        <f>HYPERLINK("https://pbs.twimg.com/profile_images/697358968008654848/jloEEaip_normal.jpg")</f>
        <v>https://pbs.twimg.com/profile_images/697358968008654848/jloEEaip_normal.jpg</v>
      </c>
      <c r="G44" s="63"/>
      <c r="H44" s="67"/>
      <c r="I44" s="68"/>
      <c r="J44" s="68"/>
      <c r="K44" s="67" t="s">
        <v>7231</v>
      </c>
      <c r="L44" s="71"/>
      <c r="M44" s="72">
        <v>1443.076904296875</v>
      </c>
      <c r="N44" s="72">
        <v>9610.1181640625</v>
      </c>
      <c r="O44" s="73"/>
      <c r="P44" s="74"/>
      <c r="Q44" s="74"/>
      <c r="R44" s="86"/>
      <c r="S44" s="46">
        <v>1</v>
      </c>
      <c r="T44" s="46">
        <v>0</v>
      </c>
      <c r="U44" s="47">
        <v>0</v>
      </c>
      <c r="V44" s="47">
        <v>0.153825</v>
      </c>
      <c r="W44" s="47">
        <v>0.005716</v>
      </c>
      <c r="X44" s="47">
        <v>0.00256</v>
      </c>
      <c r="Y44" s="47">
        <v>0</v>
      </c>
      <c r="Z44" s="47">
        <v>0</v>
      </c>
      <c r="AA44" s="69">
        <v>44</v>
      </c>
      <c r="AB44" s="69"/>
      <c r="AC44" s="70"/>
      <c r="AD44" s="76" t="s">
        <v>5912</v>
      </c>
      <c r="AE44" s="83" t="s">
        <v>6230</v>
      </c>
      <c r="AF44" s="76">
        <v>144443</v>
      </c>
      <c r="AG44" s="76">
        <v>129800</v>
      </c>
      <c r="AH44" s="76">
        <v>144024</v>
      </c>
      <c r="AI44" s="76">
        <v>3209</v>
      </c>
      <c r="AJ44" s="76">
        <v>4857</v>
      </c>
      <c r="AK44" s="76">
        <v>21268</v>
      </c>
      <c r="AL44" s="76" t="b">
        <v>0</v>
      </c>
      <c r="AM44" s="78">
        <v>40768.99104166667</v>
      </c>
      <c r="AN44" s="76" t="s">
        <v>6482</v>
      </c>
      <c r="AO44" s="76" t="s">
        <v>6673</v>
      </c>
      <c r="AP44" s="76"/>
      <c r="AQ44" s="76"/>
      <c r="AR44" s="76"/>
      <c r="AS44" s="76"/>
      <c r="AT44" s="76"/>
      <c r="AU44" s="76"/>
      <c r="AV44" s="76">
        <v>1.11320631536964E+18</v>
      </c>
      <c r="AW44" s="76"/>
      <c r="AX44" s="76" t="b">
        <v>0</v>
      </c>
      <c r="AY44" s="76"/>
      <c r="AZ44" s="76"/>
      <c r="BA44" s="76" t="b">
        <v>1</v>
      </c>
      <c r="BB44" s="76" t="b">
        <v>1</v>
      </c>
      <c r="BC44" s="76" t="b">
        <v>0</v>
      </c>
      <c r="BD44" s="76" t="b">
        <v>0</v>
      </c>
      <c r="BE44" s="76" t="b">
        <v>0</v>
      </c>
      <c r="BF44" s="76" t="b">
        <v>0</v>
      </c>
      <c r="BG44" s="76" t="b">
        <v>0</v>
      </c>
      <c r="BH44" s="82" t="str">
        <f>HYPERLINK("https://pbs.twimg.com/profile_banners/354582942/1455098406")</f>
        <v>https://pbs.twimg.com/profile_banners/354582942/1455098406</v>
      </c>
      <c r="BI44" s="76"/>
      <c r="BJ44" s="76" t="s">
        <v>7188</v>
      </c>
      <c r="BK44" s="76" t="b">
        <v>0</v>
      </c>
      <c r="BL44" s="76"/>
      <c r="BM44" s="76" t="s">
        <v>65</v>
      </c>
      <c r="BN44" s="76" t="s">
        <v>7190</v>
      </c>
      <c r="BO44" s="82" t="str">
        <f>HYPERLINK("https://twitter.com/jeremyscrivens")</f>
        <v>https://twitter.com/jeremyscrivens</v>
      </c>
      <c r="BP44" s="46"/>
      <c r="BQ44" s="46"/>
      <c r="BR44" s="46"/>
      <c r="BS44" s="46"/>
      <c r="BT44" s="46"/>
      <c r="BU44" s="46"/>
      <c r="BV44" s="46"/>
      <c r="BW44" s="46"/>
      <c r="BX44" s="46"/>
      <c r="BY44" s="46"/>
      <c r="BZ44" s="2"/>
    </row>
    <row r="45" spans="1:78" ht="15">
      <c r="A45" s="62" t="s">
        <v>437</v>
      </c>
      <c r="B45" s="63"/>
      <c r="C45" s="63"/>
      <c r="D45" s="64"/>
      <c r="E45" s="66"/>
      <c r="F45" s="100" t="str">
        <f>HYPERLINK("https://pbs.twimg.com/profile_images/1027509231761731584/pCebEEg2_normal.jpg")</f>
        <v>https://pbs.twimg.com/profile_images/1027509231761731584/pCebEEg2_normal.jpg</v>
      </c>
      <c r="G45" s="63"/>
      <c r="H45" s="67"/>
      <c r="I45" s="68"/>
      <c r="J45" s="68"/>
      <c r="K45" s="67" t="s">
        <v>7232</v>
      </c>
      <c r="L45" s="71"/>
      <c r="M45" s="72">
        <v>1469.716796875</v>
      </c>
      <c r="N45" s="72">
        <v>9610.1181640625</v>
      </c>
      <c r="O45" s="73"/>
      <c r="P45" s="74"/>
      <c r="Q45" s="74"/>
      <c r="R45" s="86"/>
      <c r="S45" s="46">
        <v>1</v>
      </c>
      <c r="T45" s="46">
        <v>0</v>
      </c>
      <c r="U45" s="47">
        <v>0</v>
      </c>
      <c r="V45" s="47">
        <v>0.153825</v>
      </c>
      <c r="W45" s="47">
        <v>0.005716</v>
      </c>
      <c r="X45" s="47">
        <v>0.00256</v>
      </c>
      <c r="Y45" s="47">
        <v>0</v>
      </c>
      <c r="Z45" s="47">
        <v>0</v>
      </c>
      <c r="AA45" s="69">
        <v>45</v>
      </c>
      <c r="AB45" s="69"/>
      <c r="AC45" s="70"/>
      <c r="AD45" s="76" t="s">
        <v>5913</v>
      </c>
      <c r="AE45" s="83" t="s">
        <v>6231</v>
      </c>
      <c r="AF45" s="76">
        <v>6152</v>
      </c>
      <c r="AG45" s="76">
        <v>6203</v>
      </c>
      <c r="AH45" s="76">
        <v>3555</v>
      </c>
      <c r="AI45" s="76">
        <v>127</v>
      </c>
      <c r="AJ45" s="76">
        <v>1370</v>
      </c>
      <c r="AK45" s="76">
        <v>19</v>
      </c>
      <c r="AL45" s="76" t="b">
        <v>0</v>
      </c>
      <c r="AM45" s="78">
        <v>42286.42460648148</v>
      </c>
      <c r="AN45" s="76" t="s">
        <v>6483</v>
      </c>
      <c r="AO45" s="76" t="s">
        <v>6674</v>
      </c>
      <c r="AP45" s="82" t="str">
        <f>HYPERLINK("https://t.co/ad8l9nSDqk")</f>
        <v>https://t.co/ad8l9nSDqk</v>
      </c>
      <c r="AQ45" s="82" t="str">
        <f>HYPERLINK("http://www.smokingchilimedia.com")</f>
        <v>http://www.smokingchilimedia.com</v>
      </c>
      <c r="AR45" s="76" t="s">
        <v>6964</v>
      </c>
      <c r="AS45" s="76"/>
      <c r="AT45" s="76"/>
      <c r="AU45" s="76"/>
      <c r="AV45" s="76">
        <v>1.00683463848727E+18</v>
      </c>
      <c r="AW45" s="82" t="str">
        <f>HYPERLINK("https://t.co/ad8l9nSDqk")</f>
        <v>https://t.co/ad8l9nSDqk</v>
      </c>
      <c r="AX45" s="76" t="b">
        <v>0</v>
      </c>
      <c r="AY45" s="76"/>
      <c r="AZ45" s="76"/>
      <c r="BA45" s="76" t="b">
        <v>0</v>
      </c>
      <c r="BB45" s="76" t="b">
        <v>1</v>
      </c>
      <c r="BC45" s="76" t="b">
        <v>1</v>
      </c>
      <c r="BD45" s="76" t="b">
        <v>0</v>
      </c>
      <c r="BE45" s="76" t="b">
        <v>1</v>
      </c>
      <c r="BF45" s="76" t="b">
        <v>0</v>
      </c>
      <c r="BG45" s="76" t="b">
        <v>0</v>
      </c>
      <c r="BH45" s="82" t="str">
        <f>HYPERLINK("https://pbs.twimg.com/profile_banners/3907907001/1533829630")</f>
        <v>https://pbs.twimg.com/profile_banners/3907907001/1533829630</v>
      </c>
      <c r="BI45" s="76"/>
      <c r="BJ45" s="76" t="s">
        <v>7188</v>
      </c>
      <c r="BK45" s="76" t="b">
        <v>0</v>
      </c>
      <c r="BL45" s="76"/>
      <c r="BM45" s="76" t="s">
        <v>65</v>
      </c>
      <c r="BN45" s="76" t="s">
        <v>7190</v>
      </c>
      <c r="BO45" s="82" t="str">
        <f>HYPERLINK("https://twitter.com/smokingchili")</f>
        <v>https://twitter.com/smokingchili</v>
      </c>
      <c r="BP45" s="46"/>
      <c r="BQ45" s="46"/>
      <c r="BR45" s="46"/>
      <c r="BS45" s="46"/>
      <c r="BT45" s="46"/>
      <c r="BU45" s="46"/>
      <c r="BV45" s="46"/>
      <c r="BW45" s="46"/>
      <c r="BX45" s="46"/>
      <c r="BY45" s="46"/>
      <c r="BZ45" s="2"/>
    </row>
    <row r="46" spans="1:78" ht="15">
      <c r="A46" s="62" t="s">
        <v>438</v>
      </c>
      <c r="B46" s="63"/>
      <c r="C46" s="63"/>
      <c r="D46" s="64"/>
      <c r="E46" s="66"/>
      <c r="F46" s="100" t="str">
        <f>HYPERLINK("https://pbs.twimg.com/profile_images/729065804004769793/St2_Pum9_normal.jpg")</f>
        <v>https://pbs.twimg.com/profile_images/729065804004769793/St2_Pum9_normal.jpg</v>
      </c>
      <c r="G46" s="63"/>
      <c r="H46" s="67"/>
      <c r="I46" s="68"/>
      <c r="J46" s="68"/>
      <c r="K46" s="67" t="s">
        <v>7233</v>
      </c>
      <c r="L46" s="71"/>
      <c r="M46" s="72">
        <v>1496.356689453125</v>
      </c>
      <c r="N46" s="72">
        <v>9610.1181640625</v>
      </c>
      <c r="O46" s="73"/>
      <c r="P46" s="74"/>
      <c r="Q46" s="74"/>
      <c r="R46" s="86"/>
      <c r="S46" s="46">
        <v>1</v>
      </c>
      <c r="T46" s="46">
        <v>0</v>
      </c>
      <c r="U46" s="47">
        <v>0</v>
      </c>
      <c r="V46" s="47">
        <v>0.153825</v>
      </c>
      <c r="W46" s="47">
        <v>0.005716</v>
      </c>
      <c r="X46" s="47">
        <v>0.00256</v>
      </c>
      <c r="Y46" s="47">
        <v>0</v>
      </c>
      <c r="Z46" s="47">
        <v>0</v>
      </c>
      <c r="AA46" s="69">
        <v>46</v>
      </c>
      <c r="AB46" s="69"/>
      <c r="AC46" s="70"/>
      <c r="AD46" s="76" t="s">
        <v>5914</v>
      </c>
      <c r="AE46" s="83" t="s">
        <v>6232</v>
      </c>
      <c r="AF46" s="76">
        <v>135835</v>
      </c>
      <c r="AG46" s="76">
        <v>110590</v>
      </c>
      <c r="AH46" s="76">
        <v>241956</v>
      </c>
      <c r="AI46" s="76">
        <v>7571</v>
      </c>
      <c r="AJ46" s="76">
        <v>181707</v>
      </c>
      <c r="AK46" s="76">
        <v>114082</v>
      </c>
      <c r="AL46" s="76" t="b">
        <v>0</v>
      </c>
      <c r="AM46" s="78">
        <v>42432.99030092593</v>
      </c>
      <c r="AN46" s="76" t="s">
        <v>6484</v>
      </c>
      <c r="AO46" s="76" t="s">
        <v>6675</v>
      </c>
      <c r="AP46" s="82" t="str">
        <f>HYPERLINK("https://t.co/RGmc2u9jdS")</f>
        <v>https://t.co/RGmc2u9jdS</v>
      </c>
      <c r="AQ46" s="82" t="str">
        <f>HYPERLINK("http://ipfconline.fr/contacts-eng.html")</f>
        <v>http://ipfconline.fr/contacts-eng.html</v>
      </c>
      <c r="AR46" s="76" t="s">
        <v>6965</v>
      </c>
      <c r="AS46" s="76"/>
      <c r="AT46" s="76"/>
      <c r="AU46" s="76"/>
      <c r="AV46" s="76">
        <v>1.21668837694399E+18</v>
      </c>
      <c r="AW46" s="82" t="str">
        <f>HYPERLINK("https://t.co/RGmc2u9jdS")</f>
        <v>https://t.co/RGmc2u9jdS</v>
      </c>
      <c r="AX46" s="76" t="b">
        <v>1</v>
      </c>
      <c r="AY46" s="76"/>
      <c r="AZ46" s="76"/>
      <c r="BA46" s="76" t="b">
        <v>1</v>
      </c>
      <c r="BB46" s="76" t="b">
        <v>1</v>
      </c>
      <c r="BC46" s="76" t="b">
        <v>1</v>
      </c>
      <c r="BD46" s="76" t="b">
        <v>0</v>
      </c>
      <c r="BE46" s="76" t="b">
        <v>1</v>
      </c>
      <c r="BF46" s="76" t="b">
        <v>0</v>
      </c>
      <c r="BG46" s="76" t="b">
        <v>0</v>
      </c>
      <c r="BH46" s="82" t="str">
        <f>HYPERLINK("https://pbs.twimg.com/profile_banners/705539763349164032/1543420399")</f>
        <v>https://pbs.twimg.com/profile_banners/705539763349164032/1543420399</v>
      </c>
      <c r="BI46" s="76"/>
      <c r="BJ46" s="76" t="s">
        <v>7188</v>
      </c>
      <c r="BK46" s="76" t="b">
        <v>0</v>
      </c>
      <c r="BL46" s="76"/>
      <c r="BM46" s="76" t="s">
        <v>65</v>
      </c>
      <c r="BN46" s="76" t="s">
        <v>7190</v>
      </c>
      <c r="BO46" s="82" t="str">
        <f>HYPERLINK("https://twitter.com/ipfconline1")</f>
        <v>https://twitter.com/ipfconline1</v>
      </c>
      <c r="BP46" s="46"/>
      <c r="BQ46" s="46"/>
      <c r="BR46" s="46"/>
      <c r="BS46" s="46"/>
      <c r="BT46" s="46"/>
      <c r="BU46" s="46"/>
      <c r="BV46" s="46"/>
      <c r="BW46" s="46"/>
      <c r="BX46" s="46"/>
      <c r="BY46" s="46"/>
      <c r="BZ46" s="2"/>
    </row>
    <row r="47" spans="1:78" ht="15">
      <c r="A47" s="62" t="s">
        <v>247</v>
      </c>
      <c r="B47" s="63"/>
      <c r="C47" s="63"/>
      <c r="D47" s="64"/>
      <c r="E47" s="66"/>
      <c r="F47" s="100" t="str">
        <f>HYPERLINK("https://pbs.twimg.com/profile_images/1127217665204838402/LBEFnmn5_normal.png")</f>
        <v>https://pbs.twimg.com/profile_images/1127217665204838402/LBEFnmn5_normal.png</v>
      </c>
      <c r="G47" s="63"/>
      <c r="H47" s="67"/>
      <c r="I47" s="68"/>
      <c r="J47" s="68"/>
      <c r="K47" s="67" t="s">
        <v>7234</v>
      </c>
      <c r="L47" s="71"/>
      <c r="M47" s="72">
        <v>1522.99658203125</v>
      </c>
      <c r="N47" s="72">
        <v>9610.1181640625</v>
      </c>
      <c r="O47" s="73"/>
      <c r="P47" s="74"/>
      <c r="Q47" s="74"/>
      <c r="R47" s="86"/>
      <c r="S47" s="46">
        <v>0</v>
      </c>
      <c r="T47" s="46">
        <v>2</v>
      </c>
      <c r="U47" s="47">
        <v>86</v>
      </c>
      <c r="V47" s="47">
        <v>0.215725</v>
      </c>
      <c r="W47" s="47">
        <v>0.064034</v>
      </c>
      <c r="X47" s="47">
        <v>0.00262</v>
      </c>
      <c r="Y47" s="47">
        <v>0</v>
      </c>
      <c r="Z47" s="47">
        <v>0</v>
      </c>
      <c r="AA47" s="69">
        <v>47</v>
      </c>
      <c r="AB47" s="69"/>
      <c r="AC47" s="70"/>
      <c r="AD47" s="76" t="s">
        <v>5915</v>
      </c>
      <c r="AE47" s="83" t="s">
        <v>6233</v>
      </c>
      <c r="AF47" s="76">
        <v>2715</v>
      </c>
      <c r="AG47" s="76">
        <v>3033</v>
      </c>
      <c r="AH47" s="76">
        <v>22850</v>
      </c>
      <c r="AI47" s="76">
        <v>572</v>
      </c>
      <c r="AJ47" s="76">
        <v>7419</v>
      </c>
      <c r="AK47" s="76">
        <v>4558</v>
      </c>
      <c r="AL47" s="76" t="b">
        <v>0</v>
      </c>
      <c r="AM47" s="78">
        <v>41569.705671296295</v>
      </c>
      <c r="AN47" s="76" t="s">
        <v>3889</v>
      </c>
      <c r="AO47" s="76" t="s">
        <v>6676</v>
      </c>
      <c r="AP47" s="82" t="str">
        <f>HYPERLINK("https://t.co/xCbsd4ZPAR")</f>
        <v>https://t.co/xCbsd4ZPAR</v>
      </c>
      <c r="AQ47" s="82" t="str">
        <f>HYPERLINK("https://www.deepanshugahlaut.com/")</f>
        <v>https://www.deepanshugahlaut.com/</v>
      </c>
      <c r="AR47" s="76" t="s">
        <v>6966</v>
      </c>
      <c r="AS47" s="82" t="str">
        <f>HYPERLINK("https://t.co/48eYQr2wZi")</f>
        <v>https://t.co/48eYQr2wZi</v>
      </c>
      <c r="AT47" s="82" t="str">
        <f>HYPERLINK("http://bit.ly/snk-yt")</f>
        <v>http://bit.ly/snk-yt</v>
      </c>
      <c r="AU47" s="76" t="s">
        <v>7165</v>
      </c>
      <c r="AV47" s="76">
        <v>9.30439023750819E+17</v>
      </c>
      <c r="AW47" s="82" t="str">
        <f>HYPERLINK("https://t.co/xCbsd4ZPAR")</f>
        <v>https://t.co/xCbsd4ZPAR</v>
      </c>
      <c r="AX47" s="76" t="b">
        <v>0</v>
      </c>
      <c r="AY47" s="76"/>
      <c r="AZ47" s="76"/>
      <c r="BA47" s="76" t="b">
        <v>0</v>
      </c>
      <c r="BB47" s="76" t="b">
        <v>1</v>
      </c>
      <c r="BC47" s="76" t="b">
        <v>0</v>
      </c>
      <c r="BD47" s="76" t="b">
        <v>0</v>
      </c>
      <c r="BE47" s="76" t="b">
        <v>0</v>
      </c>
      <c r="BF47" s="76" t="b">
        <v>0</v>
      </c>
      <c r="BG47" s="76" t="b">
        <v>0</v>
      </c>
      <c r="BH47" s="82" t="str">
        <f>HYPERLINK("https://pbs.twimg.com/profile_banners/2149377590/1460049622")</f>
        <v>https://pbs.twimg.com/profile_banners/2149377590/1460049622</v>
      </c>
      <c r="BI47" s="76"/>
      <c r="BJ47" s="76" t="s">
        <v>7188</v>
      </c>
      <c r="BK47" s="76" t="b">
        <v>0</v>
      </c>
      <c r="BL47" s="76"/>
      <c r="BM47" s="76" t="s">
        <v>66</v>
      </c>
      <c r="BN47" s="76" t="s">
        <v>7190</v>
      </c>
      <c r="BO47" s="82" t="str">
        <f>HYPERLINK("https://twitter.com/dpanshugahlaut")</f>
        <v>https://twitter.com/dpanshugahlaut</v>
      </c>
      <c r="BP47" s="46" t="s">
        <v>7609</v>
      </c>
      <c r="BQ47" s="46" t="s">
        <v>7609</v>
      </c>
      <c r="BR47" s="46" t="s">
        <v>1981</v>
      </c>
      <c r="BS47" s="46" t="s">
        <v>1981</v>
      </c>
      <c r="BT47" s="46" t="s">
        <v>1716</v>
      </c>
      <c r="BU47" s="46" t="s">
        <v>1716</v>
      </c>
      <c r="BV47" s="105" t="s">
        <v>7805</v>
      </c>
      <c r="BW47" s="105" t="s">
        <v>7805</v>
      </c>
      <c r="BX47" s="105" t="s">
        <v>8036</v>
      </c>
      <c r="BY47" s="105" t="s">
        <v>8036</v>
      </c>
      <c r="BZ47" s="2"/>
    </row>
    <row r="48" spans="1:78" ht="15">
      <c r="A48" s="62" t="s">
        <v>439</v>
      </c>
      <c r="B48" s="63"/>
      <c r="C48" s="63"/>
      <c r="D48" s="64"/>
      <c r="E48" s="66"/>
      <c r="F48" s="100" t="str">
        <f>HYPERLINK("https://pbs.twimg.com/profile_images/476911424/ct_logo_twitter_normal.gif")</f>
        <v>https://pbs.twimg.com/profile_images/476911424/ct_logo_twitter_normal.gif</v>
      </c>
      <c r="G48" s="63"/>
      <c r="H48" s="67"/>
      <c r="I48" s="68"/>
      <c r="J48" s="68"/>
      <c r="K48" s="67" t="s">
        <v>7235</v>
      </c>
      <c r="L48" s="71"/>
      <c r="M48" s="72">
        <v>1549.6363525390625</v>
      </c>
      <c r="N48" s="72">
        <v>9610.1181640625</v>
      </c>
      <c r="O48" s="73"/>
      <c r="P48" s="74"/>
      <c r="Q48" s="74"/>
      <c r="R48" s="86"/>
      <c r="S48" s="46">
        <v>4</v>
      </c>
      <c r="T48" s="46">
        <v>0</v>
      </c>
      <c r="U48" s="47">
        <v>6</v>
      </c>
      <c r="V48" s="47">
        <v>0.153298</v>
      </c>
      <c r="W48" s="47">
        <v>0.022679</v>
      </c>
      <c r="X48" s="47">
        <v>0.003236</v>
      </c>
      <c r="Y48" s="47">
        <v>0</v>
      </c>
      <c r="Z48" s="47">
        <v>0</v>
      </c>
      <c r="AA48" s="69">
        <v>48</v>
      </c>
      <c r="AB48" s="69"/>
      <c r="AC48" s="70"/>
      <c r="AD48" s="76" t="s">
        <v>5916</v>
      </c>
      <c r="AE48" s="83" t="s">
        <v>6234</v>
      </c>
      <c r="AF48" s="76">
        <v>14366</v>
      </c>
      <c r="AG48" s="76">
        <v>4</v>
      </c>
      <c r="AH48" s="76">
        <v>41940</v>
      </c>
      <c r="AI48" s="76">
        <v>942</v>
      </c>
      <c r="AJ48" s="76">
        <v>0</v>
      </c>
      <c r="AK48" s="76">
        <v>112</v>
      </c>
      <c r="AL48" s="76" t="b">
        <v>0</v>
      </c>
      <c r="AM48" s="78">
        <v>39916.66229166667</v>
      </c>
      <c r="AN48" s="76"/>
      <c r="AO48" s="76" t="s">
        <v>6677</v>
      </c>
      <c r="AP48" s="82" t="str">
        <f>HYPERLINK("http://t.co/1yjWo9Otta")</f>
        <v>http://t.co/1yjWo9Otta</v>
      </c>
      <c r="AQ48" s="82" t="str">
        <f>HYPERLINK("http://www.customerthink.com")</f>
        <v>http://www.customerthink.com</v>
      </c>
      <c r="AR48" s="76" t="s">
        <v>1981</v>
      </c>
      <c r="AS48" s="76"/>
      <c r="AT48" s="76"/>
      <c r="AU48" s="76"/>
      <c r="AV48" s="76"/>
      <c r="AW48" s="82" t="str">
        <f>HYPERLINK("http://t.co/1yjWo9Otta")</f>
        <v>http://t.co/1yjWo9Otta</v>
      </c>
      <c r="AX48" s="76" t="b">
        <v>0</v>
      </c>
      <c r="AY48" s="76"/>
      <c r="AZ48" s="76"/>
      <c r="BA48" s="76" t="b">
        <v>0</v>
      </c>
      <c r="BB48" s="76" t="b">
        <v>1</v>
      </c>
      <c r="BC48" s="76" t="b">
        <v>1</v>
      </c>
      <c r="BD48" s="76" t="b">
        <v>0</v>
      </c>
      <c r="BE48" s="76" t="b">
        <v>0</v>
      </c>
      <c r="BF48" s="76" t="b">
        <v>0</v>
      </c>
      <c r="BG48" s="76" t="b">
        <v>0</v>
      </c>
      <c r="BH48" s="76"/>
      <c r="BI48" s="76"/>
      <c r="BJ48" s="76" t="s">
        <v>7188</v>
      </c>
      <c r="BK48" s="76" t="b">
        <v>0</v>
      </c>
      <c r="BL48" s="76"/>
      <c r="BM48" s="76" t="s">
        <v>65</v>
      </c>
      <c r="BN48" s="76" t="s">
        <v>7190</v>
      </c>
      <c r="BO48" s="82" t="str">
        <f>HYPERLINK("https://twitter.com/customerthink")</f>
        <v>https://twitter.com/customerthink</v>
      </c>
      <c r="BP48" s="46"/>
      <c r="BQ48" s="46"/>
      <c r="BR48" s="46"/>
      <c r="BS48" s="46"/>
      <c r="BT48" s="46"/>
      <c r="BU48" s="46"/>
      <c r="BV48" s="46"/>
      <c r="BW48" s="46"/>
      <c r="BX48" s="46"/>
      <c r="BY48" s="46"/>
      <c r="BZ48" s="2"/>
    </row>
    <row r="49" spans="1:78" ht="15">
      <c r="A49" s="62" t="s">
        <v>248</v>
      </c>
      <c r="B49" s="63"/>
      <c r="C49" s="63"/>
      <c r="D49" s="64"/>
      <c r="E49" s="66"/>
      <c r="F49" s="100" t="str">
        <f>HYPERLINK("https://pbs.twimg.com/profile_images/1673066044682907649/yjKNjvL-_normal.jpg")</f>
        <v>https://pbs.twimg.com/profile_images/1673066044682907649/yjKNjvL-_normal.jpg</v>
      </c>
      <c r="G49" s="63"/>
      <c r="H49" s="67"/>
      <c r="I49" s="68"/>
      <c r="J49" s="68"/>
      <c r="K49" s="67" t="s">
        <v>7236</v>
      </c>
      <c r="L49" s="71"/>
      <c r="M49" s="72">
        <v>1576.2763671875</v>
      </c>
      <c r="N49" s="72">
        <v>9610.1181640625</v>
      </c>
      <c r="O49" s="73"/>
      <c r="P49" s="74"/>
      <c r="Q49" s="74"/>
      <c r="R49" s="86"/>
      <c r="S49" s="46">
        <v>0</v>
      </c>
      <c r="T49" s="46">
        <v>1</v>
      </c>
      <c r="U49" s="47">
        <v>0</v>
      </c>
      <c r="V49" s="47">
        <v>0.214691</v>
      </c>
      <c r="W49" s="47">
        <v>0.062026</v>
      </c>
      <c r="X49" s="47">
        <v>0.002499</v>
      </c>
      <c r="Y49" s="47">
        <v>0</v>
      </c>
      <c r="Z49" s="47">
        <v>0</v>
      </c>
      <c r="AA49" s="69">
        <v>49</v>
      </c>
      <c r="AB49" s="69"/>
      <c r="AC49" s="70"/>
      <c r="AD49" s="76" t="s">
        <v>5917</v>
      </c>
      <c r="AE49" s="83" t="s">
        <v>6235</v>
      </c>
      <c r="AF49" s="76">
        <v>54106</v>
      </c>
      <c r="AG49" s="76">
        <v>57083</v>
      </c>
      <c r="AH49" s="76">
        <v>218012</v>
      </c>
      <c r="AI49" s="76">
        <v>1998</v>
      </c>
      <c r="AJ49" s="76">
        <v>3960</v>
      </c>
      <c r="AK49" s="76">
        <v>119718</v>
      </c>
      <c r="AL49" s="76" t="b">
        <v>0</v>
      </c>
      <c r="AM49" s="78">
        <v>40599.1528587963</v>
      </c>
      <c r="AN49" s="76" t="s">
        <v>6485</v>
      </c>
      <c r="AO49" s="76" t="s">
        <v>6678</v>
      </c>
      <c r="AP49" s="76"/>
      <c r="AQ49" s="76"/>
      <c r="AR49" s="76"/>
      <c r="AS49" s="76"/>
      <c r="AT49" s="76"/>
      <c r="AU49" s="76"/>
      <c r="AV49" s="76">
        <v>1.43026997391879E+18</v>
      </c>
      <c r="AW49" s="76"/>
      <c r="AX49" s="76" t="b">
        <v>0</v>
      </c>
      <c r="AY49" s="76"/>
      <c r="AZ49" s="76"/>
      <c r="BA49" s="76" t="b">
        <v>1</v>
      </c>
      <c r="BB49" s="76" t="b">
        <v>1</v>
      </c>
      <c r="BC49" s="76" t="b">
        <v>0</v>
      </c>
      <c r="BD49" s="76" t="b">
        <v>0</v>
      </c>
      <c r="BE49" s="76" t="b">
        <v>0</v>
      </c>
      <c r="BF49" s="76" t="b">
        <v>0</v>
      </c>
      <c r="BG49" s="76" t="b">
        <v>0</v>
      </c>
      <c r="BH49" s="82" t="str">
        <f>HYPERLINK("https://pbs.twimg.com/profile_banners/257294613/1639943807")</f>
        <v>https://pbs.twimg.com/profile_banners/257294613/1639943807</v>
      </c>
      <c r="BI49" s="76"/>
      <c r="BJ49" s="76" t="s">
        <v>7188</v>
      </c>
      <c r="BK49" s="76" t="b">
        <v>0</v>
      </c>
      <c r="BL49" s="76"/>
      <c r="BM49" s="76" t="s">
        <v>66</v>
      </c>
      <c r="BN49" s="76" t="s">
        <v>7190</v>
      </c>
      <c r="BO49" s="82" t="str">
        <f>HYPERLINK("https://twitter.com/coopsgreenteam")</f>
        <v>https://twitter.com/coopsgreenteam</v>
      </c>
      <c r="BP49" s="46"/>
      <c r="BQ49" s="46"/>
      <c r="BR49" s="46"/>
      <c r="BS49" s="46"/>
      <c r="BT49" s="46"/>
      <c r="BU49" s="46"/>
      <c r="BV49" s="105" t="s">
        <v>7806</v>
      </c>
      <c r="BW49" s="105" t="s">
        <v>7806</v>
      </c>
      <c r="BX49" s="105" t="s">
        <v>8037</v>
      </c>
      <c r="BY49" s="105" t="s">
        <v>8037</v>
      </c>
      <c r="BZ49" s="2"/>
    </row>
    <row r="50" spans="1:78" ht="15">
      <c r="A50" s="62" t="s">
        <v>249</v>
      </c>
      <c r="B50" s="63"/>
      <c r="C50" s="63"/>
      <c r="D50" s="64"/>
      <c r="E50" s="66"/>
      <c r="F50" s="100" t="str">
        <f>HYPERLINK("https://pbs.twimg.com/profile_images/3151993004/9e73269faab0ce782dd7dce36b95c1f8_normal.jpeg")</f>
        <v>https://pbs.twimg.com/profile_images/3151993004/9e73269faab0ce782dd7dce36b95c1f8_normal.jpeg</v>
      </c>
      <c r="G50" s="63"/>
      <c r="H50" s="67"/>
      <c r="I50" s="68"/>
      <c r="J50" s="68"/>
      <c r="K50" s="67" t="s">
        <v>7237</v>
      </c>
      <c r="L50" s="71"/>
      <c r="M50" s="72">
        <v>1602.9161376953125</v>
      </c>
      <c r="N50" s="72">
        <v>9610.1181640625</v>
      </c>
      <c r="O50" s="73"/>
      <c r="P50" s="74"/>
      <c r="Q50" s="74"/>
      <c r="R50" s="86"/>
      <c r="S50" s="46">
        <v>1</v>
      </c>
      <c r="T50" s="46">
        <v>3</v>
      </c>
      <c r="U50" s="47">
        <v>350</v>
      </c>
      <c r="V50" s="47">
        <v>0.215725</v>
      </c>
      <c r="W50" s="47">
        <v>0.068642</v>
      </c>
      <c r="X50" s="47">
        <v>0.003041</v>
      </c>
      <c r="Y50" s="47">
        <v>0</v>
      </c>
      <c r="Z50" s="47">
        <v>0</v>
      </c>
      <c r="AA50" s="69">
        <v>50</v>
      </c>
      <c r="AB50" s="69"/>
      <c r="AC50" s="70"/>
      <c r="AD50" s="76" t="s">
        <v>5918</v>
      </c>
      <c r="AE50" s="83" t="s">
        <v>5727</v>
      </c>
      <c r="AF50" s="76">
        <v>15</v>
      </c>
      <c r="AG50" s="76">
        <v>14</v>
      </c>
      <c r="AH50" s="76">
        <v>69</v>
      </c>
      <c r="AI50" s="76">
        <v>0</v>
      </c>
      <c r="AJ50" s="76">
        <v>21</v>
      </c>
      <c r="AK50" s="76">
        <v>6</v>
      </c>
      <c r="AL50" s="76" t="b">
        <v>0</v>
      </c>
      <c r="AM50" s="78">
        <v>40527.22754629629</v>
      </c>
      <c r="AN50" s="76" t="s">
        <v>6486</v>
      </c>
      <c r="AO50" s="76" t="s">
        <v>6679</v>
      </c>
      <c r="AP50" s="76"/>
      <c r="AQ50" s="76"/>
      <c r="AR50" s="76"/>
      <c r="AS50" s="76"/>
      <c r="AT50" s="76"/>
      <c r="AU50" s="76"/>
      <c r="AV50" s="76"/>
      <c r="AW50" s="76"/>
      <c r="AX50" s="76" t="b">
        <v>0</v>
      </c>
      <c r="AY50" s="76" t="b">
        <v>1</v>
      </c>
      <c r="AZ50" s="76"/>
      <c r="BA50" s="76" t="b">
        <v>1</v>
      </c>
      <c r="BB50" s="76" t="b">
        <v>1</v>
      </c>
      <c r="BC50" s="76" t="b">
        <v>1</v>
      </c>
      <c r="BD50" s="76" t="b">
        <v>0</v>
      </c>
      <c r="BE50" s="76" t="b">
        <v>0</v>
      </c>
      <c r="BF50" s="76" t="b">
        <v>0</v>
      </c>
      <c r="BG50" s="76" t="b">
        <v>0</v>
      </c>
      <c r="BH50" s="76"/>
      <c r="BI50" s="76"/>
      <c r="BJ50" s="76" t="s">
        <v>7188</v>
      </c>
      <c r="BK50" s="76" t="b">
        <v>0</v>
      </c>
      <c r="BL50" s="76"/>
      <c r="BM50" s="76" t="s">
        <v>66</v>
      </c>
      <c r="BN50" s="76" t="s">
        <v>7190</v>
      </c>
      <c r="BO50" s="82" t="str">
        <f>HYPERLINK("https://twitter.com/rameshdudala")</f>
        <v>https://twitter.com/rameshdudala</v>
      </c>
      <c r="BP50" s="46" t="s">
        <v>7610</v>
      </c>
      <c r="BQ50" s="46" t="s">
        <v>7689</v>
      </c>
      <c r="BR50" s="46" t="s">
        <v>1982</v>
      </c>
      <c r="BS50" s="46" t="s">
        <v>1982</v>
      </c>
      <c r="BT50" s="46"/>
      <c r="BU50" s="46"/>
      <c r="BV50" s="105" t="s">
        <v>7807</v>
      </c>
      <c r="BW50" s="105" t="s">
        <v>7979</v>
      </c>
      <c r="BX50" s="105" t="s">
        <v>8038</v>
      </c>
      <c r="BY50" s="105" t="s">
        <v>8207</v>
      </c>
      <c r="BZ50" s="2"/>
    </row>
    <row r="51" spans="1:78" ht="15">
      <c r="A51" s="62" t="s">
        <v>440</v>
      </c>
      <c r="B51" s="63"/>
      <c r="C51" s="63"/>
      <c r="D51" s="64"/>
      <c r="E51" s="66"/>
      <c r="F51" s="100" t="str">
        <f>HYPERLINK("https://pbs.twimg.com/profile_images/556279877343531008/684Bl2lh_normal.png")</f>
        <v>https://pbs.twimg.com/profile_images/556279877343531008/684Bl2lh_normal.png</v>
      </c>
      <c r="G51" s="63"/>
      <c r="H51" s="67"/>
      <c r="I51" s="68"/>
      <c r="J51" s="68"/>
      <c r="K51" s="67" t="s">
        <v>7238</v>
      </c>
      <c r="L51" s="71"/>
      <c r="M51" s="72">
        <v>1629.555908203125</v>
      </c>
      <c r="N51" s="72">
        <v>9610.1181640625</v>
      </c>
      <c r="O51" s="73"/>
      <c r="P51" s="74"/>
      <c r="Q51" s="74"/>
      <c r="R51" s="86"/>
      <c r="S51" s="46">
        <v>1</v>
      </c>
      <c r="T51" s="46">
        <v>0</v>
      </c>
      <c r="U51" s="47">
        <v>0</v>
      </c>
      <c r="V51" s="47">
        <v>0.151739</v>
      </c>
      <c r="W51" s="47">
        <v>0.006078</v>
      </c>
      <c r="X51" s="47">
        <v>0.002602</v>
      </c>
      <c r="Y51" s="47">
        <v>0</v>
      </c>
      <c r="Z51" s="47">
        <v>0</v>
      </c>
      <c r="AA51" s="69">
        <v>51</v>
      </c>
      <c r="AB51" s="69"/>
      <c r="AC51" s="70"/>
      <c r="AD51" s="76" t="s">
        <v>5919</v>
      </c>
      <c r="AE51" s="83" t="s">
        <v>6236</v>
      </c>
      <c r="AF51" s="76">
        <v>4175</v>
      </c>
      <c r="AG51" s="76">
        <v>11</v>
      </c>
      <c r="AH51" s="76">
        <v>264</v>
      </c>
      <c r="AI51" s="76">
        <v>154</v>
      </c>
      <c r="AJ51" s="76">
        <v>0</v>
      </c>
      <c r="AK51" s="76">
        <v>0</v>
      </c>
      <c r="AL51" s="76" t="b">
        <v>0</v>
      </c>
      <c r="AM51" s="78">
        <v>40006.38643518519</v>
      </c>
      <c r="AN51" s="76" t="s">
        <v>3889</v>
      </c>
      <c r="AO51" s="76" t="s">
        <v>6680</v>
      </c>
      <c r="AP51" s="82" t="str">
        <f>HYPERLINK("http://t.co/doDmbjXvUZ")</f>
        <v>http://t.co/doDmbjXvUZ</v>
      </c>
      <c r="AQ51" s="82" t="str">
        <f>HYPERLINK("http://www.bloggerplugins.org")</f>
        <v>http://www.bloggerplugins.org</v>
      </c>
      <c r="AR51" s="76" t="s">
        <v>6967</v>
      </c>
      <c r="AS51" s="76"/>
      <c r="AT51" s="76"/>
      <c r="AU51" s="76"/>
      <c r="AV51" s="76"/>
      <c r="AW51" s="82" t="str">
        <f>HYPERLINK("http://t.co/doDmbjXvUZ")</f>
        <v>http://t.co/doDmbjXvUZ</v>
      </c>
      <c r="AX51" s="76" t="b">
        <v>0</v>
      </c>
      <c r="AY51" s="76"/>
      <c r="AZ51" s="76"/>
      <c r="BA51" s="76" t="b">
        <v>0</v>
      </c>
      <c r="BB51" s="76" t="b">
        <v>1</v>
      </c>
      <c r="BC51" s="76" t="b">
        <v>0</v>
      </c>
      <c r="BD51" s="76" t="b">
        <v>0</v>
      </c>
      <c r="BE51" s="76" t="b">
        <v>0</v>
      </c>
      <c r="BF51" s="76" t="b">
        <v>0</v>
      </c>
      <c r="BG51" s="76" t="b">
        <v>0</v>
      </c>
      <c r="BH51" s="82" t="str">
        <f>HYPERLINK("https://pbs.twimg.com/profile_banners/56056293/1421462368")</f>
        <v>https://pbs.twimg.com/profile_banners/56056293/1421462368</v>
      </c>
      <c r="BI51" s="76"/>
      <c r="BJ51" s="76" t="s">
        <v>7188</v>
      </c>
      <c r="BK51" s="76" t="b">
        <v>0</v>
      </c>
      <c r="BL51" s="76"/>
      <c r="BM51" s="76" t="s">
        <v>65</v>
      </c>
      <c r="BN51" s="76" t="s">
        <v>7190</v>
      </c>
      <c r="BO51" s="82" t="str">
        <f>HYPERLINK("https://twitter.com/bloggerplugins")</f>
        <v>https://twitter.com/bloggerplugins</v>
      </c>
      <c r="BP51" s="46"/>
      <c r="BQ51" s="46"/>
      <c r="BR51" s="46"/>
      <c r="BS51" s="46"/>
      <c r="BT51" s="46"/>
      <c r="BU51" s="46"/>
      <c r="BV51" s="46"/>
      <c r="BW51" s="46"/>
      <c r="BX51" s="46"/>
      <c r="BY51" s="46"/>
      <c r="BZ51" s="2"/>
    </row>
    <row r="52" spans="1:78" ht="15">
      <c r="A52" s="62" t="s">
        <v>250</v>
      </c>
      <c r="B52" s="63"/>
      <c r="C52" s="63"/>
      <c r="D52" s="64"/>
      <c r="E52" s="66"/>
      <c r="F52" s="100" t="str">
        <f>HYPERLINK("https://pbs.twimg.com/profile_images/1164488558058409984/rNvgE-GL_normal.jpg")</f>
        <v>https://pbs.twimg.com/profile_images/1164488558058409984/rNvgE-GL_normal.jpg</v>
      </c>
      <c r="G52" s="63"/>
      <c r="H52" s="67"/>
      <c r="I52" s="68"/>
      <c r="J52" s="68"/>
      <c r="K52" s="67" t="s">
        <v>7239</v>
      </c>
      <c r="L52" s="71"/>
      <c r="M52" s="72">
        <v>1656.1959228515625</v>
      </c>
      <c r="N52" s="72">
        <v>9610.1181640625</v>
      </c>
      <c r="O52" s="73"/>
      <c r="P52" s="74"/>
      <c r="Q52" s="74"/>
      <c r="R52" s="86"/>
      <c r="S52" s="46">
        <v>1</v>
      </c>
      <c r="T52" s="46">
        <v>1</v>
      </c>
      <c r="U52" s="47">
        <v>0</v>
      </c>
      <c r="V52" s="47">
        <v>0</v>
      </c>
      <c r="W52" s="47">
        <v>0</v>
      </c>
      <c r="X52" s="47">
        <v>0.002882</v>
      </c>
      <c r="Y52" s="47">
        <v>0</v>
      </c>
      <c r="Z52" s="47">
        <v>0</v>
      </c>
      <c r="AA52" s="69">
        <v>52</v>
      </c>
      <c r="AB52" s="69"/>
      <c r="AC52" s="70"/>
      <c r="AD52" s="76" t="s">
        <v>5920</v>
      </c>
      <c r="AE52" s="83" t="s">
        <v>5793</v>
      </c>
      <c r="AF52" s="76">
        <v>5</v>
      </c>
      <c r="AG52" s="76">
        <v>12</v>
      </c>
      <c r="AH52" s="76">
        <v>22</v>
      </c>
      <c r="AI52" s="76">
        <v>1</v>
      </c>
      <c r="AJ52" s="76">
        <v>0</v>
      </c>
      <c r="AK52" s="76">
        <v>3</v>
      </c>
      <c r="AL52" s="76" t="b">
        <v>0</v>
      </c>
      <c r="AM52" s="78">
        <v>43697.211597222224</v>
      </c>
      <c r="AN52" s="76"/>
      <c r="AO52" s="76" t="s">
        <v>6681</v>
      </c>
      <c r="AP52" s="76"/>
      <c r="AQ52" s="76"/>
      <c r="AR52" s="76"/>
      <c r="AS52" s="76"/>
      <c r="AT52" s="76"/>
      <c r="AU52" s="76"/>
      <c r="AV52" s="76"/>
      <c r="AW52" s="76"/>
      <c r="AX52" s="76" t="b">
        <v>0</v>
      </c>
      <c r="AY52" s="76"/>
      <c r="AZ52" s="76"/>
      <c r="BA52" s="76" t="b">
        <v>0</v>
      </c>
      <c r="BB52" s="76" t="b">
        <v>1</v>
      </c>
      <c r="BC52" s="76" t="b">
        <v>1</v>
      </c>
      <c r="BD52" s="76" t="b">
        <v>0</v>
      </c>
      <c r="BE52" s="76" t="b">
        <v>0</v>
      </c>
      <c r="BF52" s="76" t="b">
        <v>0</v>
      </c>
      <c r="BG52" s="76" t="b">
        <v>0</v>
      </c>
      <c r="BH52" s="76"/>
      <c r="BI52" s="76"/>
      <c r="BJ52" s="76" t="s">
        <v>7188</v>
      </c>
      <c r="BK52" s="76" t="b">
        <v>0</v>
      </c>
      <c r="BL52" s="76"/>
      <c r="BM52" s="76" t="s">
        <v>66</v>
      </c>
      <c r="BN52" s="76" t="s">
        <v>7190</v>
      </c>
      <c r="BO52" s="82" t="str">
        <f>HYPERLINK("https://twitter.com/mahasri25080194")</f>
        <v>https://twitter.com/mahasri25080194</v>
      </c>
      <c r="BP52" s="46" t="s">
        <v>7611</v>
      </c>
      <c r="BQ52" s="46" t="s">
        <v>7690</v>
      </c>
      <c r="BR52" s="46" t="s">
        <v>7710</v>
      </c>
      <c r="BS52" s="46" t="s">
        <v>7720</v>
      </c>
      <c r="BT52" s="46" t="s">
        <v>7733</v>
      </c>
      <c r="BU52" s="46" t="s">
        <v>7752</v>
      </c>
      <c r="BV52" s="105" t="s">
        <v>7808</v>
      </c>
      <c r="BW52" s="105" t="s">
        <v>7980</v>
      </c>
      <c r="BX52" s="105" t="s">
        <v>8039</v>
      </c>
      <c r="BY52" s="105" t="s">
        <v>8208</v>
      </c>
      <c r="BZ52" s="2"/>
    </row>
    <row r="53" spans="1:78" ht="15">
      <c r="A53" s="62" t="s">
        <v>251</v>
      </c>
      <c r="B53" s="63"/>
      <c r="C53" s="63"/>
      <c r="D53" s="64"/>
      <c r="E53" s="66"/>
      <c r="F53" s="100" t="str">
        <f>HYPERLINK("https://pbs.twimg.com/profile_images/1477934974644805632/NppysaQN_normal.jpg")</f>
        <v>https://pbs.twimg.com/profile_images/1477934974644805632/NppysaQN_normal.jpg</v>
      </c>
      <c r="G53" s="63"/>
      <c r="H53" s="67"/>
      <c r="I53" s="68"/>
      <c r="J53" s="68"/>
      <c r="K53" s="67" t="s">
        <v>7240</v>
      </c>
      <c r="L53" s="71"/>
      <c r="M53" s="72">
        <v>1682.835693359375</v>
      </c>
      <c r="N53" s="72">
        <v>9610.1181640625</v>
      </c>
      <c r="O53" s="73"/>
      <c r="P53" s="74"/>
      <c r="Q53" s="74"/>
      <c r="R53" s="86"/>
      <c r="S53" s="46">
        <v>1</v>
      </c>
      <c r="T53" s="46">
        <v>2</v>
      </c>
      <c r="U53" s="47">
        <v>0</v>
      </c>
      <c r="V53" s="47">
        <v>0.214691</v>
      </c>
      <c r="W53" s="47">
        <v>0.068052</v>
      </c>
      <c r="X53" s="47">
        <v>0.002702</v>
      </c>
      <c r="Y53" s="47">
        <v>0</v>
      </c>
      <c r="Z53" s="47">
        <v>0</v>
      </c>
      <c r="AA53" s="69">
        <v>53</v>
      </c>
      <c r="AB53" s="69"/>
      <c r="AC53" s="70"/>
      <c r="AD53" s="76" t="s">
        <v>5921</v>
      </c>
      <c r="AE53" s="83" t="s">
        <v>6237</v>
      </c>
      <c r="AF53" s="76">
        <v>3357</v>
      </c>
      <c r="AG53" s="76">
        <v>2606</v>
      </c>
      <c r="AH53" s="76">
        <v>11639</v>
      </c>
      <c r="AI53" s="76">
        <v>131</v>
      </c>
      <c r="AJ53" s="76">
        <v>5605</v>
      </c>
      <c r="AK53" s="76">
        <v>8399</v>
      </c>
      <c r="AL53" s="76" t="b">
        <v>0</v>
      </c>
      <c r="AM53" s="78">
        <v>42214.31775462963</v>
      </c>
      <c r="AN53" s="76"/>
      <c r="AO53" s="76" t="s">
        <v>6682</v>
      </c>
      <c r="AP53" s="82" t="str">
        <f>HYPERLINK("https://t.co/9A6VXMcl3w")</f>
        <v>https://t.co/9A6VXMcl3w</v>
      </c>
      <c r="AQ53" s="82" t="str">
        <f>HYPERLINK("https://www.goodfirms.co/")</f>
        <v>https://www.goodfirms.co/</v>
      </c>
      <c r="AR53" s="76" t="s">
        <v>6968</v>
      </c>
      <c r="AS53" s="76"/>
      <c r="AT53" s="76"/>
      <c r="AU53" s="76"/>
      <c r="AV53" s="76"/>
      <c r="AW53" s="82" t="str">
        <f>HYPERLINK("https://t.co/9A6VXMcl3w")</f>
        <v>https://t.co/9A6VXMcl3w</v>
      </c>
      <c r="AX53" s="76" t="b">
        <v>0</v>
      </c>
      <c r="AY53" s="76"/>
      <c r="AZ53" s="76"/>
      <c r="BA53" s="76" t="b">
        <v>0</v>
      </c>
      <c r="BB53" s="76" t="b">
        <v>1</v>
      </c>
      <c r="BC53" s="76" t="b">
        <v>0</v>
      </c>
      <c r="BD53" s="76" t="b">
        <v>0</v>
      </c>
      <c r="BE53" s="76" t="b">
        <v>1</v>
      </c>
      <c r="BF53" s="76" t="b">
        <v>0</v>
      </c>
      <c r="BG53" s="76" t="b">
        <v>0</v>
      </c>
      <c r="BH53" s="82" t="str">
        <f>HYPERLINK("https://pbs.twimg.com/profile_banners/3300294446/1682307548")</f>
        <v>https://pbs.twimg.com/profile_banners/3300294446/1682307548</v>
      </c>
      <c r="BI53" s="76"/>
      <c r="BJ53" s="76" t="s">
        <v>7188</v>
      </c>
      <c r="BK53" s="76" t="b">
        <v>0</v>
      </c>
      <c r="BL53" s="76"/>
      <c r="BM53" s="76" t="s">
        <v>66</v>
      </c>
      <c r="BN53" s="76" t="s">
        <v>7190</v>
      </c>
      <c r="BO53" s="82" t="str">
        <f>HYPERLINK("https://twitter.com/goodfirms")</f>
        <v>https://twitter.com/goodfirms</v>
      </c>
      <c r="BP53" s="46" t="s">
        <v>7612</v>
      </c>
      <c r="BQ53" s="46" t="s">
        <v>7612</v>
      </c>
      <c r="BR53" s="46" t="s">
        <v>1975</v>
      </c>
      <c r="BS53" s="46" t="s">
        <v>1975</v>
      </c>
      <c r="BT53" s="46" t="s">
        <v>1719</v>
      </c>
      <c r="BU53" s="46" t="s">
        <v>7753</v>
      </c>
      <c r="BV53" s="105" t="s">
        <v>7809</v>
      </c>
      <c r="BW53" s="105" t="s">
        <v>7809</v>
      </c>
      <c r="BX53" s="105" t="s">
        <v>8040</v>
      </c>
      <c r="BY53" s="105" t="s">
        <v>8040</v>
      </c>
      <c r="BZ53" s="2"/>
    </row>
    <row r="54" spans="1:78" ht="15">
      <c r="A54" s="62" t="s">
        <v>252</v>
      </c>
      <c r="B54" s="63"/>
      <c r="C54" s="63"/>
      <c r="D54" s="64"/>
      <c r="E54" s="66"/>
      <c r="F54" s="100" t="str">
        <f>HYPERLINK("https://pbs.twimg.com/profile_images/1610277897662771203/qqkeWNv9_normal.jpg")</f>
        <v>https://pbs.twimg.com/profile_images/1610277897662771203/qqkeWNv9_normal.jpg</v>
      </c>
      <c r="G54" s="63"/>
      <c r="H54" s="67"/>
      <c r="I54" s="68"/>
      <c r="J54" s="68"/>
      <c r="K54" s="67" t="s">
        <v>7241</v>
      </c>
      <c r="L54" s="71"/>
      <c r="M54" s="72">
        <v>1709.4757080078125</v>
      </c>
      <c r="N54" s="72">
        <v>9575.2998046875</v>
      </c>
      <c r="O54" s="73"/>
      <c r="P54" s="74"/>
      <c r="Q54" s="74"/>
      <c r="R54" s="86"/>
      <c r="S54" s="46">
        <v>0</v>
      </c>
      <c r="T54" s="46">
        <v>1</v>
      </c>
      <c r="U54" s="47">
        <v>0</v>
      </c>
      <c r="V54" s="47">
        <v>0.214691</v>
      </c>
      <c r="W54" s="47">
        <v>0.062026</v>
      </c>
      <c r="X54" s="47">
        <v>0.002499</v>
      </c>
      <c r="Y54" s="47">
        <v>0</v>
      </c>
      <c r="Z54" s="47">
        <v>0</v>
      </c>
      <c r="AA54" s="69">
        <v>54</v>
      </c>
      <c r="AB54" s="69"/>
      <c r="AC54" s="70"/>
      <c r="AD54" s="76" t="s">
        <v>5922</v>
      </c>
      <c r="AE54" s="83" t="s">
        <v>6238</v>
      </c>
      <c r="AF54" s="76">
        <v>147</v>
      </c>
      <c r="AG54" s="76">
        <v>423</v>
      </c>
      <c r="AH54" s="76">
        <v>950</v>
      </c>
      <c r="AI54" s="76">
        <v>1</v>
      </c>
      <c r="AJ54" s="76">
        <v>287</v>
      </c>
      <c r="AK54" s="76">
        <v>119</v>
      </c>
      <c r="AL54" s="76" t="b">
        <v>0</v>
      </c>
      <c r="AM54" s="78">
        <v>39985.26834490741</v>
      </c>
      <c r="AN54" s="76" t="s">
        <v>6487</v>
      </c>
      <c r="AO54" s="76" t="s">
        <v>6683</v>
      </c>
      <c r="AP54" s="82" t="str">
        <f>HYPERLINK("https://t.co/am2K7JphiV")</f>
        <v>https://t.co/am2K7JphiV</v>
      </c>
      <c r="AQ54" s="82" t="str">
        <f>HYPERLINK("http://www.facebook.com/Navvuko")</f>
        <v>http://www.facebook.com/Navvuko</v>
      </c>
      <c r="AR54" s="76" t="s">
        <v>6969</v>
      </c>
      <c r="AS54" s="76"/>
      <c r="AT54" s="76"/>
      <c r="AU54" s="76"/>
      <c r="AV54" s="76">
        <v>1.70418932096449E+18</v>
      </c>
      <c r="AW54" s="82" t="str">
        <f>HYPERLINK("https://t.co/am2K7JphiV")</f>
        <v>https://t.co/am2K7JphiV</v>
      </c>
      <c r="AX54" s="76" t="b">
        <v>0</v>
      </c>
      <c r="AY54" s="76" t="b">
        <v>1</v>
      </c>
      <c r="AZ54" s="76"/>
      <c r="BA54" s="76" t="b">
        <v>1</v>
      </c>
      <c r="BB54" s="76" t="b">
        <v>1</v>
      </c>
      <c r="BC54" s="76" t="b">
        <v>1</v>
      </c>
      <c r="BD54" s="76" t="b">
        <v>0</v>
      </c>
      <c r="BE54" s="76" t="b">
        <v>1</v>
      </c>
      <c r="BF54" s="76" t="b">
        <v>0</v>
      </c>
      <c r="BG54" s="76" t="b">
        <v>0</v>
      </c>
      <c r="BH54" s="82" t="str">
        <f>HYPERLINK("https://pbs.twimg.com/profile_banners/49252261/1426826632")</f>
        <v>https://pbs.twimg.com/profile_banners/49252261/1426826632</v>
      </c>
      <c r="BI54" s="76"/>
      <c r="BJ54" s="76" t="s">
        <v>7188</v>
      </c>
      <c r="BK54" s="76" t="b">
        <v>0</v>
      </c>
      <c r="BL54" s="76"/>
      <c r="BM54" s="76" t="s">
        <v>66</v>
      </c>
      <c r="BN54" s="76" t="s">
        <v>7190</v>
      </c>
      <c r="BO54" s="82" t="str">
        <f>HYPERLINK("https://twitter.com/sumanthch")</f>
        <v>https://twitter.com/sumanthch</v>
      </c>
      <c r="BP54" s="46"/>
      <c r="BQ54" s="46"/>
      <c r="BR54" s="46"/>
      <c r="BS54" s="46"/>
      <c r="BT54" s="46"/>
      <c r="BU54" s="46"/>
      <c r="BV54" s="105" t="s">
        <v>5773</v>
      </c>
      <c r="BW54" s="105" t="s">
        <v>5773</v>
      </c>
      <c r="BX54" s="105" t="s">
        <v>5773</v>
      </c>
      <c r="BY54" s="105" t="s">
        <v>5773</v>
      </c>
      <c r="BZ54" s="2"/>
    </row>
    <row r="55" spans="1:78" ht="15">
      <c r="A55" s="62" t="s">
        <v>253</v>
      </c>
      <c r="B55" s="63"/>
      <c r="C55" s="63"/>
      <c r="D55" s="64"/>
      <c r="E55" s="66"/>
      <c r="F55" s="100" t="str">
        <f>HYPERLINK("https://pbs.twimg.com/profile_images/1096798373053677568/JEx-BSQM_normal.png")</f>
        <v>https://pbs.twimg.com/profile_images/1096798373053677568/JEx-BSQM_normal.png</v>
      </c>
      <c r="G55" s="63"/>
      <c r="H55" s="67"/>
      <c r="I55" s="68"/>
      <c r="J55" s="68"/>
      <c r="K55" s="67" t="s">
        <v>7242</v>
      </c>
      <c r="L55" s="71"/>
      <c r="M55" s="72">
        <v>1736.115478515625</v>
      </c>
      <c r="N55" s="72">
        <v>9527.533203125</v>
      </c>
      <c r="O55" s="73"/>
      <c r="P55" s="74"/>
      <c r="Q55" s="74"/>
      <c r="R55" s="86"/>
      <c r="S55" s="46">
        <v>0</v>
      </c>
      <c r="T55" s="46">
        <v>3</v>
      </c>
      <c r="U55" s="47">
        <v>74</v>
      </c>
      <c r="V55" s="47">
        <v>0.022668</v>
      </c>
      <c r="W55" s="47">
        <v>0</v>
      </c>
      <c r="X55" s="47">
        <v>0.003357</v>
      </c>
      <c r="Y55" s="47">
        <v>0</v>
      </c>
      <c r="Z55" s="47">
        <v>0</v>
      </c>
      <c r="AA55" s="69">
        <v>55</v>
      </c>
      <c r="AB55" s="69"/>
      <c r="AC55" s="70"/>
      <c r="AD55" s="76" t="s">
        <v>5923</v>
      </c>
      <c r="AE55" s="83" t="s">
        <v>6239</v>
      </c>
      <c r="AF55" s="76">
        <v>2846</v>
      </c>
      <c r="AG55" s="76">
        <v>1419</v>
      </c>
      <c r="AH55" s="76">
        <v>22858</v>
      </c>
      <c r="AI55" s="76">
        <v>167</v>
      </c>
      <c r="AJ55" s="76">
        <v>5351</v>
      </c>
      <c r="AK55" s="76">
        <v>1289</v>
      </c>
      <c r="AL55" s="76" t="b">
        <v>0</v>
      </c>
      <c r="AM55" s="78">
        <v>40629.719247685185</v>
      </c>
      <c r="AN55" s="76" t="s">
        <v>6488</v>
      </c>
      <c r="AO55" s="76" t="s">
        <v>6684</v>
      </c>
      <c r="AP55" s="82" t="str">
        <f>HYPERLINK("https://t.co/WViFKeRdsK")</f>
        <v>https://t.co/WViFKeRdsK</v>
      </c>
      <c r="AQ55" s="82" t="str">
        <f>HYPERLINK("http://www.fcmmedia.co.uk")</f>
        <v>http://www.fcmmedia.co.uk</v>
      </c>
      <c r="AR55" s="76" t="s">
        <v>6970</v>
      </c>
      <c r="AS55" s="76"/>
      <c r="AT55" s="76"/>
      <c r="AU55" s="76"/>
      <c r="AV55" s="76"/>
      <c r="AW55" s="82" t="str">
        <f>HYPERLINK("https://t.co/WViFKeRdsK")</f>
        <v>https://t.co/WViFKeRdsK</v>
      </c>
      <c r="AX55" s="76" t="b">
        <v>0</v>
      </c>
      <c r="AY55" s="76"/>
      <c r="AZ55" s="76"/>
      <c r="BA55" s="76" t="b">
        <v>0</v>
      </c>
      <c r="BB55" s="76" t="b">
        <v>1</v>
      </c>
      <c r="BC55" s="76" t="b">
        <v>0</v>
      </c>
      <c r="BD55" s="76" t="b">
        <v>0</v>
      </c>
      <c r="BE55" s="76" t="b">
        <v>1</v>
      </c>
      <c r="BF55" s="76" t="b">
        <v>0</v>
      </c>
      <c r="BG55" s="76" t="b">
        <v>0</v>
      </c>
      <c r="BH55" s="82" t="str">
        <f>HYPERLINK("https://pbs.twimg.com/profile_banners/273018943/1550332387")</f>
        <v>https://pbs.twimg.com/profile_banners/273018943/1550332387</v>
      </c>
      <c r="BI55" s="76"/>
      <c r="BJ55" s="76" t="s">
        <v>7188</v>
      </c>
      <c r="BK55" s="76" t="b">
        <v>0</v>
      </c>
      <c r="BL55" s="76"/>
      <c r="BM55" s="76" t="s">
        <v>66</v>
      </c>
      <c r="BN55" s="76" t="s">
        <v>7190</v>
      </c>
      <c r="BO55" s="82" t="str">
        <f>HYPERLINK("https://twitter.com/fcmtaryn")</f>
        <v>https://twitter.com/fcmtaryn</v>
      </c>
      <c r="BP55" s="46"/>
      <c r="BQ55" s="46"/>
      <c r="BR55" s="46"/>
      <c r="BS55" s="46"/>
      <c r="BT55" s="46" t="s">
        <v>1720</v>
      </c>
      <c r="BU55" s="46" t="s">
        <v>1720</v>
      </c>
      <c r="BV55" s="105" t="s">
        <v>7810</v>
      </c>
      <c r="BW55" s="105" t="s">
        <v>7810</v>
      </c>
      <c r="BX55" s="105" t="s">
        <v>8041</v>
      </c>
      <c r="BY55" s="105" t="s">
        <v>8041</v>
      </c>
      <c r="BZ55" s="2"/>
    </row>
    <row r="56" spans="1:78" ht="15">
      <c r="A56" s="62" t="s">
        <v>441</v>
      </c>
      <c r="B56" s="63"/>
      <c r="C56" s="63"/>
      <c r="D56" s="64"/>
      <c r="E56" s="66"/>
      <c r="F56" s="100" t="str">
        <f>HYPERLINK("https://pbs.twimg.com/profile_images/1045015172870524928/q8OxISAI_normal.jpg")</f>
        <v>https://pbs.twimg.com/profile_images/1045015172870524928/q8OxISAI_normal.jpg</v>
      </c>
      <c r="G56" s="63"/>
      <c r="H56" s="67"/>
      <c r="I56" s="68"/>
      <c r="J56" s="68"/>
      <c r="K56" s="67" t="s">
        <v>7243</v>
      </c>
      <c r="L56" s="71"/>
      <c r="M56" s="72">
        <v>1762.7552490234375</v>
      </c>
      <c r="N56" s="72">
        <v>9473.8955078125</v>
      </c>
      <c r="O56" s="73"/>
      <c r="P56" s="74"/>
      <c r="Q56" s="74"/>
      <c r="R56" s="86"/>
      <c r="S56" s="46">
        <v>1</v>
      </c>
      <c r="T56" s="46">
        <v>0</v>
      </c>
      <c r="U56" s="47">
        <v>0</v>
      </c>
      <c r="V56" s="47">
        <v>0.016515</v>
      </c>
      <c r="W56" s="47">
        <v>0</v>
      </c>
      <c r="X56" s="47">
        <v>0.002617</v>
      </c>
      <c r="Y56" s="47">
        <v>0</v>
      </c>
      <c r="Z56" s="47">
        <v>0</v>
      </c>
      <c r="AA56" s="69">
        <v>56</v>
      </c>
      <c r="AB56" s="69"/>
      <c r="AC56" s="70"/>
      <c r="AD56" s="76" t="s">
        <v>5924</v>
      </c>
      <c r="AE56" s="83" t="s">
        <v>6240</v>
      </c>
      <c r="AF56" s="76">
        <v>49936</v>
      </c>
      <c r="AG56" s="76">
        <v>31185</v>
      </c>
      <c r="AH56" s="76">
        <v>92734</v>
      </c>
      <c r="AI56" s="76">
        <v>2616</v>
      </c>
      <c r="AJ56" s="76">
        <v>51444</v>
      </c>
      <c r="AK56" s="76">
        <v>9747</v>
      </c>
      <c r="AL56" s="76" t="b">
        <v>0</v>
      </c>
      <c r="AM56" s="78">
        <v>41515.82203703704</v>
      </c>
      <c r="AN56" s="76" t="s">
        <v>6489</v>
      </c>
      <c r="AO56" s="76" t="s">
        <v>6685</v>
      </c>
      <c r="AP56" s="82" t="str">
        <f>HYPERLINK("https://t.co/llw7C2cqeX")</f>
        <v>https://t.co/llw7C2cqeX</v>
      </c>
      <c r="AQ56" s="82" t="str">
        <f>HYPERLINK("http://digitalcheerleader.com/")</f>
        <v>http://digitalcheerleader.com/</v>
      </c>
      <c r="AR56" s="76" t="s">
        <v>6971</v>
      </c>
      <c r="AS56" s="76"/>
      <c r="AT56" s="76"/>
      <c r="AU56" s="76"/>
      <c r="AV56" s="76">
        <v>1.04289389108577E+18</v>
      </c>
      <c r="AW56" s="82" t="str">
        <f>HYPERLINK("https://t.co/llw7C2cqeX")</f>
        <v>https://t.co/llw7C2cqeX</v>
      </c>
      <c r="AX56" s="76" t="b">
        <v>0</v>
      </c>
      <c r="AY56" s="76"/>
      <c r="AZ56" s="76"/>
      <c r="BA56" s="76" t="b">
        <v>0</v>
      </c>
      <c r="BB56" s="76" t="b">
        <v>0</v>
      </c>
      <c r="BC56" s="76" t="b">
        <v>0</v>
      </c>
      <c r="BD56" s="76" t="b">
        <v>0</v>
      </c>
      <c r="BE56" s="76" t="b">
        <v>1</v>
      </c>
      <c r="BF56" s="76" t="b">
        <v>0</v>
      </c>
      <c r="BG56" s="76" t="b">
        <v>0</v>
      </c>
      <c r="BH56" s="82" t="str">
        <f>HYPERLINK("https://pbs.twimg.com/profile_banners/1710801594/1427211827")</f>
        <v>https://pbs.twimg.com/profile_banners/1710801594/1427211827</v>
      </c>
      <c r="BI56" s="76"/>
      <c r="BJ56" s="76" t="s">
        <v>7188</v>
      </c>
      <c r="BK56" s="76" t="b">
        <v>0</v>
      </c>
      <c r="BL56" s="76"/>
      <c r="BM56" s="76" t="s">
        <v>65</v>
      </c>
      <c r="BN56" s="76" t="s">
        <v>7190</v>
      </c>
      <c r="BO56" s="82" t="str">
        <f>HYPERLINK("https://twitter.com/christinkardos")</f>
        <v>https://twitter.com/christinkardos</v>
      </c>
      <c r="BP56" s="46"/>
      <c r="BQ56" s="46"/>
      <c r="BR56" s="46"/>
      <c r="BS56" s="46"/>
      <c r="BT56" s="46"/>
      <c r="BU56" s="46"/>
      <c r="BV56" s="46"/>
      <c r="BW56" s="46"/>
      <c r="BX56" s="46"/>
      <c r="BY56" s="46"/>
      <c r="BZ56" s="2"/>
    </row>
    <row r="57" spans="1:78" ht="15">
      <c r="A57" s="62" t="s">
        <v>442</v>
      </c>
      <c r="B57" s="63"/>
      <c r="C57" s="63"/>
      <c r="D57" s="64"/>
      <c r="E57" s="66"/>
      <c r="F57" s="100" t="str">
        <f>HYPERLINK("https://pbs.twimg.com/profile_images/1366478985161564161/Amcin-ln_normal.jpg")</f>
        <v>https://pbs.twimg.com/profile_images/1366478985161564161/Amcin-ln_normal.jpg</v>
      </c>
      <c r="G57" s="63"/>
      <c r="H57" s="67"/>
      <c r="I57" s="68"/>
      <c r="J57" s="68"/>
      <c r="K57" s="67" t="s">
        <v>7244</v>
      </c>
      <c r="L57" s="71"/>
      <c r="M57" s="72">
        <v>1789.395263671875</v>
      </c>
      <c r="N57" s="72">
        <v>9414.458984375</v>
      </c>
      <c r="O57" s="73"/>
      <c r="P57" s="74"/>
      <c r="Q57" s="74"/>
      <c r="R57" s="86"/>
      <c r="S57" s="46">
        <v>1</v>
      </c>
      <c r="T57" s="46">
        <v>0</v>
      </c>
      <c r="U57" s="47">
        <v>0</v>
      </c>
      <c r="V57" s="47">
        <v>0.016515</v>
      </c>
      <c r="W57" s="47">
        <v>0</v>
      </c>
      <c r="X57" s="47">
        <v>0.002617</v>
      </c>
      <c r="Y57" s="47">
        <v>0</v>
      </c>
      <c r="Z57" s="47">
        <v>0</v>
      </c>
      <c r="AA57" s="69">
        <v>57</v>
      </c>
      <c r="AB57" s="69"/>
      <c r="AC57" s="70"/>
      <c r="AD57" s="76" t="s">
        <v>5925</v>
      </c>
      <c r="AE57" s="83" t="s">
        <v>6241</v>
      </c>
      <c r="AF57" s="76">
        <v>35526</v>
      </c>
      <c r="AG57" s="76">
        <v>20094</v>
      </c>
      <c r="AH57" s="76">
        <v>27706</v>
      </c>
      <c r="AI57" s="76">
        <v>2711</v>
      </c>
      <c r="AJ57" s="76">
        <v>23902</v>
      </c>
      <c r="AK57" s="76">
        <v>14834</v>
      </c>
      <c r="AL57" s="76" t="b">
        <v>0</v>
      </c>
      <c r="AM57" s="78">
        <v>39709.78622685185</v>
      </c>
      <c r="AN57" s="76" t="s">
        <v>6490</v>
      </c>
      <c r="AO57" s="76" t="s">
        <v>6686</v>
      </c>
      <c r="AP57" s="82" t="str">
        <f>HYPERLINK("https://t.co/CSvIPv8x8L")</f>
        <v>https://t.co/CSvIPv8x8L</v>
      </c>
      <c r="AQ57" s="82" t="str">
        <f>HYPERLINK("http://linktr.ee/convinceandconvert")</f>
        <v>http://linktr.ee/convinceandconvert</v>
      </c>
      <c r="AR57" s="76" t="s">
        <v>6972</v>
      </c>
      <c r="AS57" s="82" t="str">
        <f>HYPERLINK("https://t.co/qjAhBBBFsM")</f>
        <v>https://t.co/qjAhBBBFsM</v>
      </c>
      <c r="AT57" s="82" t="str">
        <f>HYPERLINK("http://convinceandconvert.com")</f>
        <v>http://convinceandconvert.com</v>
      </c>
      <c r="AU57" s="76" t="s">
        <v>7166</v>
      </c>
      <c r="AV57" s="76">
        <v>1.61289657497513E+18</v>
      </c>
      <c r="AW57" s="82" t="str">
        <f>HYPERLINK("https://t.co/CSvIPv8x8L")</f>
        <v>https://t.co/CSvIPv8x8L</v>
      </c>
      <c r="AX57" s="76" t="b">
        <v>0</v>
      </c>
      <c r="AY57" s="76"/>
      <c r="AZ57" s="76"/>
      <c r="BA57" s="76" t="b">
        <v>0</v>
      </c>
      <c r="BB57" s="76" t="b">
        <v>1</v>
      </c>
      <c r="BC57" s="76" t="b">
        <v>0</v>
      </c>
      <c r="BD57" s="76" t="b">
        <v>0</v>
      </c>
      <c r="BE57" s="76" t="b">
        <v>1</v>
      </c>
      <c r="BF57" s="76" t="b">
        <v>0</v>
      </c>
      <c r="BG57" s="76" t="b">
        <v>0</v>
      </c>
      <c r="BH57" s="82" t="str">
        <f>HYPERLINK("https://pbs.twimg.com/profile_banners/16351010/1641928701")</f>
        <v>https://pbs.twimg.com/profile_banners/16351010/1641928701</v>
      </c>
      <c r="BI57" s="76"/>
      <c r="BJ57" s="76" t="s">
        <v>7188</v>
      </c>
      <c r="BK57" s="76" t="b">
        <v>0</v>
      </c>
      <c r="BL57" s="76"/>
      <c r="BM57" s="76" t="s">
        <v>65</v>
      </c>
      <c r="BN57" s="76" t="s">
        <v>7190</v>
      </c>
      <c r="BO57" s="82" t="str">
        <f>HYPERLINK("https://twitter.com/convince")</f>
        <v>https://twitter.com/convince</v>
      </c>
      <c r="BP57" s="46"/>
      <c r="BQ57" s="46"/>
      <c r="BR57" s="46"/>
      <c r="BS57" s="46"/>
      <c r="BT57" s="46"/>
      <c r="BU57" s="46"/>
      <c r="BV57" s="46"/>
      <c r="BW57" s="46"/>
      <c r="BX57" s="46"/>
      <c r="BY57" s="46"/>
      <c r="BZ57" s="2"/>
    </row>
    <row r="58" spans="1:78" ht="15">
      <c r="A58" s="62" t="s">
        <v>443</v>
      </c>
      <c r="B58" s="63"/>
      <c r="C58" s="63"/>
      <c r="D58" s="64"/>
      <c r="E58" s="66"/>
      <c r="F58" s="100" t="str">
        <f>HYPERLINK("https://pbs.twimg.com/profile_images/912985079953055744/GX0rpBJM_normal.jpg")</f>
        <v>https://pbs.twimg.com/profile_images/912985079953055744/GX0rpBJM_normal.jpg</v>
      </c>
      <c r="G58" s="63"/>
      <c r="H58" s="67"/>
      <c r="I58" s="68"/>
      <c r="J58" s="68"/>
      <c r="K58" s="67" t="s">
        <v>7245</v>
      </c>
      <c r="L58" s="71"/>
      <c r="M58" s="72">
        <v>1816.0350341796875</v>
      </c>
      <c r="N58" s="72">
        <v>9349.2998046875</v>
      </c>
      <c r="O58" s="73"/>
      <c r="P58" s="74"/>
      <c r="Q58" s="74"/>
      <c r="R58" s="86"/>
      <c r="S58" s="46">
        <v>4</v>
      </c>
      <c r="T58" s="46">
        <v>0</v>
      </c>
      <c r="U58" s="47">
        <v>212</v>
      </c>
      <c r="V58" s="47">
        <v>0.032113</v>
      </c>
      <c r="W58" s="47">
        <v>0</v>
      </c>
      <c r="X58" s="47">
        <v>0.003253</v>
      </c>
      <c r="Y58" s="47">
        <v>0</v>
      </c>
      <c r="Z58" s="47">
        <v>0</v>
      </c>
      <c r="AA58" s="69">
        <v>58</v>
      </c>
      <c r="AB58" s="69"/>
      <c r="AC58" s="70"/>
      <c r="AD58" s="76" t="s">
        <v>5926</v>
      </c>
      <c r="AE58" s="83" t="s">
        <v>5769</v>
      </c>
      <c r="AF58" s="76">
        <v>158</v>
      </c>
      <c r="AG58" s="76">
        <v>0</v>
      </c>
      <c r="AH58" s="76">
        <v>191</v>
      </c>
      <c r="AI58" s="76">
        <v>2</v>
      </c>
      <c r="AJ58" s="76">
        <v>56</v>
      </c>
      <c r="AK58" s="76">
        <v>153</v>
      </c>
      <c r="AL58" s="76" t="b">
        <v>0</v>
      </c>
      <c r="AM58" s="78">
        <v>43005.425092592595</v>
      </c>
      <c r="AN58" s="76" t="s">
        <v>3895</v>
      </c>
      <c r="AO58" s="76"/>
      <c r="AP58" s="82" t="str">
        <f>HYPERLINK("https://t.co/bJB0YpXGZr")</f>
        <v>https://t.co/bJB0YpXGZr</v>
      </c>
      <c r="AQ58" s="82" t="str">
        <f>HYPERLINK("https://www.inovies.com")</f>
        <v>https://www.inovies.com</v>
      </c>
      <c r="AR58" s="76" t="s">
        <v>1982</v>
      </c>
      <c r="AS58" s="76"/>
      <c r="AT58" s="76"/>
      <c r="AU58" s="76"/>
      <c r="AV58" s="76"/>
      <c r="AW58" s="82" t="str">
        <f>HYPERLINK("https://t.co/bJB0YpXGZr")</f>
        <v>https://t.co/bJB0YpXGZr</v>
      </c>
      <c r="AX58" s="76" t="b">
        <v>0</v>
      </c>
      <c r="AY58" s="76"/>
      <c r="AZ58" s="76"/>
      <c r="BA58" s="76" t="b">
        <v>0</v>
      </c>
      <c r="BB58" s="76" t="b">
        <v>1</v>
      </c>
      <c r="BC58" s="76" t="b">
        <v>1</v>
      </c>
      <c r="BD58" s="76" t="b">
        <v>0</v>
      </c>
      <c r="BE58" s="76" t="b">
        <v>1</v>
      </c>
      <c r="BF58" s="76" t="b">
        <v>0</v>
      </c>
      <c r="BG58" s="76" t="b">
        <v>0</v>
      </c>
      <c r="BH58" s="82" t="str">
        <f>HYPERLINK("https://pbs.twimg.com/profile_banners/912983184765153285/1506508663")</f>
        <v>https://pbs.twimg.com/profile_banners/912983184765153285/1506508663</v>
      </c>
      <c r="BI58" s="76"/>
      <c r="BJ58" s="76" t="s">
        <v>7188</v>
      </c>
      <c r="BK58" s="76" t="b">
        <v>0</v>
      </c>
      <c r="BL58" s="76"/>
      <c r="BM58" s="76" t="s">
        <v>65</v>
      </c>
      <c r="BN58" s="76" t="s">
        <v>7190</v>
      </c>
      <c r="BO58" s="82" t="str">
        <f>HYPERLINK("https://twitter.com/roja_inovies")</f>
        <v>https://twitter.com/roja_inovies</v>
      </c>
      <c r="BP58" s="46"/>
      <c r="BQ58" s="46"/>
      <c r="BR58" s="46"/>
      <c r="BS58" s="46"/>
      <c r="BT58" s="46"/>
      <c r="BU58" s="46"/>
      <c r="BV58" s="46"/>
      <c r="BW58" s="46"/>
      <c r="BX58" s="46"/>
      <c r="BY58" s="46"/>
      <c r="BZ58" s="2"/>
    </row>
    <row r="59" spans="1:78" ht="15">
      <c r="A59" s="62" t="s">
        <v>254</v>
      </c>
      <c r="B59" s="63"/>
      <c r="C59" s="63"/>
      <c r="D59" s="64"/>
      <c r="E59" s="66"/>
      <c r="F59" s="100" t="str">
        <f>HYPERLINK("https://pbs.twimg.com/profile_images/597563789/29781_100x100_normal.jpg")</f>
        <v>https://pbs.twimg.com/profile_images/597563789/29781_100x100_normal.jpg</v>
      </c>
      <c r="G59" s="63"/>
      <c r="H59" s="67"/>
      <c r="I59" s="68"/>
      <c r="J59" s="68"/>
      <c r="K59" s="67" t="s">
        <v>7246</v>
      </c>
      <c r="L59" s="71"/>
      <c r="M59" s="72">
        <v>1842.675048828125</v>
      </c>
      <c r="N59" s="72">
        <v>9278.5</v>
      </c>
      <c r="O59" s="73"/>
      <c r="P59" s="74"/>
      <c r="Q59" s="74"/>
      <c r="R59" s="86"/>
      <c r="S59" s="46">
        <v>1</v>
      </c>
      <c r="T59" s="46">
        <v>1</v>
      </c>
      <c r="U59" s="47">
        <v>0</v>
      </c>
      <c r="V59" s="47">
        <v>0</v>
      </c>
      <c r="W59" s="47">
        <v>0</v>
      </c>
      <c r="X59" s="47">
        <v>0.002882</v>
      </c>
      <c r="Y59" s="47">
        <v>0</v>
      </c>
      <c r="Z59" s="47">
        <v>0</v>
      </c>
      <c r="AA59" s="69">
        <v>59</v>
      </c>
      <c r="AB59" s="69"/>
      <c r="AC59" s="70"/>
      <c r="AD59" s="76" t="s">
        <v>5927</v>
      </c>
      <c r="AE59" s="83" t="s">
        <v>6242</v>
      </c>
      <c r="AF59" s="76">
        <v>1135</v>
      </c>
      <c r="AG59" s="76">
        <v>415</v>
      </c>
      <c r="AH59" s="76">
        <v>92623</v>
      </c>
      <c r="AI59" s="76">
        <v>10</v>
      </c>
      <c r="AJ59" s="76">
        <v>144</v>
      </c>
      <c r="AK59" s="76">
        <v>43</v>
      </c>
      <c r="AL59" s="76" t="b">
        <v>0</v>
      </c>
      <c r="AM59" s="78">
        <v>40175.971504629626</v>
      </c>
      <c r="AN59" s="76" t="s">
        <v>6491</v>
      </c>
      <c r="AO59" s="76" t="s">
        <v>6687</v>
      </c>
      <c r="AP59" s="82" t="str">
        <f>HYPERLINK("http://t.co/OhnKYBNNCI")</f>
        <v>http://t.co/OhnKYBNNCI</v>
      </c>
      <c r="AQ59" s="82" t="str">
        <f>HYPERLINK("http://bit.ly/playinmy")</f>
        <v>http://bit.ly/playinmy</v>
      </c>
      <c r="AR59" s="76" t="s">
        <v>6973</v>
      </c>
      <c r="AS59" s="76"/>
      <c r="AT59" s="76"/>
      <c r="AU59" s="76"/>
      <c r="AV59" s="76"/>
      <c r="AW59" s="82" t="str">
        <f>HYPERLINK("http://t.co/OhnKYBNNCI")</f>
        <v>http://t.co/OhnKYBNNCI</v>
      </c>
      <c r="AX59" s="76" t="b">
        <v>0</v>
      </c>
      <c r="AY59" s="76"/>
      <c r="AZ59" s="76"/>
      <c r="BA59" s="76" t="b">
        <v>0</v>
      </c>
      <c r="BB59" s="76" t="b">
        <v>1</v>
      </c>
      <c r="BC59" s="76" t="b">
        <v>0</v>
      </c>
      <c r="BD59" s="76" t="b">
        <v>0</v>
      </c>
      <c r="BE59" s="76" t="b">
        <v>0</v>
      </c>
      <c r="BF59" s="76" t="b">
        <v>0</v>
      </c>
      <c r="BG59" s="76" t="b">
        <v>0</v>
      </c>
      <c r="BH59" s="76"/>
      <c r="BI59" s="76"/>
      <c r="BJ59" s="76" t="s">
        <v>7188</v>
      </c>
      <c r="BK59" s="76" t="b">
        <v>0</v>
      </c>
      <c r="BL59" s="76"/>
      <c r="BM59" s="76" t="s">
        <v>66</v>
      </c>
      <c r="BN59" s="76" t="s">
        <v>7190</v>
      </c>
      <c r="BO59" s="82" t="str">
        <f>HYPERLINK("https://twitter.com/bizitflint")</f>
        <v>https://twitter.com/bizitflint</v>
      </c>
      <c r="BP59" s="46"/>
      <c r="BQ59" s="46"/>
      <c r="BR59" s="46"/>
      <c r="BS59" s="46"/>
      <c r="BT59" s="46"/>
      <c r="BU59" s="46"/>
      <c r="BV59" s="105" t="s">
        <v>7811</v>
      </c>
      <c r="BW59" s="105" t="s">
        <v>7811</v>
      </c>
      <c r="BX59" s="105" t="s">
        <v>8042</v>
      </c>
      <c r="BY59" s="105" t="s">
        <v>8042</v>
      </c>
      <c r="BZ59" s="2"/>
    </row>
    <row r="60" spans="1:78" ht="15">
      <c r="A60" s="62" t="s">
        <v>255</v>
      </c>
      <c r="B60" s="63"/>
      <c r="C60" s="63"/>
      <c r="D60" s="64"/>
      <c r="E60" s="66"/>
      <c r="F60" s="100" t="str">
        <f>HYPERLINK("https://pbs.twimg.com/profile_images/1682857379946287105/VI5Itl1O_normal.jpg")</f>
        <v>https://pbs.twimg.com/profile_images/1682857379946287105/VI5Itl1O_normal.jpg</v>
      </c>
      <c r="G60" s="63"/>
      <c r="H60" s="67"/>
      <c r="I60" s="68"/>
      <c r="J60" s="68"/>
      <c r="K60" s="67" t="s">
        <v>7247</v>
      </c>
      <c r="L60" s="71"/>
      <c r="M60" s="72">
        <v>1869.3148193359375</v>
      </c>
      <c r="N60" s="72">
        <v>9202.154296875</v>
      </c>
      <c r="O60" s="73"/>
      <c r="P60" s="74"/>
      <c r="Q60" s="74"/>
      <c r="R60" s="86"/>
      <c r="S60" s="46">
        <v>0</v>
      </c>
      <c r="T60" s="46">
        <v>1</v>
      </c>
      <c r="U60" s="47">
        <v>0</v>
      </c>
      <c r="V60" s="47">
        <v>0.214691</v>
      </c>
      <c r="W60" s="47">
        <v>0.062026</v>
      </c>
      <c r="X60" s="47">
        <v>0.002499</v>
      </c>
      <c r="Y60" s="47">
        <v>0</v>
      </c>
      <c r="Z60" s="47">
        <v>0</v>
      </c>
      <c r="AA60" s="69">
        <v>60</v>
      </c>
      <c r="AB60" s="69"/>
      <c r="AC60" s="70"/>
      <c r="AD60" s="76" t="s">
        <v>5928</v>
      </c>
      <c r="AE60" s="83" t="s">
        <v>6243</v>
      </c>
      <c r="AF60" s="76">
        <v>15509</v>
      </c>
      <c r="AG60" s="76">
        <v>4001</v>
      </c>
      <c r="AH60" s="76">
        <v>188713</v>
      </c>
      <c r="AI60" s="76">
        <v>2</v>
      </c>
      <c r="AJ60" s="76">
        <v>706181</v>
      </c>
      <c r="AK60" s="76">
        <v>7154</v>
      </c>
      <c r="AL60" s="76" t="b">
        <v>0</v>
      </c>
      <c r="AM60" s="78">
        <v>40884.46761574074</v>
      </c>
      <c r="AN60" s="76" t="s">
        <v>6492</v>
      </c>
      <c r="AO60" s="76" t="s">
        <v>6688</v>
      </c>
      <c r="AP60" s="76"/>
      <c r="AQ60" s="76"/>
      <c r="AR60" s="76"/>
      <c r="AS60" s="76"/>
      <c r="AT60" s="76"/>
      <c r="AU60" s="76"/>
      <c r="AV60" s="76">
        <v>1.21699031378243E+18</v>
      </c>
      <c r="AW60" s="76"/>
      <c r="AX60" s="76" t="b">
        <v>0</v>
      </c>
      <c r="AY60" s="76"/>
      <c r="AZ60" s="76"/>
      <c r="BA60" s="76" t="b">
        <v>1</v>
      </c>
      <c r="BB60" s="76" t="b">
        <v>1</v>
      </c>
      <c r="BC60" s="76" t="b">
        <v>0</v>
      </c>
      <c r="BD60" s="76" t="b">
        <v>0</v>
      </c>
      <c r="BE60" s="76" t="b">
        <v>1</v>
      </c>
      <c r="BF60" s="76" t="b">
        <v>0</v>
      </c>
      <c r="BG60" s="76" t="b">
        <v>0</v>
      </c>
      <c r="BH60" s="82" t="str">
        <f>HYPERLINK("https://pbs.twimg.com/profile_banners/430610967/1685729236")</f>
        <v>https://pbs.twimg.com/profile_banners/430610967/1685729236</v>
      </c>
      <c r="BI60" s="76"/>
      <c r="BJ60" s="76" t="s">
        <v>7188</v>
      </c>
      <c r="BK60" s="76" t="b">
        <v>0</v>
      </c>
      <c r="BL60" s="76"/>
      <c r="BM60" s="76" t="s">
        <v>66</v>
      </c>
      <c r="BN60" s="76" t="s">
        <v>7190</v>
      </c>
      <c r="BO60" s="82" t="str">
        <f>HYPERLINK("https://twitter.com/mackphason")</f>
        <v>https://twitter.com/mackphason</v>
      </c>
      <c r="BP60" s="46" t="s">
        <v>7613</v>
      </c>
      <c r="BQ60" s="46" t="s">
        <v>7613</v>
      </c>
      <c r="BR60" s="46" t="s">
        <v>1982</v>
      </c>
      <c r="BS60" s="46" t="s">
        <v>1982</v>
      </c>
      <c r="BT60" s="46"/>
      <c r="BU60" s="46"/>
      <c r="BV60" s="105" t="s">
        <v>7812</v>
      </c>
      <c r="BW60" s="105" t="s">
        <v>7812</v>
      </c>
      <c r="BX60" s="105" t="s">
        <v>8043</v>
      </c>
      <c r="BY60" s="105" t="s">
        <v>8043</v>
      </c>
      <c r="BZ60" s="2"/>
    </row>
    <row r="61" spans="1:78" ht="15">
      <c r="A61" s="62" t="s">
        <v>256</v>
      </c>
      <c r="B61" s="63"/>
      <c r="C61" s="63"/>
      <c r="D61" s="64"/>
      <c r="E61" s="66"/>
      <c r="F61" s="100" t="str">
        <f>HYPERLINK("https://pbs.twimg.com/profile_images/640909451218808832/dw1F3MIB_normal.jpg")</f>
        <v>https://pbs.twimg.com/profile_images/640909451218808832/dw1F3MIB_normal.jpg</v>
      </c>
      <c r="G61" s="63"/>
      <c r="H61" s="67"/>
      <c r="I61" s="68"/>
      <c r="J61" s="68"/>
      <c r="K61" s="67" t="s">
        <v>7248</v>
      </c>
      <c r="L61" s="71"/>
      <c r="M61" s="72">
        <v>1895.9547119140625</v>
      </c>
      <c r="N61" s="72">
        <v>9120.359375</v>
      </c>
      <c r="O61" s="73"/>
      <c r="P61" s="74"/>
      <c r="Q61" s="74"/>
      <c r="R61" s="86"/>
      <c r="S61" s="46">
        <v>1</v>
      </c>
      <c r="T61" s="46">
        <v>1</v>
      </c>
      <c r="U61" s="47">
        <v>0</v>
      </c>
      <c r="V61" s="47">
        <v>0</v>
      </c>
      <c r="W61" s="47">
        <v>0</v>
      </c>
      <c r="X61" s="47">
        <v>0.002882</v>
      </c>
      <c r="Y61" s="47">
        <v>0</v>
      </c>
      <c r="Z61" s="47">
        <v>0</v>
      </c>
      <c r="AA61" s="69">
        <v>61</v>
      </c>
      <c r="AB61" s="69"/>
      <c r="AC61" s="70"/>
      <c r="AD61" s="76" t="s">
        <v>5929</v>
      </c>
      <c r="AE61" s="83" t="s">
        <v>6244</v>
      </c>
      <c r="AF61" s="76">
        <v>2272</v>
      </c>
      <c r="AG61" s="76">
        <v>2648</v>
      </c>
      <c r="AH61" s="76">
        <v>34016</v>
      </c>
      <c r="AI61" s="76">
        <v>0</v>
      </c>
      <c r="AJ61" s="76">
        <v>206</v>
      </c>
      <c r="AK61" s="76">
        <v>302</v>
      </c>
      <c r="AL61" s="76" t="b">
        <v>0</v>
      </c>
      <c r="AM61" s="78">
        <v>39395.62965277778</v>
      </c>
      <c r="AN61" s="76" t="s">
        <v>6493</v>
      </c>
      <c r="AO61" s="76" t="s">
        <v>6689</v>
      </c>
      <c r="AP61" s="82" t="str">
        <f>HYPERLINK("http://t.co/HNLQKc97Q5")</f>
        <v>http://t.co/HNLQKc97Q5</v>
      </c>
      <c r="AQ61" s="82" t="str">
        <f>HYPERLINK("http://www.whichwebdesigncompany.com")</f>
        <v>http://www.whichwebdesigncompany.com</v>
      </c>
      <c r="AR61" s="76" t="s">
        <v>6974</v>
      </c>
      <c r="AS61" s="76"/>
      <c r="AT61" s="76"/>
      <c r="AU61" s="76"/>
      <c r="AV61" s="76"/>
      <c r="AW61" s="82" t="str">
        <f>HYPERLINK("http://t.co/HNLQKc97Q5")</f>
        <v>http://t.co/HNLQKc97Q5</v>
      </c>
      <c r="AX61" s="76" t="b">
        <v>0</v>
      </c>
      <c r="AY61" s="76" t="b">
        <v>1</v>
      </c>
      <c r="AZ61" s="76"/>
      <c r="BA61" s="76" t="b">
        <v>1</v>
      </c>
      <c r="BB61" s="76" t="b">
        <v>1</v>
      </c>
      <c r="BC61" s="76" t="b">
        <v>0</v>
      </c>
      <c r="BD61" s="76" t="b">
        <v>0</v>
      </c>
      <c r="BE61" s="76" t="b">
        <v>0</v>
      </c>
      <c r="BF61" s="76" t="b">
        <v>0</v>
      </c>
      <c r="BG61" s="76" t="b">
        <v>0</v>
      </c>
      <c r="BH61" s="82" t="str">
        <f>HYPERLINK("https://pbs.twimg.com/profile_banners/10100372/1498820296")</f>
        <v>https://pbs.twimg.com/profile_banners/10100372/1498820296</v>
      </c>
      <c r="BI61" s="76"/>
      <c r="BJ61" s="76" t="s">
        <v>7188</v>
      </c>
      <c r="BK61" s="76" t="b">
        <v>0</v>
      </c>
      <c r="BL61" s="76"/>
      <c r="BM61" s="76" t="s">
        <v>66</v>
      </c>
      <c r="BN61" s="76" t="s">
        <v>7190</v>
      </c>
      <c r="BO61" s="82" t="str">
        <f>HYPERLINK("https://twitter.com/whichwdc")</f>
        <v>https://twitter.com/whichwdc</v>
      </c>
      <c r="BP61" s="46" t="s">
        <v>7614</v>
      </c>
      <c r="BQ61" s="46" t="s">
        <v>7691</v>
      </c>
      <c r="BR61" s="46" t="s">
        <v>1986</v>
      </c>
      <c r="BS61" s="46" t="s">
        <v>1986</v>
      </c>
      <c r="BT61" s="46" t="s">
        <v>7734</v>
      </c>
      <c r="BU61" s="46" t="s">
        <v>7754</v>
      </c>
      <c r="BV61" s="105" t="s">
        <v>7813</v>
      </c>
      <c r="BW61" s="105" t="s">
        <v>7813</v>
      </c>
      <c r="BX61" s="105" t="s">
        <v>8044</v>
      </c>
      <c r="BY61" s="105" t="s">
        <v>8044</v>
      </c>
      <c r="BZ61" s="2"/>
    </row>
    <row r="62" spans="1:78" ht="15">
      <c r="A62" s="62" t="s">
        <v>257</v>
      </c>
      <c r="B62" s="63"/>
      <c r="C62" s="63"/>
      <c r="D62" s="64"/>
      <c r="E62" s="66"/>
      <c r="F62" s="100" t="str">
        <f>HYPERLINK("https://pbs.twimg.com/profile_images/1717367629248184320/awDVcG-x_normal.jpg")</f>
        <v>https://pbs.twimg.com/profile_images/1717367629248184320/awDVcG-x_normal.jpg</v>
      </c>
      <c r="G62" s="63"/>
      <c r="H62" s="67"/>
      <c r="I62" s="68"/>
      <c r="J62" s="68"/>
      <c r="K62" s="67" t="s">
        <v>7249</v>
      </c>
      <c r="L62" s="71"/>
      <c r="M62" s="72">
        <v>1922.594482421875</v>
      </c>
      <c r="N62" s="72">
        <v>9033.224609375</v>
      </c>
      <c r="O62" s="73"/>
      <c r="P62" s="74"/>
      <c r="Q62" s="74"/>
      <c r="R62" s="86"/>
      <c r="S62" s="46">
        <v>0</v>
      </c>
      <c r="T62" s="46">
        <v>2</v>
      </c>
      <c r="U62" s="47">
        <v>350</v>
      </c>
      <c r="V62" s="47">
        <v>0.215725</v>
      </c>
      <c r="W62" s="47">
        <v>0.062564</v>
      </c>
      <c r="X62" s="47">
        <v>0.002714</v>
      </c>
      <c r="Y62" s="47">
        <v>0</v>
      </c>
      <c r="Z62" s="47">
        <v>0</v>
      </c>
      <c r="AA62" s="69">
        <v>62</v>
      </c>
      <c r="AB62" s="69"/>
      <c r="AC62" s="70"/>
      <c r="AD62" s="76" t="s">
        <v>5930</v>
      </c>
      <c r="AE62" s="83" t="s">
        <v>5794</v>
      </c>
      <c r="AF62" s="76">
        <v>95</v>
      </c>
      <c r="AG62" s="76">
        <v>50</v>
      </c>
      <c r="AH62" s="76">
        <v>27608</v>
      </c>
      <c r="AI62" s="76">
        <v>0</v>
      </c>
      <c r="AJ62" s="76">
        <v>11188</v>
      </c>
      <c r="AK62" s="76">
        <v>692</v>
      </c>
      <c r="AL62" s="76" t="b">
        <v>0</v>
      </c>
      <c r="AM62" s="78">
        <v>43317.03304398148</v>
      </c>
      <c r="AN62" s="76" t="s">
        <v>6494</v>
      </c>
      <c r="AO62" s="76"/>
      <c r="AP62" s="76"/>
      <c r="AQ62" s="76"/>
      <c r="AR62" s="76"/>
      <c r="AS62" s="76"/>
      <c r="AT62" s="76"/>
      <c r="AU62" s="76"/>
      <c r="AV62" s="76"/>
      <c r="AW62" s="76"/>
      <c r="AX62" s="76" t="b">
        <v>0</v>
      </c>
      <c r="AY62" s="76"/>
      <c r="AZ62" s="76"/>
      <c r="BA62" s="76" t="b">
        <v>0</v>
      </c>
      <c r="BB62" s="76" t="b">
        <v>0</v>
      </c>
      <c r="BC62" s="76" t="b">
        <v>1</v>
      </c>
      <c r="BD62" s="76" t="b">
        <v>0</v>
      </c>
      <c r="BE62" s="76" t="b">
        <v>1</v>
      </c>
      <c r="BF62" s="76" t="b">
        <v>0</v>
      </c>
      <c r="BG62" s="76" t="b">
        <v>0</v>
      </c>
      <c r="BH62" s="76"/>
      <c r="BI62" s="76"/>
      <c r="BJ62" s="76" t="s">
        <v>7188</v>
      </c>
      <c r="BK62" s="76" t="b">
        <v>0</v>
      </c>
      <c r="BL62" s="76"/>
      <c r="BM62" s="76" t="s">
        <v>66</v>
      </c>
      <c r="BN62" s="76" t="s">
        <v>7190</v>
      </c>
      <c r="BO62" s="82" t="str">
        <f>HYPERLINK("https://twitter.com/mulasailaja")</f>
        <v>https://twitter.com/mulasailaja</v>
      </c>
      <c r="BP62" s="46" t="s">
        <v>7615</v>
      </c>
      <c r="BQ62" s="46" t="s">
        <v>7615</v>
      </c>
      <c r="BR62" s="46" t="s">
        <v>1987</v>
      </c>
      <c r="BS62" s="46" t="s">
        <v>1987</v>
      </c>
      <c r="BT62" s="46"/>
      <c r="BU62" s="46"/>
      <c r="BV62" s="105" t="s">
        <v>7814</v>
      </c>
      <c r="BW62" s="105" t="s">
        <v>7814</v>
      </c>
      <c r="BX62" s="105" t="s">
        <v>8045</v>
      </c>
      <c r="BY62" s="105" t="s">
        <v>8045</v>
      </c>
      <c r="BZ62" s="2"/>
    </row>
    <row r="63" spans="1:78" ht="15">
      <c r="A63" s="62" t="s">
        <v>402</v>
      </c>
      <c r="B63" s="63"/>
      <c r="C63" s="63"/>
      <c r="D63" s="64"/>
      <c r="E63" s="66"/>
      <c r="F63" s="100" t="str">
        <f>HYPERLINK("https://pbs.twimg.com/profile_images/1562931823558148096/-MTAuP5J_normal.jpg")</f>
        <v>https://pbs.twimg.com/profile_images/1562931823558148096/-MTAuP5J_normal.jpg</v>
      </c>
      <c r="G63" s="63"/>
      <c r="H63" s="67"/>
      <c r="I63" s="68"/>
      <c r="J63" s="68"/>
      <c r="K63" s="67" t="s">
        <v>7250</v>
      </c>
      <c r="L63" s="71"/>
      <c r="M63" s="72">
        <v>1949.2344970703125</v>
      </c>
      <c r="N63" s="72">
        <v>8940.8583984375</v>
      </c>
      <c r="O63" s="73"/>
      <c r="P63" s="74"/>
      <c r="Q63" s="74"/>
      <c r="R63" s="86"/>
      <c r="S63" s="46">
        <v>2</v>
      </c>
      <c r="T63" s="46">
        <v>1</v>
      </c>
      <c r="U63" s="47">
        <v>0</v>
      </c>
      <c r="V63" s="47">
        <v>0.151739</v>
      </c>
      <c r="W63" s="47">
        <v>0.006078</v>
      </c>
      <c r="X63" s="47">
        <v>0.002868</v>
      </c>
      <c r="Y63" s="47">
        <v>0</v>
      </c>
      <c r="Z63" s="47">
        <v>0</v>
      </c>
      <c r="AA63" s="69">
        <v>63</v>
      </c>
      <c r="AB63" s="69"/>
      <c r="AC63" s="70"/>
      <c r="AD63" s="76" t="s">
        <v>5931</v>
      </c>
      <c r="AE63" s="83" t="s">
        <v>5827</v>
      </c>
      <c r="AF63" s="76">
        <v>34</v>
      </c>
      <c r="AG63" s="76">
        <v>0</v>
      </c>
      <c r="AH63" s="76">
        <v>1323</v>
      </c>
      <c r="AI63" s="76">
        <v>0</v>
      </c>
      <c r="AJ63" s="76">
        <v>15739</v>
      </c>
      <c r="AK63" s="76">
        <v>39</v>
      </c>
      <c r="AL63" s="76" t="b">
        <v>0</v>
      </c>
      <c r="AM63" s="78">
        <v>44798.9380787037</v>
      </c>
      <c r="AN63" s="76" t="s">
        <v>6495</v>
      </c>
      <c r="AO63" s="76" t="s">
        <v>6690</v>
      </c>
      <c r="AP63" s="76"/>
      <c r="AQ63" s="76"/>
      <c r="AR63" s="76"/>
      <c r="AS63" s="76"/>
      <c r="AT63" s="76"/>
      <c r="AU63" s="76"/>
      <c r="AV63" s="76">
        <v>1.58388576574623E+18</v>
      </c>
      <c r="AW63" s="76"/>
      <c r="AX63" s="76" t="b">
        <v>0</v>
      </c>
      <c r="AY63" s="76"/>
      <c r="AZ63" s="76"/>
      <c r="BA63" s="76" t="b">
        <v>0</v>
      </c>
      <c r="BB63" s="76" t="b">
        <v>0</v>
      </c>
      <c r="BC63" s="76" t="b">
        <v>1</v>
      </c>
      <c r="BD63" s="76" t="b">
        <v>0</v>
      </c>
      <c r="BE63" s="76" t="b">
        <v>0</v>
      </c>
      <c r="BF63" s="76" t="b">
        <v>0</v>
      </c>
      <c r="BG63" s="76" t="b">
        <v>0</v>
      </c>
      <c r="BH63" s="76"/>
      <c r="BI63" s="76"/>
      <c r="BJ63" s="76" t="s">
        <v>7188</v>
      </c>
      <c r="BK63" s="76" t="b">
        <v>0</v>
      </c>
      <c r="BL63" s="76"/>
      <c r="BM63" s="76" t="s">
        <v>66</v>
      </c>
      <c r="BN63" s="76" t="s">
        <v>7190</v>
      </c>
      <c r="BO63" s="82" t="str">
        <f>HYPERLINK("https://twitter.com/its_me_mahii")</f>
        <v>https://twitter.com/its_me_mahii</v>
      </c>
      <c r="BP63" s="46"/>
      <c r="BQ63" s="46"/>
      <c r="BR63" s="46"/>
      <c r="BS63" s="46"/>
      <c r="BT63" s="46" t="s">
        <v>1865</v>
      </c>
      <c r="BU63" s="46" t="s">
        <v>1865</v>
      </c>
      <c r="BV63" s="105" t="s">
        <v>7815</v>
      </c>
      <c r="BW63" s="105" t="s">
        <v>7815</v>
      </c>
      <c r="BX63" s="105" t="s">
        <v>8046</v>
      </c>
      <c r="BY63" s="105" t="s">
        <v>8046</v>
      </c>
      <c r="BZ63" s="2"/>
    </row>
    <row r="64" spans="1:78" ht="15">
      <c r="A64" s="62" t="s">
        <v>258</v>
      </c>
      <c r="B64" s="63"/>
      <c r="C64" s="63"/>
      <c r="D64" s="64"/>
      <c r="E64" s="66"/>
      <c r="F64" s="100" t="str">
        <f>HYPERLINK("https://pbs.twimg.com/profile_images/1705850705288802304/wWZjD3UH_normal.jpg")</f>
        <v>https://pbs.twimg.com/profile_images/1705850705288802304/wWZjD3UH_normal.jpg</v>
      </c>
      <c r="G64" s="63"/>
      <c r="H64" s="67"/>
      <c r="I64" s="68"/>
      <c r="J64" s="68"/>
      <c r="K64" s="67" t="s">
        <v>7251</v>
      </c>
      <c r="L64" s="71"/>
      <c r="M64" s="72">
        <v>1975.87451171875</v>
      </c>
      <c r="N64" s="72">
        <v>8843.3837890625</v>
      </c>
      <c r="O64" s="73"/>
      <c r="P64" s="74"/>
      <c r="Q64" s="74"/>
      <c r="R64" s="86"/>
      <c r="S64" s="46">
        <v>1</v>
      </c>
      <c r="T64" s="46">
        <v>1</v>
      </c>
      <c r="U64" s="47">
        <v>0</v>
      </c>
      <c r="V64" s="47">
        <v>0</v>
      </c>
      <c r="W64" s="47">
        <v>0</v>
      </c>
      <c r="X64" s="47">
        <v>0.002882</v>
      </c>
      <c r="Y64" s="47">
        <v>0</v>
      </c>
      <c r="Z64" s="47">
        <v>0</v>
      </c>
      <c r="AA64" s="69">
        <v>64</v>
      </c>
      <c r="AB64" s="69"/>
      <c r="AC64" s="70"/>
      <c r="AD64" s="76" t="s">
        <v>5932</v>
      </c>
      <c r="AE64" s="83" t="s">
        <v>6245</v>
      </c>
      <c r="AF64" s="76">
        <v>13942</v>
      </c>
      <c r="AG64" s="76">
        <v>552</v>
      </c>
      <c r="AH64" s="76">
        <v>152081</v>
      </c>
      <c r="AI64" s="76">
        <v>131</v>
      </c>
      <c r="AJ64" s="76">
        <v>14035</v>
      </c>
      <c r="AK64" s="76">
        <v>13516</v>
      </c>
      <c r="AL64" s="76" t="b">
        <v>0</v>
      </c>
      <c r="AM64" s="78">
        <v>41531.361921296295</v>
      </c>
      <c r="AN64" s="76" t="s">
        <v>6496</v>
      </c>
      <c r="AO64" s="76" t="s">
        <v>6691</v>
      </c>
      <c r="AP64" s="82" t="str">
        <f>HYPERLINK("https://t.co/27zCNuT5Uv")</f>
        <v>https://t.co/27zCNuT5Uv</v>
      </c>
      <c r="AQ64" s="82" t="str">
        <f>HYPERLINK("http://www.tiffany-collins.com")</f>
        <v>http://www.tiffany-collins.com</v>
      </c>
      <c r="AR64" s="76" t="s">
        <v>6975</v>
      </c>
      <c r="AS64" s="76"/>
      <c r="AT64" s="76"/>
      <c r="AU64" s="76"/>
      <c r="AV64" s="76">
        <v>1.43026198114829E+18</v>
      </c>
      <c r="AW64" s="82" t="str">
        <f>HYPERLINK("https://t.co/27zCNuT5Uv")</f>
        <v>https://t.co/27zCNuT5Uv</v>
      </c>
      <c r="AX64" s="76" t="b">
        <v>1</v>
      </c>
      <c r="AY64" s="76"/>
      <c r="AZ64" s="76"/>
      <c r="BA64" s="76" t="b">
        <v>1</v>
      </c>
      <c r="BB64" s="76" t="b">
        <v>0</v>
      </c>
      <c r="BC64" s="76" t="b">
        <v>0</v>
      </c>
      <c r="BD64" s="76" t="b">
        <v>0</v>
      </c>
      <c r="BE64" s="76" t="b">
        <v>1</v>
      </c>
      <c r="BF64" s="76" t="b">
        <v>0</v>
      </c>
      <c r="BG64" s="76" t="b">
        <v>0</v>
      </c>
      <c r="BH64" s="82" t="str">
        <f>HYPERLINK("https://pbs.twimg.com/profile_banners/1863146666/1686057961")</f>
        <v>https://pbs.twimg.com/profile_banners/1863146666/1686057961</v>
      </c>
      <c r="BI64" s="76"/>
      <c r="BJ64" s="76" t="s">
        <v>7188</v>
      </c>
      <c r="BK64" s="76" t="b">
        <v>0</v>
      </c>
      <c r="BL64" s="76"/>
      <c r="BM64" s="76" t="s">
        <v>66</v>
      </c>
      <c r="BN64" s="76" t="s">
        <v>7190</v>
      </c>
      <c r="BO64" s="82" t="str">
        <f>HYPERLINK("https://twitter.com/superrjoint")</f>
        <v>https://twitter.com/superrjoint</v>
      </c>
      <c r="BP64" s="46"/>
      <c r="BQ64" s="46"/>
      <c r="BR64" s="46"/>
      <c r="BS64" s="46"/>
      <c r="BT64" s="46"/>
      <c r="BU64" s="46"/>
      <c r="BV64" s="105" t="s">
        <v>7816</v>
      </c>
      <c r="BW64" s="105" t="s">
        <v>7816</v>
      </c>
      <c r="BX64" s="105" t="s">
        <v>8047</v>
      </c>
      <c r="BY64" s="105" t="s">
        <v>8047</v>
      </c>
      <c r="BZ64" s="2"/>
    </row>
    <row r="65" spans="1:78" ht="15">
      <c r="A65" s="62" t="s">
        <v>259</v>
      </c>
      <c r="B65" s="63"/>
      <c r="C65" s="63"/>
      <c r="D65" s="64"/>
      <c r="E65" s="66"/>
      <c r="F65" s="100" t="str">
        <f>HYPERLINK("https://pbs.twimg.com/profile_images/1389763525422182400/t6X4IGCV_normal.jpg")</f>
        <v>https://pbs.twimg.com/profile_images/1389763525422182400/t6X4IGCV_normal.jpg</v>
      </c>
      <c r="G65" s="63"/>
      <c r="H65" s="67"/>
      <c r="I65" s="68"/>
      <c r="J65" s="68"/>
      <c r="K65" s="67" t="s">
        <v>7252</v>
      </c>
      <c r="L65" s="71"/>
      <c r="M65" s="72">
        <v>2002.5142822265625</v>
      </c>
      <c r="N65" s="72">
        <v>8740.92578125</v>
      </c>
      <c r="O65" s="73"/>
      <c r="P65" s="74"/>
      <c r="Q65" s="74"/>
      <c r="R65" s="86"/>
      <c r="S65" s="46">
        <v>1</v>
      </c>
      <c r="T65" s="46">
        <v>1</v>
      </c>
      <c r="U65" s="47">
        <v>0</v>
      </c>
      <c r="V65" s="47">
        <v>0</v>
      </c>
      <c r="W65" s="47">
        <v>0</v>
      </c>
      <c r="X65" s="47">
        <v>0.002882</v>
      </c>
      <c r="Y65" s="47">
        <v>0</v>
      </c>
      <c r="Z65" s="47">
        <v>0</v>
      </c>
      <c r="AA65" s="69">
        <v>65</v>
      </c>
      <c r="AB65" s="69"/>
      <c r="AC65" s="70"/>
      <c r="AD65" s="76" t="s">
        <v>5933</v>
      </c>
      <c r="AE65" s="83" t="s">
        <v>6246</v>
      </c>
      <c r="AF65" s="76">
        <v>357</v>
      </c>
      <c r="AG65" s="76">
        <v>135</v>
      </c>
      <c r="AH65" s="76">
        <v>9438</v>
      </c>
      <c r="AI65" s="76">
        <v>0</v>
      </c>
      <c r="AJ65" s="76">
        <v>529</v>
      </c>
      <c r="AK65" s="76">
        <v>62</v>
      </c>
      <c r="AL65" s="76" t="b">
        <v>0</v>
      </c>
      <c r="AM65" s="78">
        <v>40154.5766087963</v>
      </c>
      <c r="AN65" s="76" t="s">
        <v>3889</v>
      </c>
      <c r="AO65" s="76" t="s">
        <v>6692</v>
      </c>
      <c r="AP65" s="76"/>
      <c r="AQ65" s="76"/>
      <c r="AR65" s="76"/>
      <c r="AS65" s="76"/>
      <c r="AT65" s="76"/>
      <c r="AU65" s="76"/>
      <c r="AV65" s="76"/>
      <c r="AW65" s="76"/>
      <c r="AX65" s="76" t="b">
        <v>0</v>
      </c>
      <c r="AY65" s="76"/>
      <c r="AZ65" s="76"/>
      <c r="BA65" s="76" t="b">
        <v>0</v>
      </c>
      <c r="BB65" s="76" t="b">
        <v>1</v>
      </c>
      <c r="BC65" s="76" t="b">
        <v>0</v>
      </c>
      <c r="BD65" s="76" t="b">
        <v>0</v>
      </c>
      <c r="BE65" s="76" t="b">
        <v>1</v>
      </c>
      <c r="BF65" s="76" t="b">
        <v>0</v>
      </c>
      <c r="BG65" s="76" t="b">
        <v>0</v>
      </c>
      <c r="BH65" s="82" t="str">
        <f>HYPERLINK("https://pbs.twimg.com/profile_banners/95203652/1426702717")</f>
        <v>https://pbs.twimg.com/profile_banners/95203652/1426702717</v>
      </c>
      <c r="BI65" s="76"/>
      <c r="BJ65" s="76" t="s">
        <v>7188</v>
      </c>
      <c r="BK65" s="76" t="b">
        <v>0</v>
      </c>
      <c r="BL65" s="76"/>
      <c r="BM65" s="76" t="s">
        <v>66</v>
      </c>
      <c r="BN65" s="76" t="s">
        <v>7190</v>
      </c>
      <c r="BO65" s="82" t="str">
        <f>HYPERLINK("https://twitter.com/ameetchaudhry")</f>
        <v>https://twitter.com/ameetchaudhry</v>
      </c>
      <c r="BP65" s="46" t="s">
        <v>7616</v>
      </c>
      <c r="BQ65" s="46" t="s">
        <v>7616</v>
      </c>
      <c r="BR65" s="46" t="s">
        <v>1988</v>
      </c>
      <c r="BS65" s="46" t="s">
        <v>1988</v>
      </c>
      <c r="BT65" s="46"/>
      <c r="BU65" s="46"/>
      <c r="BV65" s="105" t="s">
        <v>7817</v>
      </c>
      <c r="BW65" s="105" t="s">
        <v>7817</v>
      </c>
      <c r="BX65" s="105" t="s">
        <v>8048</v>
      </c>
      <c r="BY65" s="105" t="s">
        <v>8048</v>
      </c>
      <c r="BZ65" s="2"/>
    </row>
    <row r="66" spans="1:78" ht="15">
      <c r="A66" s="62" t="s">
        <v>260</v>
      </c>
      <c r="B66" s="63"/>
      <c r="C66" s="63"/>
      <c r="D66" s="64"/>
      <c r="E66" s="66"/>
      <c r="F66" s="100" t="str">
        <f>HYPERLINK("https://pbs.twimg.com/profile_images/828404593428144128/Z3cYcmlO_normal.jpg")</f>
        <v>https://pbs.twimg.com/profile_images/828404593428144128/Z3cYcmlO_normal.jpg</v>
      </c>
      <c r="G66" s="63"/>
      <c r="H66" s="67"/>
      <c r="I66" s="68"/>
      <c r="J66" s="68"/>
      <c r="K66" s="67" t="s">
        <v>7253</v>
      </c>
      <c r="L66" s="71"/>
      <c r="M66" s="72">
        <v>2029.154052734375</v>
      </c>
      <c r="N66" s="72">
        <v>8633.6171875</v>
      </c>
      <c r="O66" s="73"/>
      <c r="P66" s="74"/>
      <c r="Q66" s="74"/>
      <c r="R66" s="86"/>
      <c r="S66" s="46">
        <v>1</v>
      </c>
      <c r="T66" s="46">
        <v>1</v>
      </c>
      <c r="U66" s="47">
        <v>0</v>
      </c>
      <c r="V66" s="47">
        <v>0</v>
      </c>
      <c r="W66" s="47">
        <v>0</v>
      </c>
      <c r="X66" s="47">
        <v>0.002882</v>
      </c>
      <c r="Y66" s="47">
        <v>0</v>
      </c>
      <c r="Z66" s="47">
        <v>0</v>
      </c>
      <c r="AA66" s="69">
        <v>66</v>
      </c>
      <c r="AB66" s="69"/>
      <c r="AC66" s="70"/>
      <c r="AD66" s="76" t="s">
        <v>5934</v>
      </c>
      <c r="AE66" s="83" t="s">
        <v>5795</v>
      </c>
      <c r="AF66" s="76">
        <v>895</v>
      </c>
      <c r="AG66" s="76">
        <v>1449</v>
      </c>
      <c r="AH66" s="76">
        <v>3399</v>
      </c>
      <c r="AI66" s="76">
        <v>17</v>
      </c>
      <c r="AJ66" s="76">
        <v>2</v>
      </c>
      <c r="AK66" s="76">
        <v>662</v>
      </c>
      <c r="AL66" s="76" t="b">
        <v>0</v>
      </c>
      <c r="AM66" s="78">
        <v>42743.19663194445</v>
      </c>
      <c r="AN66" s="76" t="s">
        <v>6497</v>
      </c>
      <c r="AO66" s="76" t="s">
        <v>6693</v>
      </c>
      <c r="AP66" s="82" t="str">
        <f>HYPERLINK("https://t.co/yoOpz0etqe")</f>
        <v>https://t.co/yoOpz0etqe</v>
      </c>
      <c r="AQ66" s="82" t="str">
        <f>HYPERLINK("http://www.pantherassociates.com")</f>
        <v>http://www.pantherassociates.com</v>
      </c>
      <c r="AR66" s="76" t="s">
        <v>6976</v>
      </c>
      <c r="AS66" s="76"/>
      <c r="AT66" s="76"/>
      <c r="AU66" s="76"/>
      <c r="AV66" s="76"/>
      <c r="AW66" s="82" t="str">
        <f>HYPERLINK("https://t.co/yoOpz0etqe")</f>
        <v>https://t.co/yoOpz0etqe</v>
      </c>
      <c r="AX66" s="76" t="b">
        <v>0</v>
      </c>
      <c r="AY66" s="76"/>
      <c r="AZ66" s="76"/>
      <c r="BA66" s="76" t="b">
        <v>0</v>
      </c>
      <c r="BB66" s="76" t="b">
        <v>1</v>
      </c>
      <c r="BC66" s="76" t="b">
        <v>1</v>
      </c>
      <c r="BD66" s="76" t="b">
        <v>0</v>
      </c>
      <c r="BE66" s="76" t="b">
        <v>0</v>
      </c>
      <c r="BF66" s="76" t="b">
        <v>0</v>
      </c>
      <c r="BG66" s="76" t="b">
        <v>0</v>
      </c>
      <c r="BH66" s="82" t="str">
        <f>HYPERLINK("https://pbs.twimg.com/profile_banners/817954771361497088/1486344215")</f>
        <v>https://pbs.twimg.com/profile_banners/817954771361497088/1486344215</v>
      </c>
      <c r="BI66" s="76"/>
      <c r="BJ66" s="76" t="s">
        <v>7188</v>
      </c>
      <c r="BK66" s="76" t="b">
        <v>0</v>
      </c>
      <c r="BL66" s="76"/>
      <c r="BM66" s="76" t="s">
        <v>66</v>
      </c>
      <c r="BN66" s="76" t="s">
        <v>7190</v>
      </c>
      <c r="BO66" s="82" t="str">
        <f>HYPERLINK("https://twitter.com/pantherassoc")</f>
        <v>https://twitter.com/pantherassoc</v>
      </c>
      <c r="BP66" s="46" t="s">
        <v>7617</v>
      </c>
      <c r="BQ66" s="46" t="s">
        <v>7617</v>
      </c>
      <c r="BR66" s="46" t="s">
        <v>1989</v>
      </c>
      <c r="BS66" s="46" t="s">
        <v>1989</v>
      </c>
      <c r="BT66" s="46"/>
      <c r="BU66" s="46"/>
      <c r="BV66" s="105" t="s">
        <v>7818</v>
      </c>
      <c r="BW66" s="105" t="s">
        <v>7818</v>
      </c>
      <c r="BX66" s="105" t="s">
        <v>8049</v>
      </c>
      <c r="BY66" s="105" t="s">
        <v>8049</v>
      </c>
      <c r="BZ66" s="2"/>
    </row>
    <row r="67" spans="1:78" ht="15">
      <c r="A67" s="62" t="s">
        <v>261</v>
      </c>
      <c r="B67" s="63"/>
      <c r="C67" s="63"/>
      <c r="D67" s="64"/>
      <c r="E67" s="66"/>
      <c r="F67" s="100" t="str">
        <f>HYPERLINK("https://pbs.twimg.com/profile_images/860443608020811776/rWwzFtYG_normal.jpg")</f>
        <v>https://pbs.twimg.com/profile_images/860443608020811776/rWwzFtYG_normal.jpg</v>
      </c>
      <c r="G67" s="63"/>
      <c r="H67" s="67"/>
      <c r="I67" s="68"/>
      <c r="J67" s="68"/>
      <c r="K67" s="67" t="s">
        <v>7254</v>
      </c>
      <c r="L67" s="71"/>
      <c r="M67" s="72">
        <v>2055.7939453125</v>
      </c>
      <c r="N67" s="72">
        <v>8521.599609375</v>
      </c>
      <c r="O67" s="73"/>
      <c r="P67" s="74"/>
      <c r="Q67" s="74"/>
      <c r="R67" s="86"/>
      <c r="S67" s="46">
        <v>4</v>
      </c>
      <c r="T67" s="46">
        <v>31</v>
      </c>
      <c r="U67" s="47">
        <v>6337.722222</v>
      </c>
      <c r="V67" s="47">
        <v>0.249376</v>
      </c>
      <c r="W67" s="47">
        <v>0.154468</v>
      </c>
      <c r="X67" s="47">
        <v>0.009893</v>
      </c>
      <c r="Y67" s="47">
        <v>0.03225806451612903</v>
      </c>
      <c r="Z67" s="47">
        <v>0.09375</v>
      </c>
      <c r="AA67" s="69">
        <v>67</v>
      </c>
      <c r="AB67" s="69"/>
      <c r="AC67" s="70"/>
      <c r="AD67" s="76" t="s">
        <v>5935</v>
      </c>
      <c r="AE67" s="83" t="s">
        <v>5763</v>
      </c>
      <c r="AF67" s="76">
        <v>876</v>
      </c>
      <c r="AG67" s="76">
        <v>261</v>
      </c>
      <c r="AH67" s="76">
        <v>5285</v>
      </c>
      <c r="AI67" s="76">
        <v>16</v>
      </c>
      <c r="AJ67" s="76">
        <v>1508</v>
      </c>
      <c r="AK67" s="76">
        <v>4694</v>
      </c>
      <c r="AL67" s="76" t="b">
        <v>0</v>
      </c>
      <c r="AM67" s="78">
        <v>42663.420694444445</v>
      </c>
      <c r="AN67" s="76"/>
      <c r="AO67" s="76" t="s">
        <v>6694</v>
      </c>
      <c r="AP67" s="82" t="str">
        <f>HYPERLINK("https://t.co/bMAPeR9H8U")</f>
        <v>https://t.co/bMAPeR9H8U</v>
      </c>
      <c r="AQ67" s="82" t="str">
        <f>HYPERLINK("https://www.topdevelopers.co")</f>
        <v>https://www.topdevelopers.co</v>
      </c>
      <c r="AR67" s="76" t="s">
        <v>6977</v>
      </c>
      <c r="AS67" s="82" t="str">
        <f>HYPERLINK("https://t.co/hh7FwtO8h3")</f>
        <v>https://t.co/hh7FwtO8h3</v>
      </c>
      <c r="AT67" s="82" t="str">
        <f>HYPERLINK("http://TopDevelopers.co")</f>
        <v>http://TopDevelopers.co</v>
      </c>
      <c r="AU67" s="76" t="s">
        <v>5935</v>
      </c>
      <c r="AV67" s="76"/>
      <c r="AW67" s="82" t="str">
        <f>HYPERLINK("https://t.co/bMAPeR9H8U")</f>
        <v>https://t.co/bMAPeR9H8U</v>
      </c>
      <c r="AX67" s="76" t="b">
        <v>0</v>
      </c>
      <c r="AY67" s="76"/>
      <c r="AZ67" s="76"/>
      <c r="BA67" s="76" t="b">
        <v>0</v>
      </c>
      <c r="BB67" s="76" t="b">
        <v>1</v>
      </c>
      <c r="BC67" s="76" t="b">
        <v>1</v>
      </c>
      <c r="BD67" s="76" t="b">
        <v>0</v>
      </c>
      <c r="BE67" s="76" t="b">
        <v>0</v>
      </c>
      <c r="BF67" s="76" t="b">
        <v>0</v>
      </c>
      <c r="BG67" s="76" t="b">
        <v>0</v>
      </c>
      <c r="BH67" s="82" t="str">
        <f>HYPERLINK("https://pbs.twimg.com/profile_banners/789044938122022912/1565791931")</f>
        <v>https://pbs.twimg.com/profile_banners/789044938122022912/1565791931</v>
      </c>
      <c r="BI67" s="76"/>
      <c r="BJ67" s="76" t="s">
        <v>7188</v>
      </c>
      <c r="BK67" s="76" t="b">
        <v>0</v>
      </c>
      <c r="BL67" s="76"/>
      <c r="BM67" s="76" t="s">
        <v>66</v>
      </c>
      <c r="BN67" s="76" t="s">
        <v>7190</v>
      </c>
      <c r="BO67" s="82" t="str">
        <f>HYPERLINK("https://twitter.com/topdevelopersco")</f>
        <v>https://twitter.com/topdevelopersco</v>
      </c>
      <c r="BP67" s="46" t="s">
        <v>7618</v>
      </c>
      <c r="BQ67" s="46" t="s">
        <v>7692</v>
      </c>
      <c r="BR67" s="46" t="s">
        <v>7711</v>
      </c>
      <c r="BS67" s="46" t="s">
        <v>2024</v>
      </c>
      <c r="BT67" s="46" t="s">
        <v>7735</v>
      </c>
      <c r="BU67" s="46" t="s">
        <v>7755</v>
      </c>
      <c r="BV67" s="105" t="s">
        <v>7819</v>
      </c>
      <c r="BW67" s="105" t="s">
        <v>7981</v>
      </c>
      <c r="BX67" s="105" t="s">
        <v>8050</v>
      </c>
      <c r="BY67" s="105" t="s">
        <v>8050</v>
      </c>
      <c r="BZ67" s="2"/>
    </row>
    <row r="68" spans="1:78" ht="15">
      <c r="A68" s="62" t="s">
        <v>444</v>
      </c>
      <c r="B68" s="63"/>
      <c r="C68" s="63"/>
      <c r="D68" s="64"/>
      <c r="E68" s="66"/>
      <c r="F68" s="100" t="str">
        <f>HYPERLINK("https://pbs.twimg.com/profile_images/1493848504833171456/vQaR7qpy_normal.jpg")</f>
        <v>https://pbs.twimg.com/profile_images/1493848504833171456/vQaR7qpy_normal.jpg</v>
      </c>
      <c r="G68" s="63"/>
      <c r="H68" s="67"/>
      <c r="I68" s="68"/>
      <c r="J68" s="68"/>
      <c r="K68" s="67" t="s">
        <v>7255</v>
      </c>
      <c r="L68" s="71"/>
      <c r="M68" s="72">
        <v>2082.43408203125</v>
      </c>
      <c r="N68" s="72">
        <v>8405.013671875</v>
      </c>
      <c r="O68" s="73"/>
      <c r="P68" s="74"/>
      <c r="Q68" s="74"/>
      <c r="R68" s="86"/>
      <c r="S68" s="46">
        <v>1</v>
      </c>
      <c r="T68" s="46">
        <v>0</v>
      </c>
      <c r="U68" s="47">
        <v>0</v>
      </c>
      <c r="V68" s="47">
        <v>0.167652</v>
      </c>
      <c r="W68" s="47">
        <v>0.013677</v>
      </c>
      <c r="X68" s="47">
        <v>0.002496</v>
      </c>
      <c r="Y68" s="47">
        <v>0</v>
      </c>
      <c r="Z68" s="47">
        <v>0</v>
      </c>
      <c r="AA68" s="69">
        <v>68</v>
      </c>
      <c r="AB68" s="69"/>
      <c r="AC68" s="70"/>
      <c r="AD68" s="76" t="s">
        <v>5936</v>
      </c>
      <c r="AE68" s="83" t="s">
        <v>6247</v>
      </c>
      <c r="AF68" s="76">
        <v>805</v>
      </c>
      <c r="AG68" s="76">
        <v>909</v>
      </c>
      <c r="AH68" s="76">
        <v>3439</v>
      </c>
      <c r="AI68" s="76">
        <v>155</v>
      </c>
      <c r="AJ68" s="76">
        <v>1352</v>
      </c>
      <c r="AK68" s="76">
        <v>1601</v>
      </c>
      <c r="AL68" s="76" t="b">
        <v>0</v>
      </c>
      <c r="AM68" s="78">
        <v>40702.3130787037</v>
      </c>
      <c r="AN68" s="76"/>
      <c r="AO68" s="76" t="s">
        <v>6695</v>
      </c>
      <c r="AP68" s="82" t="str">
        <f>HYPERLINK("https://t.co/n6Zftwz7W3")</f>
        <v>https://t.co/n6Zftwz7W3</v>
      </c>
      <c r="AQ68" s="82" t="str">
        <f>HYPERLINK("https://bit.ly/3mZJKmK")</f>
        <v>https://bit.ly/3mZJKmK</v>
      </c>
      <c r="AR68" s="76" t="s">
        <v>6978</v>
      </c>
      <c r="AS68" s="76"/>
      <c r="AT68" s="76"/>
      <c r="AU68" s="76"/>
      <c r="AV68" s="76">
        <v>1.61651678449598E+18</v>
      </c>
      <c r="AW68" s="82" t="str">
        <f>HYPERLINK("https://t.co/n6Zftwz7W3")</f>
        <v>https://t.co/n6Zftwz7W3</v>
      </c>
      <c r="AX68" s="76" t="b">
        <v>0</v>
      </c>
      <c r="AY68" s="76"/>
      <c r="AZ68" s="76"/>
      <c r="BA68" s="76" t="b">
        <v>0</v>
      </c>
      <c r="BB68" s="76" t="b">
        <v>1</v>
      </c>
      <c r="BC68" s="76" t="b">
        <v>0</v>
      </c>
      <c r="BD68" s="76" t="b">
        <v>0</v>
      </c>
      <c r="BE68" s="76" t="b">
        <v>1</v>
      </c>
      <c r="BF68" s="76" t="b">
        <v>0</v>
      </c>
      <c r="BG68" s="76" t="b">
        <v>0</v>
      </c>
      <c r="BH68" s="82" t="str">
        <f>HYPERLINK("https://pbs.twimg.com/profile_banners/313167231/1644996220")</f>
        <v>https://pbs.twimg.com/profile_banners/313167231/1644996220</v>
      </c>
      <c r="BI68" s="76"/>
      <c r="BJ68" s="76" t="s">
        <v>7188</v>
      </c>
      <c r="BK68" s="76" t="b">
        <v>0</v>
      </c>
      <c r="BL68" s="76"/>
      <c r="BM68" s="76" t="s">
        <v>65</v>
      </c>
      <c r="BN68" s="76" t="s">
        <v>7190</v>
      </c>
      <c r="BO68" s="82" t="str">
        <f>HYPERLINK("https://twitter.com/quovantis")</f>
        <v>https://twitter.com/quovantis</v>
      </c>
      <c r="BP68" s="46"/>
      <c r="BQ68" s="46"/>
      <c r="BR68" s="46"/>
      <c r="BS68" s="46"/>
      <c r="BT68" s="46"/>
      <c r="BU68" s="46"/>
      <c r="BV68" s="46"/>
      <c r="BW68" s="46"/>
      <c r="BX68" s="46"/>
      <c r="BY68" s="46"/>
      <c r="BZ68" s="2"/>
    </row>
    <row r="69" spans="1:78" ht="15">
      <c r="A69" s="62" t="s">
        <v>445</v>
      </c>
      <c r="B69" s="63"/>
      <c r="C69" s="63"/>
      <c r="D69" s="64"/>
      <c r="E69" s="66"/>
      <c r="F69" s="100" t="str">
        <f>HYPERLINK("https://pbs.twimg.com/profile_images/1552024761458466816/IeHBFJfa_normal.jpg")</f>
        <v>https://pbs.twimg.com/profile_images/1552024761458466816/IeHBFJfa_normal.jpg</v>
      </c>
      <c r="G69" s="63"/>
      <c r="H69" s="67"/>
      <c r="I69" s="68"/>
      <c r="J69" s="68"/>
      <c r="K69" s="67" t="s">
        <v>7256</v>
      </c>
      <c r="L69" s="71"/>
      <c r="M69" s="72">
        <v>2109.07373046875</v>
      </c>
      <c r="N69" s="72">
        <v>8284.013671875</v>
      </c>
      <c r="O69" s="73"/>
      <c r="P69" s="74"/>
      <c r="Q69" s="74"/>
      <c r="R69" s="86"/>
      <c r="S69" s="46">
        <v>1</v>
      </c>
      <c r="T69" s="46">
        <v>0</v>
      </c>
      <c r="U69" s="47">
        <v>0</v>
      </c>
      <c r="V69" s="47">
        <v>0.167652</v>
      </c>
      <c r="W69" s="47">
        <v>0.013677</v>
      </c>
      <c r="X69" s="47">
        <v>0.002496</v>
      </c>
      <c r="Y69" s="47">
        <v>0</v>
      </c>
      <c r="Z69" s="47">
        <v>0</v>
      </c>
      <c r="AA69" s="69">
        <v>69</v>
      </c>
      <c r="AB69" s="69"/>
      <c r="AC69" s="70"/>
      <c r="AD69" s="76" t="s">
        <v>5937</v>
      </c>
      <c r="AE69" s="83" t="s">
        <v>6248</v>
      </c>
      <c r="AF69" s="76">
        <v>1384</v>
      </c>
      <c r="AG69" s="76">
        <v>2504</v>
      </c>
      <c r="AH69" s="76">
        <v>1343</v>
      </c>
      <c r="AI69" s="76">
        <v>36</v>
      </c>
      <c r="AJ69" s="76">
        <v>971</v>
      </c>
      <c r="AK69" s="76">
        <v>548</v>
      </c>
      <c r="AL69" s="76" t="b">
        <v>0</v>
      </c>
      <c r="AM69" s="78">
        <v>41388.76792824074</v>
      </c>
      <c r="AN69" s="76" t="s">
        <v>6498</v>
      </c>
      <c r="AO69" s="76" t="s">
        <v>6696</v>
      </c>
      <c r="AP69" s="82" t="str">
        <f>HYPERLINK("https://t.co/XFcBKgUNnf")</f>
        <v>https://t.co/XFcBKgUNnf</v>
      </c>
      <c r="AQ69" s="82" t="str">
        <f>HYPERLINK("https://redwerk.com/")</f>
        <v>https://redwerk.com/</v>
      </c>
      <c r="AR69" s="76" t="s">
        <v>6979</v>
      </c>
      <c r="AS69" s="76"/>
      <c r="AT69" s="76"/>
      <c r="AU69" s="76"/>
      <c r="AV69" s="76">
        <v>8.87672951872438E+17</v>
      </c>
      <c r="AW69" s="82" t="str">
        <f>HYPERLINK("https://t.co/XFcBKgUNnf")</f>
        <v>https://t.co/XFcBKgUNnf</v>
      </c>
      <c r="AX69" s="76" t="b">
        <v>0</v>
      </c>
      <c r="AY69" s="76"/>
      <c r="AZ69" s="76"/>
      <c r="BA69" s="76" t="b">
        <v>0</v>
      </c>
      <c r="BB69" s="76" t="b">
        <v>1</v>
      </c>
      <c r="BC69" s="76" t="b">
        <v>0</v>
      </c>
      <c r="BD69" s="76" t="b">
        <v>0</v>
      </c>
      <c r="BE69" s="76" t="b">
        <v>0</v>
      </c>
      <c r="BF69" s="76" t="b">
        <v>0</v>
      </c>
      <c r="BG69" s="76" t="b">
        <v>0</v>
      </c>
      <c r="BH69" s="82" t="str">
        <f>HYPERLINK("https://pbs.twimg.com/profile_banners/1377697838/1632487844")</f>
        <v>https://pbs.twimg.com/profile_banners/1377697838/1632487844</v>
      </c>
      <c r="BI69" s="76"/>
      <c r="BJ69" s="76" t="s">
        <v>7188</v>
      </c>
      <c r="BK69" s="76" t="b">
        <v>0</v>
      </c>
      <c r="BL69" s="76"/>
      <c r="BM69" s="76" t="s">
        <v>65</v>
      </c>
      <c r="BN69" s="76" t="s">
        <v>7190</v>
      </c>
      <c r="BO69" s="82" t="str">
        <f>HYPERLINK("https://twitter.com/redwerk")</f>
        <v>https://twitter.com/redwerk</v>
      </c>
      <c r="BP69" s="46"/>
      <c r="BQ69" s="46"/>
      <c r="BR69" s="46"/>
      <c r="BS69" s="46"/>
      <c r="BT69" s="46"/>
      <c r="BU69" s="46"/>
      <c r="BV69" s="46"/>
      <c r="BW69" s="46"/>
      <c r="BX69" s="46"/>
      <c r="BY69" s="46"/>
      <c r="BZ69" s="2"/>
    </row>
    <row r="70" spans="1:78" ht="15">
      <c r="A70" s="62" t="s">
        <v>446</v>
      </c>
      <c r="B70" s="63"/>
      <c r="C70" s="63"/>
      <c r="D70" s="64"/>
      <c r="E70" s="66"/>
      <c r="F70" s="100" t="str">
        <f>HYPERLINK("https://pbs.twimg.com/profile_images/546202500856946688/Eyu-r1cv_normal.jpeg")</f>
        <v>https://pbs.twimg.com/profile_images/546202500856946688/Eyu-r1cv_normal.jpeg</v>
      </c>
      <c r="G70" s="63"/>
      <c r="H70" s="67"/>
      <c r="I70" s="68"/>
      <c r="J70" s="68"/>
      <c r="K70" s="67" t="s">
        <v>7257</v>
      </c>
      <c r="L70" s="71"/>
      <c r="M70" s="72">
        <v>2135.71337890625</v>
      </c>
      <c r="N70" s="72">
        <v>8158.75634765625</v>
      </c>
      <c r="O70" s="73"/>
      <c r="P70" s="74"/>
      <c r="Q70" s="74"/>
      <c r="R70" s="86"/>
      <c r="S70" s="46">
        <v>1</v>
      </c>
      <c r="T70" s="46">
        <v>0</v>
      </c>
      <c r="U70" s="47">
        <v>0</v>
      </c>
      <c r="V70" s="47">
        <v>0.167652</v>
      </c>
      <c r="W70" s="47">
        <v>0.013677</v>
      </c>
      <c r="X70" s="47">
        <v>0.002496</v>
      </c>
      <c r="Y70" s="47">
        <v>0</v>
      </c>
      <c r="Z70" s="47">
        <v>0</v>
      </c>
      <c r="AA70" s="69">
        <v>70</v>
      </c>
      <c r="AB70" s="69"/>
      <c r="AC70" s="70"/>
      <c r="AD70" s="76" t="s">
        <v>5938</v>
      </c>
      <c r="AE70" s="83" t="s">
        <v>6249</v>
      </c>
      <c r="AF70" s="76">
        <v>0</v>
      </c>
      <c r="AG70" s="76">
        <v>0</v>
      </c>
      <c r="AH70" s="76">
        <v>0</v>
      </c>
      <c r="AI70" s="76">
        <v>0</v>
      </c>
      <c r="AJ70" s="76">
        <v>0</v>
      </c>
      <c r="AK70" s="76">
        <v>0</v>
      </c>
      <c r="AL70" s="76" t="b">
        <v>0</v>
      </c>
      <c r="AM70" s="78">
        <v>41980.19702546296</v>
      </c>
      <c r="AN70" s="76"/>
      <c r="AO70" s="76"/>
      <c r="AP70" s="76"/>
      <c r="AQ70" s="76"/>
      <c r="AR70" s="76"/>
      <c r="AS70" s="76"/>
      <c r="AT70" s="76"/>
      <c r="AU70" s="76"/>
      <c r="AV70" s="76"/>
      <c r="AW70" s="76"/>
      <c r="AX70" s="76" t="b">
        <v>0</v>
      </c>
      <c r="AY70" s="76"/>
      <c r="AZ70" s="76"/>
      <c r="BA70" s="76" t="b">
        <v>0</v>
      </c>
      <c r="BB70" s="76" t="b">
        <v>1</v>
      </c>
      <c r="BC70" s="76" t="b">
        <v>1</v>
      </c>
      <c r="BD70" s="76" t="b">
        <v>0</v>
      </c>
      <c r="BE70" s="76" t="b">
        <v>0</v>
      </c>
      <c r="BF70" s="76" t="b">
        <v>0</v>
      </c>
      <c r="BG70" s="76" t="b">
        <v>0</v>
      </c>
      <c r="BH70" s="76"/>
      <c r="BI70" s="76"/>
      <c r="BJ70" s="76" t="s">
        <v>7188</v>
      </c>
      <c r="BK70" s="76" t="b">
        <v>0</v>
      </c>
      <c r="BL70" s="76"/>
      <c r="BM70" s="76" t="s">
        <v>65</v>
      </c>
      <c r="BN70" s="76" t="s">
        <v>7190</v>
      </c>
      <c r="BO70" s="82" t="str">
        <f>HYPERLINK("https://twitter.com/skynet_tv")</f>
        <v>https://twitter.com/skynet_tv</v>
      </c>
      <c r="BP70" s="46"/>
      <c r="BQ70" s="46"/>
      <c r="BR70" s="46"/>
      <c r="BS70" s="46"/>
      <c r="BT70" s="46"/>
      <c r="BU70" s="46"/>
      <c r="BV70" s="46"/>
      <c r="BW70" s="46"/>
      <c r="BX70" s="46"/>
      <c r="BY70" s="46"/>
      <c r="BZ70" s="2"/>
    </row>
    <row r="71" spans="1:78" ht="15">
      <c r="A71" s="62" t="s">
        <v>447</v>
      </c>
      <c r="B71" s="63"/>
      <c r="C71" s="63"/>
      <c r="D71" s="64"/>
      <c r="E71" s="66"/>
      <c r="F71" s="100" t="str">
        <f>HYPERLINK("https://pbs.twimg.com/profile_images/1481962437410791434/ANU1lEfG_normal.png")</f>
        <v>https://pbs.twimg.com/profile_images/1481962437410791434/ANU1lEfG_normal.png</v>
      </c>
      <c r="G71" s="63"/>
      <c r="H71" s="67"/>
      <c r="I71" s="68"/>
      <c r="J71" s="68"/>
      <c r="K71" s="67" t="s">
        <v>7258</v>
      </c>
      <c r="L71" s="71"/>
      <c r="M71" s="72">
        <v>2162.353515625</v>
      </c>
      <c r="N71" s="72">
        <v>8029.40380859375</v>
      </c>
      <c r="O71" s="73"/>
      <c r="P71" s="74"/>
      <c r="Q71" s="74"/>
      <c r="R71" s="86"/>
      <c r="S71" s="46">
        <v>1</v>
      </c>
      <c r="T71" s="46">
        <v>0</v>
      </c>
      <c r="U71" s="47">
        <v>0</v>
      </c>
      <c r="V71" s="47">
        <v>0.167652</v>
      </c>
      <c r="W71" s="47">
        <v>0.013677</v>
      </c>
      <c r="X71" s="47">
        <v>0.002496</v>
      </c>
      <c r="Y71" s="47">
        <v>0</v>
      </c>
      <c r="Z71" s="47">
        <v>0</v>
      </c>
      <c r="AA71" s="69">
        <v>71</v>
      </c>
      <c r="AB71" s="69"/>
      <c r="AC71" s="70"/>
      <c r="AD71" s="76" t="s">
        <v>5939</v>
      </c>
      <c r="AE71" s="83" t="s">
        <v>6250</v>
      </c>
      <c r="AF71" s="76">
        <v>543</v>
      </c>
      <c r="AG71" s="76">
        <v>440</v>
      </c>
      <c r="AH71" s="76">
        <v>756</v>
      </c>
      <c r="AI71" s="76">
        <v>6</v>
      </c>
      <c r="AJ71" s="76">
        <v>257</v>
      </c>
      <c r="AK71" s="76">
        <v>467</v>
      </c>
      <c r="AL71" s="76" t="b">
        <v>0</v>
      </c>
      <c r="AM71" s="78">
        <v>40497.61478009259</v>
      </c>
      <c r="AN71" s="76" t="s">
        <v>6499</v>
      </c>
      <c r="AO71" s="76" t="s">
        <v>6697</v>
      </c>
      <c r="AP71" s="82" t="str">
        <f>HYPERLINK("https://t.co/q501ZI3iZ2")</f>
        <v>https://t.co/q501ZI3iZ2</v>
      </c>
      <c r="AQ71" s="82" t="str">
        <f>HYPERLINK("http://intexsoft.com")</f>
        <v>http://intexsoft.com</v>
      </c>
      <c r="AR71" s="76" t="s">
        <v>6980</v>
      </c>
      <c r="AS71" s="76"/>
      <c r="AT71" s="76"/>
      <c r="AU71" s="76"/>
      <c r="AV71" s="76"/>
      <c r="AW71" s="82" t="str">
        <f>HYPERLINK("https://t.co/q501ZI3iZ2")</f>
        <v>https://t.co/q501ZI3iZ2</v>
      </c>
      <c r="AX71" s="76" t="b">
        <v>0</v>
      </c>
      <c r="AY71" s="76"/>
      <c r="AZ71" s="76"/>
      <c r="BA71" s="76" t="b">
        <v>1</v>
      </c>
      <c r="BB71" s="76" t="b">
        <v>1</v>
      </c>
      <c r="BC71" s="76" t="b">
        <v>0</v>
      </c>
      <c r="BD71" s="76" t="b">
        <v>0</v>
      </c>
      <c r="BE71" s="76" t="b">
        <v>0</v>
      </c>
      <c r="BF71" s="76" t="b">
        <v>0</v>
      </c>
      <c r="BG71" s="76" t="b">
        <v>0</v>
      </c>
      <c r="BH71" s="82" t="str">
        <f>HYPERLINK("https://pbs.twimg.com/profile_banners/216002023/1656586510")</f>
        <v>https://pbs.twimg.com/profile_banners/216002023/1656586510</v>
      </c>
      <c r="BI71" s="76"/>
      <c r="BJ71" s="76" t="s">
        <v>7188</v>
      </c>
      <c r="BK71" s="76" t="b">
        <v>0</v>
      </c>
      <c r="BL71" s="76"/>
      <c r="BM71" s="76" t="s">
        <v>65</v>
      </c>
      <c r="BN71" s="76" t="s">
        <v>7190</v>
      </c>
      <c r="BO71" s="82" t="str">
        <f>HYPERLINK("https://twitter.com/intexsoft")</f>
        <v>https://twitter.com/intexsoft</v>
      </c>
      <c r="BP71" s="46"/>
      <c r="BQ71" s="46"/>
      <c r="BR71" s="46"/>
      <c r="BS71" s="46"/>
      <c r="BT71" s="46"/>
      <c r="BU71" s="46"/>
      <c r="BV71" s="46"/>
      <c r="BW71" s="46"/>
      <c r="BX71" s="46"/>
      <c r="BY71" s="46"/>
      <c r="BZ71" s="2"/>
    </row>
    <row r="72" spans="1:78" ht="15">
      <c r="A72" s="62" t="s">
        <v>448</v>
      </c>
      <c r="B72" s="63"/>
      <c r="C72" s="63"/>
      <c r="D72" s="64"/>
      <c r="E72" s="66"/>
      <c r="F72" s="100" t="str">
        <f>HYPERLINK("https://pbs.twimg.com/profile_images/1661480939732516866/UW2j5hnb_normal.jpg")</f>
        <v>https://pbs.twimg.com/profile_images/1661480939732516866/UW2j5hnb_normal.jpg</v>
      </c>
      <c r="G72" s="63"/>
      <c r="H72" s="67"/>
      <c r="I72" s="68"/>
      <c r="J72" s="68"/>
      <c r="K72" s="67" t="s">
        <v>7259</v>
      </c>
      <c r="L72" s="71"/>
      <c r="M72" s="72">
        <v>2188.993408203125</v>
      </c>
      <c r="N72" s="72">
        <v>7896.12353515625</v>
      </c>
      <c r="O72" s="73"/>
      <c r="P72" s="74"/>
      <c r="Q72" s="74"/>
      <c r="R72" s="86"/>
      <c r="S72" s="46">
        <v>1</v>
      </c>
      <c r="T72" s="46">
        <v>0</v>
      </c>
      <c r="U72" s="47">
        <v>0</v>
      </c>
      <c r="V72" s="47">
        <v>0.167652</v>
      </c>
      <c r="W72" s="47">
        <v>0.013677</v>
      </c>
      <c r="X72" s="47">
        <v>0.002496</v>
      </c>
      <c r="Y72" s="47">
        <v>0</v>
      </c>
      <c r="Z72" s="47">
        <v>0</v>
      </c>
      <c r="AA72" s="69">
        <v>72</v>
      </c>
      <c r="AB72" s="69"/>
      <c r="AC72" s="70"/>
      <c r="AD72" s="76" t="s">
        <v>5940</v>
      </c>
      <c r="AE72" s="83" t="s">
        <v>6251</v>
      </c>
      <c r="AF72" s="76">
        <v>1569</v>
      </c>
      <c r="AG72" s="76">
        <v>1160</v>
      </c>
      <c r="AH72" s="76">
        <v>5149</v>
      </c>
      <c r="AI72" s="76">
        <v>79</v>
      </c>
      <c r="AJ72" s="76">
        <v>764</v>
      </c>
      <c r="AK72" s="76">
        <v>1479</v>
      </c>
      <c r="AL72" s="76" t="b">
        <v>0</v>
      </c>
      <c r="AM72" s="78">
        <v>40304.81806712963</v>
      </c>
      <c r="AN72" s="76" t="s">
        <v>6500</v>
      </c>
      <c r="AO72" s="76" t="s">
        <v>6698</v>
      </c>
      <c r="AP72" s="82" t="str">
        <f>HYPERLINK("https://t.co/kB7HiBS3ck")</f>
        <v>https://t.co/kB7HiBS3ck</v>
      </c>
      <c r="AQ72" s="82" t="str">
        <f>HYPERLINK("https://www.itexico.com")</f>
        <v>https://www.itexico.com</v>
      </c>
      <c r="AR72" s="76" t="s">
        <v>6981</v>
      </c>
      <c r="AS72" s="76"/>
      <c r="AT72" s="76"/>
      <c r="AU72" s="76"/>
      <c r="AV72" s="76">
        <v>1.3748656884568E+18</v>
      </c>
      <c r="AW72" s="82" t="str">
        <f>HYPERLINK("https://t.co/kB7HiBS3ck")</f>
        <v>https://t.co/kB7HiBS3ck</v>
      </c>
      <c r="AX72" s="76" t="b">
        <v>0</v>
      </c>
      <c r="AY72" s="76"/>
      <c r="AZ72" s="76"/>
      <c r="BA72" s="76" t="b">
        <v>1</v>
      </c>
      <c r="BB72" s="76" t="b">
        <v>0</v>
      </c>
      <c r="BC72" s="76" t="b">
        <v>0</v>
      </c>
      <c r="BD72" s="76" t="b">
        <v>0</v>
      </c>
      <c r="BE72" s="76" t="b">
        <v>1</v>
      </c>
      <c r="BF72" s="76" t="b">
        <v>0</v>
      </c>
      <c r="BG72" s="76" t="b">
        <v>0</v>
      </c>
      <c r="BH72" s="82" t="str">
        <f>HYPERLINK("https://pbs.twimg.com/profile_banners/140945550/1698782797")</f>
        <v>https://pbs.twimg.com/profile_banners/140945550/1698782797</v>
      </c>
      <c r="BI72" s="76"/>
      <c r="BJ72" s="76" t="s">
        <v>7188</v>
      </c>
      <c r="BK72" s="76" t="b">
        <v>0</v>
      </c>
      <c r="BL72" s="76"/>
      <c r="BM72" s="76" t="s">
        <v>65</v>
      </c>
      <c r="BN72" s="76" t="s">
        <v>7190</v>
      </c>
      <c r="BO72" s="82" t="str">
        <f>HYPERLINK("https://twitter.com/improvingmx")</f>
        <v>https://twitter.com/improvingmx</v>
      </c>
      <c r="BP72" s="46"/>
      <c r="BQ72" s="46"/>
      <c r="BR72" s="46"/>
      <c r="BS72" s="46"/>
      <c r="BT72" s="46"/>
      <c r="BU72" s="46"/>
      <c r="BV72" s="46"/>
      <c r="BW72" s="46"/>
      <c r="BX72" s="46"/>
      <c r="BY72" s="46"/>
      <c r="BZ72" s="2"/>
    </row>
    <row r="73" spans="1:78" ht="15">
      <c r="A73" s="62" t="s">
        <v>449</v>
      </c>
      <c r="B73" s="63"/>
      <c r="C73" s="63"/>
      <c r="D73" s="64"/>
      <c r="E73" s="66"/>
      <c r="F73" s="100" t="str">
        <f>HYPERLINK("https://pbs.twimg.com/profile_images/963715007786569728/Ka6AcKve_normal.jpg")</f>
        <v>https://pbs.twimg.com/profile_images/963715007786569728/Ka6AcKve_normal.jpg</v>
      </c>
      <c r="G73" s="63"/>
      <c r="H73" s="67"/>
      <c r="I73" s="68"/>
      <c r="J73" s="68"/>
      <c r="K73" s="67" t="s">
        <v>7260</v>
      </c>
      <c r="L73" s="71"/>
      <c r="M73" s="72">
        <v>2215.63330078125</v>
      </c>
      <c r="N73" s="72">
        <v>7759.0869140625</v>
      </c>
      <c r="O73" s="73"/>
      <c r="P73" s="74"/>
      <c r="Q73" s="74"/>
      <c r="R73" s="86"/>
      <c r="S73" s="46">
        <v>1</v>
      </c>
      <c r="T73" s="46">
        <v>0</v>
      </c>
      <c r="U73" s="47">
        <v>0</v>
      </c>
      <c r="V73" s="47">
        <v>0.167652</v>
      </c>
      <c r="W73" s="47">
        <v>0.013677</v>
      </c>
      <c r="X73" s="47">
        <v>0.002496</v>
      </c>
      <c r="Y73" s="47">
        <v>0</v>
      </c>
      <c r="Z73" s="47">
        <v>0</v>
      </c>
      <c r="AA73" s="69">
        <v>73</v>
      </c>
      <c r="AB73" s="69"/>
      <c r="AC73" s="70"/>
      <c r="AD73" s="76" t="s">
        <v>5941</v>
      </c>
      <c r="AE73" s="83" t="s">
        <v>6252</v>
      </c>
      <c r="AF73" s="76">
        <v>142</v>
      </c>
      <c r="AG73" s="76">
        <v>403</v>
      </c>
      <c r="AH73" s="76">
        <v>2418</v>
      </c>
      <c r="AI73" s="76">
        <v>12</v>
      </c>
      <c r="AJ73" s="76">
        <v>122</v>
      </c>
      <c r="AK73" s="76">
        <v>293</v>
      </c>
      <c r="AL73" s="76" t="b">
        <v>0</v>
      </c>
      <c r="AM73" s="78">
        <v>42463.21939814815</v>
      </c>
      <c r="AN73" s="76"/>
      <c r="AO73" s="76" t="s">
        <v>6699</v>
      </c>
      <c r="AP73" s="82" t="str">
        <f>HYPERLINK("https://t.co/LA30YQnSKL")</f>
        <v>https://t.co/LA30YQnSKL</v>
      </c>
      <c r="AQ73" s="82" t="str">
        <f>HYPERLINK("https://www.star-knowledge.com")</f>
        <v>https://www.star-knowledge.com</v>
      </c>
      <c r="AR73" s="76" t="s">
        <v>6982</v>
      </c>
      <c r="AS73" s="76"/>
      <c r="AT73" s="76"/>
      <c r="AU73" s="76"/>
      <c r="AV73" s="76">
        <v>1.29171322965214E+18</v>
      </c>
      <c r="AW73" s="82" t="str">
        <f>HYPERLINK("https://t.co/LA30YQnSKL")</f>
        <v>https://t.co/LA30YQnSKL</v>
      </c>
      <c r="AX73" s="76" t="b">
        <v>0</v>
      </c>
      <c r="AY73" s="76"/>
      <c r="AZ73" s="76"/>
      <c r="BA73" s="76" t="b">
        <v>0</v>
      </c>
      <c r="BB73" s="76" t="b">
        <v>1</v>
      </c>
      <c r="BC73" s="76" t="b">
        <v>0</v>
      </c>
      <c r="BD73" s="76" t="b">
        <v>0</v>
      </c>
      <c r="BE73" s="76" t="b">
        <v>0</v>
      </c>
      <c r="BF73" s="76" t="b">
        <v>0</v>
      </c>
      <c r="BG73" s="76" t="b">
        <v>0</v>
      </c>
      <c r="BH73" s="82" t="str">
        <f>HYPERLINK("https://pbs.twimg.com/profile_banners/716494420888006660/1517918445")</f>
        <v>https://pbs.twimg.com/profile_banners/716494420888006660/1517918445</v>
      </c>
      <c r="BI73" s="76"/>
      <c r="BJ73" s="76" t="s">
        <v>7188</v>
      </c>
      <c r="BK73" s="76" t="b">
        <v>0</v>
      </c>
      <c r="BL73" s="76"/>
      <c r="BM73" s="76" t="s">
        <v>65</v>
      </c>
      <c r="BN73" s="76" t="s">
        <v>7190</v>
      </c>
      <c r="BO73" s="82" t="str">
        <f>HYPERLINK("https://twitter.com/star_knowledge")</f>
        <v>https://twitter.com/star_knowledge</v>
      </c>
      <c r="BP73" s="46"/>
      <c r="BQ73" s="46"/>
      <c r="BR73" s="46"/>
      <c r="BS73" s="46"/>
      <c r="BT73" s="46"/>
      <c r="BU73" s="46"/>
      <c r="BV73" s="46"/>
      <c r="BW73" s="46"/>
      <c r="BX73" s="46"/>
      <c r="BY73" s="46"/>
      <c r="BZ73" s="2"/>
    </row>
    <row r="74" spans="1:78" ht="15">
      <c r="A74" s="62" t="s">
        <v>450</v>
      </c>
      <c r="B74" s="63"/>
      <c r="C74" s="63"/>
      <c r="D74" s="64"/>
      <c r="E74" s="66"/>
      <c r="F74" s="100" t="str">
        <f>HYPERLINK("https://pbs.twimg.com/profile_images/378800000677725332/99dadbfd957074b303401e8d7fe6c097_normal.png")</f>
        <v>https://pbs.twimg.com/profile_images/378800000677725332/99dadbfd957074b303401e8d7fe6c097_normal.png</v>
      </c>
      <c r="G74" s="63"/>
      <c r="H74" s="67"/>
      <c r="I74" s="68"/>
      <c r="J74" s="68"/>
      <c r="K74" s="67" t="s">
        <v>7261</v>
      </c>
      <c r="L74" s="71"/>
      <c r="M74" s="72">
        <v>2242.273193359375</v>
      </c>
      <c r="N74" s="72">
        <v>7618.47412109375</v>
      </c>
      <c r="O74" s="73"/>
      <c r="P74" s="74"/>
      <c r="Q74" s="74"/>
      <c r="R74" s="86"/>
      <c r="S74" s="46">
        <v>1</v>
      </c>
      <c r="T74" s="46">
        <v>0</v>
      </c>
      <c r="U74" s="47">
        <v>0</v>
      </c>
      <c r="V74" s="47">
        <v>0.167652</v>
      </c>
      <c r="W74" s="47">
        <v>0.013677</v>
      </c>
      <c r="X74" s="47">
        <v>0.002496</v>
      </c>
      <c r="Y74" s="47">
        <v>0</v>
      </c>
      <c r="Z74" s="47">
        <v>0</v>
      </c>
      <c r="AA74" s="69">
        <v>74</v>
      </c>
      <c r="AB74" s="69"/>
      <c r="AC74" s="70"/>
      <c r="AD74" s="76" t="s">
        <v>5942</v>
      </c>
      <c r="AE74" s="83" t="s">
        <v>6253</v>
      </c>
      <c r="AF74" s="76">
        <v>74</v>
      </c>
      <c r="AG74" s="76">
        <v>1</v>
      </c>
      <c r="AH74" s="76">
        <v>201</v>
      </c>
      <c r="AI74" s="76">
        <v>0</v>
      </c>
      <c r="AJ74" s="76">
        <v>0</v>
      </c>
      <c r="AK74" s="76">
        <v>0</v>
      </c>
      <c r="AL74" s="76" t="b">
        <v>0</v>
      </c>
      <c r="AM74" s="78">
        <v>40236.852858796294</v>
      </c>
      <c r="AN74" s="76" t="s">
        <v>6501</v>
      </c>
      <c r="AO74" s="76" t="s">
        <v>6700</v>
      </c>
      <c r="AP74" s="82" t="str">
        <f>HYPERLINK("http://t.co/CNyT559TDj")</f>
        <v>http://t.co/CNyT559TDj</v>
      </c>
      <c r="AQ74" s="82" t="str">
        <f>HYPERLINK("http://square63.com")</f>
        <v>http://square63.com</v>
      </c>
      <c r="AR74" s="76" t="s">
        <v>6983</v>
      </c>
      <c r="AS74" s="76"/>
      <c r="AT74" s="76"/>
      <c r="AU74" s="76"/>
      <c r="AV74" s="76"/>
      <c r="AW74" s="82" t="str">
        <f>HYPERLINK("http://t.co/CNyT559TDj")</f>
        <v>http://t.co/CNyT559TDj</v>
      </c>
      <c r="AX74" s="76" t="b">
        <v>0</v>
      </c>
      <c r="AY74" s="76"/>
      <c r="AZ74" s="76"/>
      <c r="BA74" s="76" t="b">
        <v>0</v>
      </c>
      <c r="BB74" s="76" t="b">
        <v>1</v>
      </c>
      <c r="BC74" s="76" t="b">
        <v>0</v>
      </c>
      <c r="BD74" s="76" t="b">
        <v>0</v>
      </c>
      <c r="BE74" s="76" t="b">
        <v>0</v>
      </c>
      <c r="BF74" s="76" t="b">
        <v>0</v>
      </c>
      <c r="BG74" s="76" t="b">
        <v>0</v>
      </c>
      <c r="BH74" s="76"/>
      <c r="BI74" s="76"/>
      <c r="BJ74" s="76" t="s">
        <v>7188</v>
      </c>
      <c r="BK74" s="76" t="b">
        <v>0</v>
      </c>
      <c r="BL74" s="76"/>
      <c r="BM74" s="76" t="s">
        <v>65</v>
      </c>
      <c r="BN74" s="76" t="s">
        <v>7190</v>
      </c>
      <c r="BO74" s="82" t="str">
        <f>HYPERLINK("https://twitter.com/square63")</f>
        <v>https://twitter.com/square63</v>
      </c>
      <c r="BP74" s="46"/>
      <c r="BQ74" s="46"/>
      <c r="BR74" s="46"/>
      <c r="BS74" s="46"/>
      <c r="BT74" s="46"/>
      <c r="BU74" s="46"/>
      <c r="BV74" s="46"/>
      <c r="BW74" s="46"/>
      <c r="BX74" s="46"/>
      <c r="BY74" s="46"/>
      <c r="BZ74" s="2"/>
    </row>
    <row r="75" spans="1:78" ht="15">
      <c r="A75" s="62" t="s">
        <v>451</v>
      </c>
      <c r="B75" s="63"/>
      <c r="C75" s="63"/>
      <c r="D75" s="64"/>
      <c r="E75" s="66"/>
      <c r="F75" s="100" t="str">
        <f>HYPERLINK("https://pbs.twimg.com/profile_images/445803776637538304/xOkVCqbt_normal.png")</f>
        <v>https://pbs.twimg.com/profile_images/445803776637538304/xOkVCqbt_normal.png</v>
      </c>
      <c r="G75" s="63"/>
      <c r="H75" s="67"/>
      <c r="I75" s="68"/>
      <c r="J75" s="68"/>
      <c r="K75" s="67" t="s">
        <v>7262</v>
      </c>
      <c r="L75" s="71"/>
      <c r="M75" s="72">
        <v>2268.9130859375</v>
      </c>
      <c r="N75" s="72">
        <v>7474.4658203125</v>
      </c>
      <c r="O75" s="73"/>
      <c r="P75" s="74"/>
      <c r="Q75" s="74"/>
      <c r="R75" s="86"/>
      <c r="S75" s="46">
        <v>1</v>
      </c>
      <c r="T75" s="46">
        <v>0</v>
      </c>
      <c r="U75" s="47">
        <v>0</v>
      </c>
      <c r="V75" s="47">
        <v>0.167652</v>
      </c>
      <c r="W75" s="47">
        <v>0.013677</v>
      </c>
      <c r="X75" s="47">
        <v>0.002496</v>
      </c>
      <c r="Y75" s="47">
        <v>0</v>
      </c>
      <c r="Z75" s="47">
        <v>0</v>
      </c>
      <c r="AA75" s="69">
        <v>75</v>
      </c>
      <c r="AB75" s="69"/>
      <c r="AC75" s="70"/>
      <c r="AD75" s="76" t="s">
        <v>5943</v>
      </c>
      <c r="AE75" s="83" t="s">
        <v>6254</v>
      </c>
      <c r="AF75" s="76">
        <v>664</v>
      </c>
      <c r="AG75" s="76">
        <v>5</v>
      </c>
      <c r="AH75" s="76">
        <v>1134</v>
      </c>
      <c r="AI75" s="76">
        <v>51</v>
      </c>
      <c r="AJ75" s="76">
        <v>48</v>
      </c>
      <c r="AK75" s="76">
        <v>281</v>
      </c>
      <c r="AL75" s="76" t="b">
        <v>0</v>
      </c>
      <c r="AM75" s="78">
        <v>41653.70457175926</v>
      </c>
      <c r="AN75" s="76" t="s">
        <v>3889</v>
      </c>
      <c r="AO75" s="76" t="s">
        <v>6701</v>
      </c>
      <c r="AP75" s="82" t="str">
        <f>HYPERLINK("http://t.co/NVAmWWkkfX")</f>
        <v>http://t.co/NVAmWWkkfX</v>
      </c>
      <c r="AQ75" s="82" t="str">
        <f>HYPERLINK("http://digitbazar.com/")</f>
        <v>http://digitbazar.com/</v>
      </c>
      <c r="AR75" s="76" t="s">
        <v>6984</v>
      </c>
      <c r="AS75" s="76"/>
      <c r="AT75" s="76"/>
      <c r="AU75" s="76"/>
      <c r="AV75" s="76"/>
      <c r="AW75" s="82" t="str">
        <f>HYPERLINK("http://t.co/NVAmWWkkfX")</f>
        <v>http://t.co/NVAmWWkkfX</v>
      </c>
      <c r="AX75" s="76" t="b">
        <v>0</v>
      </c>
      <c r="AY75" s="76"/>
      <c r="AZ75" s="76"/>
      <c r="BA75" s="76" t="b">
        <v>0</v>
      </c>
      <c r="BB75" s="76" t="b">
        <v>1</v>
      </c>
      <c r="BC75" s="76" t="b">
        <v>0</v>
      </c>
      <c r="BD75" s="76" t="b">
        <v>0</v>
      </c>
      <c r="BE75" s="76" t="b">
        <v>0</v>
      </c>
      <c r="BF75" s="76" t="b">
        <v>0</v>
      </c>
      <c r="BG75" s="76" t="b">
        <v>0</v>
      </c>
      <c r="BH75" s="82" t="str">
        <f>HYPERLINK("https://pbs.twimg.com/profile_banners/2291416165/1423032418")</f>
        <v>https://pbs.twimg.com/profile_banners/2291416165/1423032418</v>
      </c>
      <c r="BI75" s="76"/>
      <c r="BJ75" s="76" t="s">
        <v>7188</v>
      </c>
      <c r="BK75" s="76" t="b">
        <v>0</v>
      </c>
      <c r="BL75" s="76"/>
      <c r="BM75" s="76" t="s">
        <v>65</v>
      </c>
      <c r="BN75" s="76" t="s">
        <v>7190</v>
      </c>
      <c r="BO75" s="82" t="str">
        <f>HYPERLINK("https://twitter.com/digitbazar")</f>
        <v>https://twitter.com/digitbazar</v>
      </c>
      <c r="BP75" s="46"/>
      <c r="BQ75" s="46"/>
      <c r="BR75" s="46"/>
      <c r="BS75" s="46"/>
      <c r="BT75" s="46"/>
      <c r="BU75" s="46"/>
      <c r="BV75" s="46"/>
      <c r="BW75" s="46"/>
      <c r="BX75" s="46"/>
      <c r="BY75" s="46"/>
      <c r="BZ75" s="2"/>
    </row>
    <row r="76" spans="1:78" ht="15">
      <c r="A76" s="62" t="s">
        <v>452</v>
      </c>
      <c r="B76" s="63"/>
      <c r="C76" s="63"/>
      <c r="D76" s="64"/>
      <c r="E76" s="66"/>
      <c r="F76" s="100" t="str">
        <f>HYPERLINK("https://pbs.twimg.com/profile_images/440412698073776128/FmffSpXH_normal.png")</f>
        <v>https://pbs.twimg.com/profile_images/440412698073776128/FmffSpXH_normal.png</v>
      </c>
      <c r="G76" s="63"/>
      <c r="H76" s="67"/>
      <c r="I76" s="68"/>
      <c r="J76" s="68"/>
      <c r="K76" s="67" t="s">
        <v>7263</v>
      </c>
      <c r="L76" s="71"/>
      <c r="M76" s="72">
        <v>2295.552978515625</v>
      </c>
      <c r="N76" s="72">
        <v>7327.2490234375</v>
      </c>
      <c r="O76" s="73"/>
      <c r="P76" s="74"/>
      <c r="Q76" s="74"/>
      <c r="R76" s="86"/>
      <c r="S76" s="46">
        <v>1</v>
      </c>
      <c r="T76" s="46">
        <v>0</v>
      </c>
      <c r="U76" s="47">
        <v>0</v>
      </c>
      <c r="V76" s="47">
        <v>0.167652</v>
      </c>
      <c r="W76" s="47">
        <v>0.013677</v>
      </c>
      <c r="X76" s="47">
        <v>0.002496</v>
      </c>
      <c r="Y76" s="47">
        <v>0</v>
      </c>
      <c r="Z76" s="47">
        <v>0</v>
      </c>
      <c r="AA76" s="69">
        <v>76</v>
      </c>
      <c r="AB76" s="69"/>
      <c r="AC76" s="70"/>
      <c r="AD76" s="76" t="s">
        <v>5944</v>
      </c>
      <c r="AE76" s="83" t="s">
        <v>6255</v>
      </c>
      <c r="AF76" s="76">
        <v>4397</v>
      </c>
      <c r="AG76" s="76">
        <v>16</v>
      </c>
      <c r="AH76" s="76">
        <v>1035</v>
      </c>
      <c r="AI76" s="76">
        <v>0</v>
      </c>
      <c r="AJ76" s="76">
        <v>0</v>
      </c>
      <c r="AK76" s="76">
        <v>6</v>
      </c>
      <c r="AL76" s="76" t="b">
        <v>0</v>
      </c>
      <c r="AM76" s="78">
        <v>40568.578935185185</v>
      </c>
      <c r="AN76" s="76" t="s">
        <v>6502</v>
      </c>
      <c r="AO76" s="76" t="s">
        <v>6702</v>
      </c>
      <c r="AP76" s="82" t="str">
        <f>HYPERLINK("https://t.co/Z1qg9nUVDo")</f>
        <v>https://t.co/Z1qg9nUVDo</v>
      </c>
      <c r="AQ76" s="82" t="str">
        <f>HYPERLINK("https://www.nichetechsolutions.com/")</f>
        <v>https://www.nichetechsolutions.com/</v>
      </c>
      <c r="AR76" s="76" t="s">
        <v>6985</v>
      </c>
      <c r="AS76" s="76"/>
      <c r="AT76" s="76"/>
      <c r="AU76" s="76"/>
      <c r="AV76" s="76"/>
      <c r="AW76" s="82" t="str">
        <f>HYPERLINK("https://t.co/Z1qg9nUVDo")</f>
        <v>https://t.co/Z1qg9nUVDo</v>
      </c>
      <c r="AX76" s="76" t="b">
        <v>0</v>
      </c>
      <c r="AY76" s="76"/>
      <c r="AZ76" s="76"/>
      <c r="BA76" s="76" t="b">
        <v>0</v>
      </c>
      <c r="BB76" s="76" t="b">
        <v>1</v>
      </c>
      <c r="BC76" s="76" t="b">
        <v>0</v>
      </c>
      <c r="BD76" s="76" t="b">
        <v>0</v>
      </c>
      <c r="BE76" s="76" t="b">
        <v>0</v>
      </c>
      <c r="BF76" s="76" t="b">
        <v>0</v>
      </c>
      <c r="BG76" s="76" t="b">
        <v>0</v>
      </c>
      <c r="BH76" s="82" t="str">
        <f>HYPERLINK("https://pbs.twimg.com/profile_banners/242740911/1409941576")</f>
        <v>https://pbs.twimg.com/profile_banners/242740911/1409941576</v>
      </c>
      <c r="BI76" s="76"/>
      <c r="BJ76" s="76" t="s">
        <v>7188</v>
      </c>
      <c r="BK76" s="76" t="b">
        <v>0</v>
      </c>
      <c r="BL76" s="76"/>
      <c r="BM76" s="76" t="s">
        <v>65</v>
      </c>
      <c r="BN76" s="76" t="s">
        <v>7190</v>
      </c>
      <c r="BO76" s="82" t="str">
        <f>HYPERLINK("https://twitter.com/nichetechsol")</f>
        <v>https://twitter.com/nichetechsol</v>
      </c>
      <c r="BP76" s="46"/>
      <c r="BQ76" s="46"/>
      <c r="BR76" s="46"/>
      <c r="BS76" s="46"/>
      <c r="BT76" s="46"/>
      <c r="BU76" s="46"/>
      <c r="BV76" s="46"/>
      <c r="BW76" s="46"/>
      <c r="BX76" s="46"/>
      <c r="BY76" s="46"/>
      <c r="BZ76" s="2"/>
    </row>
    <row r="77" spans="1:78" ht="15">
      <c r="A77" s="62" t="s">
        <v>453</v>
      </c>
      <c r="B77" s="63"/>
      <c r="C77" s="63"/>
      <c r="D77" s="64"/>
      <c r="E77" s="66"/>
      <c r="F77" s="100" t="str">
        <f>HYPERLINK("https://pbs.twimg.com/profile_images/742712387942371328/hWFsazyj_normal.jpg")</f>
        <v>https://pbs.twimg.com/profile_images/742712387942371328/hWFsazyj_normal.jpg</v>
      </c>
      <c r="G77" s="63"/>
      <c r="H77" s="67"/>
      <c r="I77" s="68"/>
      <c r="J77" s="68"/>
      <c r="K77" s="67" t="s">
        <v>7264</v>
      </c>
      <c r="L77" s="71"/>
      <c r="M77" s="72">
        <v>2322.192626953125</v>
      </c>
      <c r="N77" s="72">
        <v>7177.0146484375</v>
      </c>
      <c r="O77" s="73"/>
      <c r="P77" s="74"/>
      <c r="Q77" s="74"/>
      <c r="R77" s="86"/>
      <c r="S77" s="46">
        <v>1</v>
      </c>
      <c r="T77" s="46">
        <v>0</v>
      </c>
      <c r="U77" s="47">
        <v>0</v>
      </c>
      <c r="V77" s="47">
        <v>0.167652</v>
      </c>
      <c r="W77" s="47">
        <v>0.013677</v>
      </c>
      <c r="X77" s="47">
        <v>0.002496</v>
      </c>
      <c r="Y77" s="47">
        <v>0</v>
      </c>
      <c r="Z77" s="47">
        <v>0</v>
      </c>
      <c r="AA77" s="69">
        <v>77</v>
      </c>
      <c r="AB77" s="69"/>
      <c r="AC77" s="70"/>
      <c r="AD77" s="76" t="s">
        <v>5945</v>
      </c>
      <c r="AE77" s="83" t="s">
        <v>6256</v>
      </c>
      <c r="AF77" s="76">
        <v>2063</v>
      </c>
      <c r="AG77" s="76">
        <v>2552</v>
      </c>
      <c r="AH77" s="76">
        <v>5384</v>
      </c>
      <c r="AI77" s="76">
        <v>304</v>
      </c>
      <c r="AJ77" s="76">
        <v>115</v>
      </c>
      <c r="AK77" s="76">
        <v>1425</v>
      </c>
      <c r="AL77" s="76" t="b">
        <v>0</v>
      </c>
      <c r="AM77" s="78">
        <v>40006.14208333333</v>
      </c>
      <c r="AN77" s="76" t="s">
        <v>6503</v>
      </c>
      <c r="AO77" s="76" t="s">
        <v>6703</v>
      </c>
      <c r="AP77" s="82" t="str">
        <f>HYPERLINK("https://t.co/GtfmPUrTFt")</f>
        <v>https://t.co/GtfmPUrTFt</v>
      </c>
      <c r="AQ77" s="82" t="str">
        <f>HYPERLINK("https://pointclearsolutions.com/")</f>
        <v>https://pointclearsolutions.com/</v>
      </c>
      <c r="AR77" s="76" t="s">
        <v>6986</v>
      </c>
      <c r="AS77" s="76"/>
      <c r="AT77" s="76"/>
      <c r="AU77" s="76"/>
      <c r="AV77" s="76"/>
      <c r="AW77" s="82" t="str">
        <f>HYPERLINK("https://t.co/GtfmPUrTFt")</f>
        <v>https://t.co/GtfmPUrTFt</v>
      </c>
      <c r="AX77" s="76" t="b">
        <v>0</v>
      </c>
      <c r="AY77" s="76"/>
      <c r="AZ77" s="76"/>
      <c r="BA77" s="76" t="b">
        <v>0</v>
      </c>
      <c r="BB77" s="76" t="b">
        <v>1</v>
      </c>
      <c r="BC77" s="76" t="b">
        <v>0</v>
      </c>
      <c r="BD77" s="76" t="b">
        <v>0</v>
      </c>
      <c r="BE77" s="76" t="b">
        <v>0</v>
      </c>
      <c r="BF77" s="76" t="b">
        <v>0</v>
      </c>
      <c r="BG77" s="76" t="b">
        <v>0</v>
      </c>
      <c r="BH77" s="82" t="str">
        <f>HYPERLINK("https://pbs.twimg.com/profile_banners/56006076/1465911389")</f>
        <v>https://pbs.twimg.com/profile_banners/56006076/1465911389</v>
      </c>
      <c r="BI77" s="76"/>
      <c r="BJ77" s="76" t="s">
        <v>7188</v>
      </c>
      <c r="BK77" s="76" t="b">
        <v>0</v>
      </c>
      <c r="BL77" s="76"/>
      <c r="BM77" s="76" t="s">
        <v>65</v>
      </c>
      <c r="BN77" s="76" t="s">
        <v>7190</v>
      </c>
      <c r="BO77" s="82" t="str">
        <f>HYPERLINK("https://twitter.com/worryfreelabs")</f>
        <v>https://twitter.com/worryfreelabs</v>
      </c>
      <c r="BP77" s="46"/>
      <c r="BQ77" s="46"/>
      <c r="BR77" s="46"/>
      <c r="BS77" s="46"/>
      <c r="BT77" s="46"/>
      <c r="BU77" s="46"/>
      <c r="BV77" s="46"/>
      <c r="BW77" s="46"/>
      <c r="BX77" s="46"/>
      <c r="BY77" s="46"/>
      <c r="BZ77" s="2"/>
    </row>
    <row r="78" spans="1:78" ht="15">
      <c r="A78" s="62" t="s">
        <v>454</v>
      </c>
      <c r="B78" s="63"/>
      <c r="C78" s="63"/>
      <c r="D78" s="64"/>
      <c r="E78" s="66"/>
      <c r="F78" s="100" t="str">
        <f>HYPERLINK("https://pbs.twimg.com/profile_images/1392395867974340612/ZCwQmqu2_normal.jpg")</f>
        <v>https://pbs.twimg.com/profile_images/1392395867974340612/ZCwQmqu2_normal.jpg</v>
      </c>
      <c r="G78" s="63"/>
      <c r="H78" s="67"/>
      <c r="I78" s="68"/>
      <c r="J78" s="68"/>
      <c r="K78" s="67" t="s">
        <v>7265</v>
      </c>
      <c r="L78" s="71"/>
      <c r="M78" s="72">
        <v>2348.83251953125</v>
      </c>
      <c r="N78" s="72">
        <v>7023.95751953125</v>
      </c>
      <c r="O78" s="73"/>
      <c r="P78" s="74"/>
      <c r="Q78" s="74"/>
      <c r="R78" s="86"/>
      <c r="S78" s="46">
        <v>1</v>
      </c>
      <c r="T78" s="46">
        <v>0</v>
      </c>
      <c r="U78" s="47">
        <v>0</v>
      </c>
      <c r="V78" s="47">
        <v>0.167652</v>
      </c>
      <c r="W78" s="47">
        <v>0.013677</v>
      </c>
      <c r="X78" s="47">
        <v>0.002496</v>
      </c>
      <c r="Y78" s="47">
        <v>0</v>
      </c>
      <c r="Z78" s="47">
        <v>0</v>
      </c>
      <c r="AA78" s="69">
        <v>78</v>
      </c>
      <c r="AB78" s="69"/>
      <c r="AC78" s="70"/>
      <c r="AD78" s="76" t="s">
        <v>5946</v>
      </c>
      <c r="AE78" s="83" t="s">
        <v>6257</v>
      </c>
      <c r="AF78" s="76">
        <v>289</v>
      </c>
      <c r="AG78" s="76">
        <v>69</v>
      </c>
      <c r="AH78" s="76">
        <v>1083</v>
      </c>
      <c r="AI78" s="76">
        <v>59</v>
      </c>
      <c r="AJ78" s="76">
        <v>206</v>
      </c>
      <c r="AK78" s="76">
        <v>658</v>
      </c>
      <c r="AL78" s="76" t="b">
        <v>0</v>
      </c>
      <c r="AM78" s="78">
        <v>41379.61859953704</v>
      </c>
      <c r="AN78" s="76" t="s">
        <v>6504</v>
      </c>
      <c r="AO78" s="76" t="s">
        <v>6704</v>
      </c>
      <c r="AP78" s="82" t="str">
        <f>HYPERLINK("https://t.co/YG0oK1X5sB")</f>
        <v>https://t.co/YG0oK1X5sB</v>
      </c>
      <c r="AQ78" s="82" t="str">
        <f>HYPERLINK("https://www.goodworklabs.com/")</f>
        <v>https://www.goodworklabs.com/</v>
      </c>
      <c r="AR78" s="76" t="s">
        <v>6987</v>
      </c>
      <c r="AS78" s="76"/>
      <c r="AT78" s="76"/>
      <c r="AU78" s="76"/>
      <c r="AV78" s="76"/>
      <c r="AW78" s="82" t="str">
        <f>HYPERLINK("https://t.co/YG0oK1X5sB")</f>
        <v>https://t.co/YG0oK1X5sB</v>
      </c>
      <c r="AX78" s="76" t="b">
        <v>0</v>
      </c>
      <c r="AY78" s="76"/>
      <c r="AZ78" s="76"/>
      <c r="BA78" s="76" t="b">
        <v>0</v>
      </c>
      <c r="BB78" s="76" t="b">
        <v>1</v>
      </c>
      <c r="BC78" s="76" t="b">
        <v>0</v>
      </c>
      <c r="BD78" s="76" t="b">
        <v>0</v>
      </c>
      <c r="BE78" s="76" t="b">
        <v>0</v>
      </c>
      <c r="BF78" s="76" t="b">
        <v>0</v>
      </c>
      <c r="BG78" s="76" t="b">
        <v>0</v>
      </c>
      <c r="BH78" s="82" t="str">
        <f>HYPERLINK("https://pbs.twimg.com/profile_banners/1354543874/1684307563")</f>
        <v>https://pbs.twimg.com/profile_banners/1354543874/1684307563</v>
      </c>
      <c r="BI78" s="76"/>
      <c r="BJ78" s="76" t="s">
        <v>7188</v>
      </c>
      <c r="BK78" s="76" t="b">
        <v>0</v>
      </c>
      <c r="BL78" s="76"/>
      <c r="BM78" s="76" t="s">
        <v>65</v>
      </c>
      <c r="BN78" s="76" t="s">
        <v>7190</v>
      </c>
      <c r="BO78" s="82" t="str">
        <f>HYPERLINK("https://twitter.com/goodworklabs")</f>
        <v>https://twitter.com/goodworklabs</v>
      </c>
      <c r="BP78" s="46"/>
      <c r="BQ78" s="46"/>
      <c r="BR78" s="46"/>
      <c r="BS78" s="46"/>
      <c r="BT78" s="46"/>
      <c r="BU78" s="46"/>
      <c r="BV78" s="46"/>
      <c r="BW78" s="46"/>
      <c r="BX78" s="46"/>
      <c r="BY78" s="46"/>
      <c r="BZ78" s="2"/>
    </row>
    <row r="79" spans="1:78" ht="15">
      <c r="A79" s="62" t="s">
        <v>455</v>
      </c>
      <c r="B79" s="63"/>
      <c r="C79" s="63"/>
      <c r="D79" s="64"/>
      <c r="E79" s="66"/>
      <c r="F79" s="100" t="str">
        <f>HYPERLINK("https://pbs.twimg.com/profile_images/747537511367479298/S1DpZnL2_normal.jpg")</f>
        <v>https://pbs.twimg.com/profile_images/747537511367479298/S1DpZnL2_normal.jpg</v>
      </c>
      <c r="G79" s="63"/>
      <c r="H79" s="67"/>
      <c r="I79" s="68"/>
      <c r="J79" s="68"/>
      <c r="K79" s="67" t="s">
        <v>7266</v>
      </c>
      <c r="L79" s="71"/>
      <c r="M79" s="72">
        <v>2375.472412109375</v>
      </c>
      <c r="N79" s="72">
        <v>6868.27587890625</v>
      </c>
      <c r="O79" s="73"/>
      <c r="P79" s="74"/>
      <c r="Q79" s="74"/>
      <c r="R79" s="86"/>
      <c r="S79" s="46">
        <v>1</v>
      </c>
      <c r="T79" s="46">
        <v>0</v>
      </c>
      <c r="U79" s="47">
        <v>0</v>
      </c>
      <c r="V79" s="47">
        <v>0.167652</v>
      </c>
      <c r="W79" s="47">
        <v>0.013677</v>
      </c>
      <c r="X79" s="47">
        <v>0.002496</v>
      </c>
      <c r="Y79" s="47">
        <v>0</v>
      </c>
      <c r="Z79" s="47">
        <v>0</v>
      </c>
      <c r="AA79" s="69">
        <v>79</v>
      </c>
      <c r="AB79" s="69"/>
      <c r="AC79" s="70"/>
      <c r="AD79" s="76" t="s">
        <v>5947</v>
      </c>
      <c r="AE79" s="83" t="s">
        <v>6258</v>
      </c>
      <c r="AF79" s="76">
        <v>936</v>
      </c>
      <c r="AG79" s="76">
        <v>328</v>
      </c>
      <c r="AH79" s="76">
        <v>1913</v>
      </c>
      <c r="AI79" s="76">
        <v>127</v>
      </c>
      <c r="AJ79" s="76">
        <v>478</v>
      </c>
      <c r="AK79" s="76">
        <v>389</v>
      </c>
      <c r="AL79" s="76" t="b">
        <v>0</v>
      </c>
      <c r="AM79" s="78">
        <v>39995.95017361111</v>
      </c>
      <c r="AN79" s="76" t="s">
        <v>6505</v>
      </c>
      <c r="AO79" s="76" t="s">
        <v>6705</v>
      </c>
      <c r="AP79" s="82" t="str">
        <f>HYPERLINK("https://t.co/eUUFTFeaVw")</f>
        <v>https://t.co/eUUFTFeaVw</v>
      </c>
      <c r="AQ79" s="82" t="str">
        <f>HYPERLINK("https://domandtom.com")</f>
        <v>https://domandtom.com</v>
      </c>
      <c r="AR79" s="76" t="s">
        <v>6988</v>
      </c>
      <c r="AS79" s="76"/>
      <c r="AT79" s="76"/>
      <c r="AU79" s="76"/>
      <c r="AV79" s="76"/>
      <c r="AW79" s="82" t="str">
        <f>HYPERLINK("https://t.co/eUUFTFeaVw")</f>
        <v>https://t.co/eUUFTFeaVw</v>
      </c>
      <c r="AX79" s="76" t="b">
        <v>0</v>
      </c>
      <c r="AY79" s="76"/>
      <c r="AZ79" s="76"/>
      <c r="BA79" s="76" t="b">
        <v>1</v>
      </c>
      <c r="BB79" s="76" t="b">
        <v>1</v>
      </c>
      <c r="BC79" s="76" t="b">
        <v>0</v>
      </c>
      <c r="BD79" s="76" t="b">
        <v>0</v>
      </c>
      <c r="BE79" s="76" t="b">
        <v>0</v>
      </c>
      <c r="BF79" s="76" t="b">
        <v>0</v>
      </c>
      <c r="BG79" s="76" t="b">
        <v>0</v>
      </c>
      <c r="BH79" s="82" t="str">
        <f>HYPERLINK("https://pbs.twimg.com/profile_banners/52878977/1499973855")</f>
        <v>https://pbs.twimg.com/profile_banners/52878977/1499973855</v>
      </c>
      <c r="BI79" s="76"/>
      <c r="BJ79" s="76" t="s">
        <v>7188</v>
      </c>
      <c r="BK79" s="76" t="b">
        <v>0</v>
      </c>
      <c r="BL79" s="76"/>
      <c r="BM79" s="76" t="s">
        <v>65</v>
      </c>
      <c r="BN79" s="76" t="s">
        <v>7190</v>
      </c>
      <c r="BO79" s="82" t="str">
        <f>HYPERLINK("https://twitter.com/dom_and_tom")</f>
        <v>https://twitter.com/dom_and_tom</v>
      </c>
      <c r="BP79" s="46"/>
      <c r="BQ79" s="46"/>
      <c r="BR79" s="46"/>
      <c r="BS79" s="46"/>
      <c r="BT79" s="46"/>
      <c r="BU79" s="46"/>
      <c r="BV79" s="46"/>
      <c r="BW79" s="46"/>
      <c r="BX79" s="46"/>
      <c r="BY79" s="46"/>
      <c r="BZ79" s="2"/>
    </row>
    <row r="80" spans="1:78" ht="15">
      <c r="A80" s="62" t="s">
        <v>456</v>
      </c>
      <c r="B80" s="63"/>
      <c r="C80" s="63"/>
      <c r="D80" s="64"/>
      <c r="E80" s="66"/>
      <c r="F80" s="100" t="str">
        <f>HYPERLINK("https://pbs.twimg.com/profile_images/1105462292005748736/ZGKGeZj-_normal.png")</f>
        <v>https://pbs.twimg.com/profile_images/1105462292005748736/ZGKGeZj-_normal.png</v>
      </c>
      <c r="G80" s="63"/>
      <c r="H80" s="67"/>
      <c r="I80" s="68"/>
      <c r="J80" s="68"/>
      <c r="K80" s="67" t="s">
        <v>7267</v>
      </c>
      <c r="L80" s="71"/>
      <c r="M80" s="72">
        <v>2402.1123046875</v>
      </c>
      <c r="N80" s="72">
        <v>6710.171875</v>
      </c>
      <c r="O80" s="73"/>
      <c r="P80" s="74"/>
      <c r="Q80" s="74"/>
      <c r="R80" s="86"/>
      <c r="S80" s="46">
        <v>1</v>
      </c>
      <c r="T80" s="46">
        <v>0</v>
      </c>
      <c r="U80" s="47">
        <v>0</v>
      </c>
      <c r="V80" s="47">
        <v>0.167652</v>
      </c>
      <c r="W80" s="47">
        <v>0.013677</v>
      </c>
      <c r="X80" s="47">
        <v>0.002496</v>
      </c>
      <c r="Y80" s="47">
        <v>0</v>
      </c>
      <c r="Z80" s="47">
        <v>0</v>
      </c>
      <c r="AA80" s="69">
        <v>80</v>
      </c>
      <c r="AB80" s="69"/>
      <c r="AC80" s="70"/>
      <c r="AD80" s="76" t="s">
        <v>5948</v>
      </c>
      <c r="AE80" s="83" t="s">
        <v>6259</v>
      </c>
      <c r="AF80" s="76">
        <v>424</v>
      </c>
      <c r="AG80" s="76">
        <v>162</v>
      </c>
      <c r="AH80" s="76">
        <v>276</v>
      </c>
      <c r="AI80" s="76">
        <v>19</v>
      </c>
      <c r="AJ80" s="76">
        <v>127</v>
      </c>
      <c r="AK80" s="76">
        <v>93</v>
      </c>
      <c r="AL80" s="76" t="b">
        <v>0</v>
      </c>
      <c r="AM80" s="78">
        <v>41227.92275462963</v>
      </c>
      <c r="AN80" s="76" t="s">
        <v>6506</v>
      </c>
      <c r="AO80" s="76" t="s">
        <v>6706</v>
      </c>
      <c r="AP80" s="82" t="str">
        <f>HYPERLINK("https://t.co/8p1w3LJkJz")</f>
        <v>https://t.co/8p1w3LJkJz</v>
      </c>
      <c r="AQ80" s="82" t="str">
        <f>HYPERLINK("http://www.rocketinsights.com")</f>
        <v>http://www.rocketinsights.com</v>
      </c>
      <c r="AR80" s="76" t="s">
        <v>6989</v>
      </c>
      <c r="AS80" s="76"/>
      <c r="AT80" s="76"/>
      <c r="AU80" s="76"/>
      <c r="AV80" s="76"/>
      <c r="AW80" s="82" t="str">
        <f>HYPERLINK("https://t.co/8p1w3LJkJz")</f>
        <v>https://t.co/8p1w3LJkJz</v>
      </c>
      <c r="AX80" s="76" t="b">
        <v>0</v>
      </c>
      <c r="AY80" s="76"/>
      <c r="AZ80" s="76"/>
      <c r="BA80" s="76" t="b">
        <v>0</v>
      </c>
      <c r="BB80" s="76" t="b">
        <v>1</v>
      </c>
      <c r="BC80" s="76" t="b">
        <v>1</v>
      </c>
      <c r="BD80" s="76" t="b">
        <v>0</v>
      </c>
      <c r="BE80" s="76" t="b">
        <v>1</v>
      </c>
      <c r="BF80" s="76" t="b">
        <v>0</v>
      </c>
      <c r="BG80" s="76" t="b">
        <v>0</v>
      </c>
      <c r="BH80" s="82" t="str">
        <f>HYPERLINK("https://pbs.twimg.com/profile_banners/948577506/1649687724")</f>
        <v>https://pbs.twimg.com/profile_banners/948577506/1649687724</v>
      </c>
      <c r="BI80" s="76"/>
      <c r="BJ80" s="76" t="s">
        <v>7188</v>
      </c>
      <c r="BK80" s="76" t="b">
        <v>0</v>
      </c>
      <c r="BL80" s="76"/>
      <c r="BM80" s="76" t="s">
        <v>65</v>
      </c>
      <c r="BN80" s="76" t="s">
        <v>7190</v>
      </c>
      <c r="BO80" s="82" t="str">
        <f>HYPERLINK("https://twitter.com/rocketinsights")</f>
        <v>https://twitter.com/rocketinsights</v>
      </c>
      <c r="BP80" s="46"/>
      <c r="BQ80" s="46"/>
      <c r="BR80" s="46"/>
      <c r="BS80" s="46"/>
      <c r="BT80" s="46"/>
      <c r="BU80" s="46"/>
      <c r="BV80" s="46"/>
      <c r="BW80" s="46"/>
      <c r="BX80" s="46"/>
      <c r="BY80" s="46"/>
      <c r="BZ80" s="2"/>
    </row>
    <row r="81" spans="1:78" ht="15">
      <c r="A81" s="62" t="s">
        <v>457</v>
      </c>
      <c r="B81" s="63"/>
      <c r="C81" s="63"/>
      <c r="D81" s="64"/>
      <c r="E81" s="66"/>
      <c r="F81" s="100" t="str">
        <f>HYPERLINK("https://pbs.twimg.com/profile_images/1275878886727987203/BAgj0KvJ_normal.jpg")</f>
        <v>https://pbs.twimg.com/profile_images/1275878886727987203/BAgj0KvJ_normal.jpg</v>
      </c>
      <c r="G81" s="63"/>
      <c r="H81" s="67"/>
      <c r="I81" s="68"/>
      <c r="J81" s="68"/>
      <c r="K81" s="67" t="s">
        <v>7268</v>
      </c>
      <c r="L81" s="71"/>
      <c r="M81" s="72">
        <v>2428.752197265625</v>
      </c>
      <c r="N81" s="72">
        <v>6549.85009765625</v>
      </c>
      <c r="O81" s="73"/>
      <c r="P81" s="74"/>
      <c r="Q81" s="74"/>
      <c r="R81" s="86"/>
      <c r="S81" s="46">
        <v>1</v>
      </c>
      <c r="T81" s="46">
        <v>0</v>
      </c>
      <c r="U81" s="47">
        <v>0</v>
      </c>
      <c r="V81" s="47">
        <v>0.167652</v>
      </c>
      <c r="W81" s="47">
        <v>0.013677</v>
      </c>
      <c r="X81" s="47">
        <v>0.002496</v>
      </c>
      <c r="Y81" s="47">
        <v>0</v>
      </c>
      <c r="Z81" s="47">
        <v>0</v>
      </c>
      <c r="AA81" s="69">
        <v>81</v>
      </c>
      <c r="AB81" s="69"/>
      <c r="AC81" s="70"/>
      <c r="AD81" s="76" t="s">
        <v>5949</v>
      </c>
      <c r="AE81" s="83" t="s">
        <v>6260</v>
      </c>
      <c r="AF81" s="76">
        <v>740</v>
      </c>
      <c r="AG81" s="76">
        <v>701</v>
      </c>
      <c r="AH81" s="76">
        <v>1418</v>
      </c>
      <c r="AI81" s="76">
        <v>16</v>
      </c>
      <c r="AJ81" s="76">
        <v>76</v>
      </c>
      <c r="AK81" s="76">
        <v>161</v>
      </c>
      <c r="AL81" s="76" t="b">
        <v>0</v>
      </c>
      <c r="AM81" s="78">
        <v>40059.63277777778</v>
      </c>
      <c r="AN81" s="76" t="s">
        <v>6507</v>
      </c>
      <c r="AO81" s="76" t="s">
        <v>6707</v>
      </c>
      <c r="AP81" s="82" t="str">
        <f>HYPERLINK("https://t.co/3XwxyZkFrq")</f>
        <v>https://t.co/3XwxyZkFrq</v>
      </c>
      <c r="AQ81" s="82" t="str">
        <f>HYPERLINK("http://www.sdsol.com")</f>
        <v>http://www.sdsol.com</v>
      </c>
      <c r="AR81" s="76" t="s">
        <v>6990</v>
      </c>
      <c r="AS81" s="76"/>
      <c r="AT81" s="76"/>
      <c r="AU81" s="76"/>
      <c r="AV81" s="76"/>
      <c r="AW81" s="82" t="str">
        <f>HYPERLINK("https://t.co/3XwxyZkFrq")</f>
        <v>https://t.co/3XwxyZkFrq</v>
      </c>
      <c r="AX81" s="76" t="b">
        <v>0</v>
      </c>
      <c r="AY81" s="76"/>
      <c r="AZ81" s="76"/>
      <c r="BA81" s="76" t="b">
        <v>0</v>
      </c>
      <c r="BB81" s="76" t="b">
        <v>1</v>
      </c>
      <c r="BC81" s="76" t="b">
        <v>0</v>
      </c>
      <c r="BD81" s="76" t="b">
        <v>0</v>
      </c>
      <c r="BE81" s="76" t="b">
        <v>0</v>
      </c>
      <c r="BF81" s="76" t="b">
        <v>0</v>
      </c>
      <c r="BG81" s="76" t="b">
        <v>0</v>
      </c>
      <c r="BH81" s="82" t="str">
        <f>HYPERLINK("https://pbs.twimg.com/profile_banners/71276396/1540323914")</f>
        <v>https://pbs.twimg.com/profile_banners/71276396/1540323914</v>
      </c>
      <c r="BI81" s="76"/>
      <c r="BJ81" s="76" t="s">
        <v>7188</v>
      </c>
      <c r="BK81" s="76" t="b">
        <v>0</v>
      </c>
      <c r="BL81" s="76"/>
      <c r="BM81" s="76" t="s">
        <v>65</v>
      </c>
      <c r="BN81" s="76" t="s">
        <v>7190</v>
      </c>
      <c r="BO81" s="82" t="str">
        <f>HYPERLINK("https://twitter.com/miamitechsperts")</f>
        <v>https://twitter.com/miamitechsperts</v>
      </c>
      <c r="BP81" s="46"/>
      <c r="BQ81" s="46"/>
      <c r="BR81" s="46"/>
      <c r="BS81" s="46"/>
      <c r="BT81" s="46"/>
      <c r="BU81" s="46"/>
      <c r="BV81" s="46"/>
      <c r="BW81" s="46"/>
      <c r="BX81" s="46"/>
      <c r="BY81" s="46"/>
      <c r="BZ81" s="2"/>
    </row>
    <row r="82" spans="1:78" ht="15">
      <c r="A82" s="62" t="s">
        <v>262</v>
      </c>
      <c r="B82" s="63"/>
      <c r="C82" s="63"/>
      <c r="D82" s="64"/>
      <c r="E82" s="66"/>
      <c r="F82" s="100" t="str">
        <f>HYPERLINK("https://pbs.twimg.com/profile_images/1382784092/225925_10150169071441314_626351313_7270680_1940140_n_normal.jpg")</f>
        <v>https://pbs.twimg.com/profile_images/1382784092/225925_10150169071441314_626351313_7270680_1940140_n_normal.jpg</v>
      </c>
      <c r="G82" s="63"/>
      <c r="H82" s="67"/>
      <c r="I82" s="68"/>
      <c r="J82" s="68"/>
      <c r="K82" s="67" t="s">
        <v>7269</v>
      </c>
      <c r="L82" s="71"/>
      <c r="M82" s="72">
        <v>2455.39208984375</v>
      </c>
      <c r="N82" s="72">
        <v>6387.51806640625</v>
      </c>
      <c r="O82" s="73"/>
      <c r="P82" s="74"/>
      <c r="Q82" s="74"/>
      <c r="R82" s="86"/>
      <c r="S82" s="46">
        <v>1</v>
      </c>
      <c r="T82" s="46">
        <v>1</v>
      </c>
      <c r="U82" s="47">
        <v>0</v>
      </c>
      <c r="V82" s="47">
        <v>0</v>
      </c>
      <c r="W82" s="47">
        <v>0</v>
      </c>
      <c r="X82" s="47">
        <v>0.002882</v>
      </c>
      <c r="Y82" s="47">
        <v>0</v>
      </c>
      <c r="Z82" s="47">
        <v>0</v>
      </c>
      <c r="AA82" s="69">
        <v>82</v>
      </c>
      <c r="AB82" s="69"/>
      <c r="AC82" s="70"/>
      <c r="AD82" s="76" t="s">
        <v>5950</v>
      </c>
      <c r="AE82" s="83" t="s">
        <v>6261</v>
      </c>
      <c r="AF82" s="76">
        <v>79</v>
      </c>
      <c r="AG82" s="76">
        <v>6</v>
      </c>
      <c r="AH82" s="76">
        <v>5434</v>
      </c>
      <c r="AI82" s="76">
        <v>0</v>
      </c>
      <c r="AJ82" s="76">
        <v>0</v>
      </c>
      <c r="AK82" s="76">
        <v>0</v>
      </c>
      <c r="AL82" s="76" t="b">
        <v>0</v>
      </c>
      <c r="AM82" s="78">
        <v>40680.73893518518</v>
      </c>
      <c r="AN82" s="76" t="s">
        <v>6508</v>
      </c>
      <c r="AO82" s="76" t="s">
        <v>6708</v>
      </c>
      <c r="AP82" s="82" t="str">
        <f>HYPERLINK("http://t.co/NFXzGdXJCR")</f>
        <v>http://t.co/NFXzGdXJCR</v>
      </c>
      <c r="AQ82" s="82" t="str">
        <f>HYPERLINK("http://employmentnews24.blogspot.com")</f>
        <v>http://employmentnews24.blogspot.com</v>
      </c>
      <c r="AR82" s="76" t="s">
        <v>6991</v>
      </c>
      <c r="AS82" s="76"/>
      <c r="AT82" s="76"/>
      <c r="AU82" s="76"/>
      <c r="AV82" s="76"/>
      <c r="AW82" s="82" t="str">
        <f>HYPERLINK("http://t.co/NFXzGdXJCR")</f>
        <v>http://t.co/NFXzGdXJCR</v>
      </c>
      <c r="AX82" s="76" t="b">
        <v>0</v>
      </c>
      <c r="AY82" s="76"/>
      <c r="AZ82" s="76"/>
      <c r="BA82" s="76" t="b">
        <v>0</v>
      </c>
      <c r="BB82" s="76" t="b">
        <v>1</v>
      </c>
      <c r="BC82" s="76" t="b">
        <v>0</v>
      </c>
      <c r="BD82" s="76" t="b">
        <v>0</v>
      </c>
      <c r="BE82" s="76" t="b">
        <v>0</v>
      </c>
      <c r="BF82" s="76" t="b">
        <v>0</v>
      </c>
      <c r="BG82" s="76" t="b">
        <v>0</v>
      </c>
      <c r="BH82" s="76"/>
      <c r="BI82" s="76"/>
      <c r="BJ82" s="76" t="s">
        <v>7188</v>
      </c>
      <c r="BK82" s="76" t="b">
        <v>0</v>
      </c>
      <c r="BL82" s="76"/>
      <c r="BM82" s="76" t="s">
        <v>66</v>
      </c>
      <c r="BN82" s="76" t="s">
        <v>7190</v>
      </c>
      <c r="BO82" s="82" t="str">
        <f>HYPERLINK("https://twitter.com/employmennews24")</f>
        <v>https://twitter.com/employmennews24</v>
      </c>
      <c r="BP82" s="46"/>
      <c r="BQ82" s="46"/>
      <c r="BR82" s="46"/>
      <c r="BS82" s="46"/>
      <c r="BT82" s="46"/>
      <c r="BU82" s="46"/>
      <c r="BV82" s="105" t="s">
        <v>7820</v>
      </c>
      <c r="BW82" s="105" t="s">
        <v>7820</v>
      </c>
      <c r="BX82" s="105" t="s">
        <v>8051</v>
      </c>
      <c r="BY82" s="105" t="s">
        <v>8051</v>
      </c>
      <c r="BZ82" s="2"/>
    </row>
    <row r="83" spans="1:78" ht="15">
      <c r="A83" s="62" t="s">
        <v>263</v>
      </c>
      <c r="B83" s="63"/>
      <c r="C83" s="63"/>
      <c r="D83" s="64"/>
      <c r="E83" s="66"/>
      <c r="F83" s="100" t="str">
        <f>HYPERLINK("https://pbs.twimg.com/profile_images/1620192354216087553/DZDyLHN0_normal.jpg")</f>
        <v>https://pbs.twimg.com/profile_images/1620192354216087553/DZDyLHN0_normal.jpg</v>
      </c>
      <c r="G83" s="63"/>
      <c r="H83" s="67"/>
      <c r="I83" s="68"/>
      <c r="J83" s="68"/>
      <c r="K83" s="67" t="s">
        <v>7270</v>
      </c>
      <c r="L83" s="71"/>
      <c r="M83" s="72">
        <v>2482.031982421875</v>
      </c>
      <c r="N83" s="72">
        <v>6223.3876953125</v>
      </c>
      <c r="O83" s="73"/>
      <c r="P83" s="74"/>
      <c r="Q83" s="74"/>
      <c r="R83" s="86"/>
      <c r="S83" s="46">
        <v>1</v>
      </c>
      <c r="T83" s="46">
        <v>1</v>
      </c>
      <c r="U83" s="47">
        <v>0</v>
      </c>
      <c r="V83" s="47">
        <v>0</v>
      </c>
      <c r="W83" s="47">
        <v>0</v>
      </c>
      <c r="X83" s="47">
        <v>0.002882</v>
      </c>
      <c r="Y83" s="47">
        <v>0</v>
      </c>
      <c r="Z83" s="47">
        <v>0</v>
      </c>
      <c r="AA83" s="69">
        <v>83</v>
      </c>
      <c r="AB83" s="69"/>
      <c r="AC83" s="70"/>
      <c r="AD83" s="76" t="s">
        <v>5951</v>
      </c>
      <c r="AE83" s="83" t="s">
        <v>6262</v>
      </c>
      <c r="AF83" s="76">
        <v>195</v>
      </c>
      <c r="AG83" s="76">
        <v>163</v>
      </c>
      <c r="AH83" s="76">
        <v>8476</v>
      </c>
      <c r="AI83" s="76">
        <v>1</v>
      </c>
      <c r="AJ83" s="76">
        <v>6253</v>
      </c>
      <c r="AK83" s="76">
        <v>477</v>
      </c>
      <c r="AL83" s="76" t="b">
        <v>0</v>
      </c>
      <c r="AM83" s="78">
        <v>41876.27295138889</v>
      </c>
      <c r="AN83" s="76"/>
      <c r="AO83" s="76" t="s">
        <v>6709</v>
      </c>
      <c r="AP83" s="76"/>
      <c r="AQ83" s="76"/>
      <c r="AR83" s="76"/>
      <c r="AS83" s="76"/>
      <c r="AT83" s="76"/>
      <c r="AU83" s="76"/>
      <c r="AV83" s="76">
        <v>1.68751348792344E+18</v>
      </c>
      <c r="AW83" s="76"/>
      <c r="AX83" s="76" t="b">
        <v>1</v>
      </c>
      <c r="AY83" s="76"/>
      <c r="AZ83" s="76"/>
      <c r="BA83" s="76" t="b">
        <v>1</v>
      </c>
      <c r="BB83" s="76" t="b">
        <v>0</v>
      </c>
      <c r="BC83" s="76" t="b">
        <v>1</v>
      </c>
      <c r="BD83" s="76" t="b">
        <v>0</v>
      </c>
      <c r="BE83" s="76" t="b">
        <v>1</v>
      </c>
      <c r="BF83" s="76" t="b">
        <v>0</v>
      </c>
      <c r="BG83" s="76" t="b">
        <v>0</v>
      </c>
      <c r="BH83" s="82" t="str">
        <f>HYPERLINK("https://pbs.twimg.com/profile_banners/2765485068/1696914307")</f>
        <v>https://pbs.twimg.com/profile_banners/2765485068/1696914307</v>
      </c>
      <c r="BI83" s="76"/>
      <c r="BJ83" s="76" t="s">
        <v>7188</v>
      </c>
      <c r="BK83" s="76" t="b">
        <v>0</v>
      </c>
      <c r="BL83" s="76"/>
      <c r="BM83" s="76" t="s">
        <v>66</v>
      </c>
      <c r="BN83" s="76" t="s">
        <v>7190</v>
      </c>
      <c r="BO83" s="82" t="str">
        <f>HYPERLINK("https://twitter.com/evanevsthedude")</f>
        <v>https://twitter.com/evanevsthedude</v>
      </c>
      <c r="BP83" s="46"/>
      <c r="BQ83" s="46"/>
      <c r="BR83" s="46"/>
      <c r="BS83" s="46"/>
      <c r="BT83" s="46"/>
      <c r="BU83" s="46"/>
      <c r="BV83" s="105" t="s">
        <v>7821</v>
      </c>
      <c r="BW83" s="105" t="s">
        <v>7821</v>
      </c>
      <c r="BX83" s="105" t="s">
        <v>8052</v>
      </c>
      <c r="BY83" s="105" t="s">
        <v>8052</v>
      </c>
      <c r="BZ83" s="2"/>
    </row>
    <row r="84" spans="1:78" ht="15">
      <c r="A84" s="62" t="s">
        <v>264</v>
      </c>
      <c r="B84" s="63"/>
      <c r="C84" s="63"/>
      <c r="D84" s="64"/>
      <c r="E84" s="66"/>
      <c r="F84" s="100" t="str">
        <f>HYPERLINK("https://pbs.twimg.com/profile_images/1293970537878880259/4vWgJzMG_normal.jpg")</f>
        <v>https://pbs.twimg.com/profile_images/1293970537878880259/4vWgJzMG_normal.jpg</v>
      </c>
      <c r="G84" s="63"/>
      <c r="H84" s="67"/>
      <c r="I84" s="68"/>
      <c r="J84" s="68"/>
      <c r="K84" s="67" t="s">
        <v>7271</v>
      </c>
      <c r="L84" s="71"/>
      <c r="M84" s="72">
        <v>2508.671875</v>
      </c>
      <c r="N84" s="72">
        <v>6057.66943359375</v>
      </c>
      <c r="O84" s="73"/>
      <c r="P84" s="74"/>
      <c r="Q84" s="74"/>
      <c r="R84" s="86"/>
      <c r="S84" s="46">
        <v>0</v>
      </c>
      <c r="T84" s="46">
        <v>1</v>
      </c>
      <c r="U84" s="47">
        <v>0</v>
      </c>
      <c r="V84" s="47">
        <v>0.214691</v>
      </c>
      <c r="W84" s="47">
        <v>0.062026</v>
      </c>
      <c r="X84" s="47">
        <v>0.002499</v>
      </c>
      <c r="Y84" s="47">
        <v>0</v>
      </c>
      <c r="Z84" s="47">
        <v>0</v>
      </c>
      <c r="AA84" s="69">
        <v>84</v>
      </c>
      <c r="AB84" s="69"/>
      <c r="AC84" s="70"/>
      <c r="AD84" s="76" t="s">
        <v>5952</v>
      </c>
      <c r="AE84" s="83" t="s">
        <v>6263</v>
      </c>
      <c r="AF84" s="76">
        <v>2607</v>
      </c>
      <c r="AG84" s="76">
        <v>2353</v>
      </c>
      <c r="AH84" s="76">
        <v>9594</v>
      </c>
      <c r="AI84" s="76">
        <v>112</v>
      </c>
      <c r="AJ84" s="76">
        <v>675</v>
      </c>
      <c r="AK84" s="76">
        <v>2955</v>
      </c>
      <c r="AL84" s="76" t="b">
        <v>0</v>
      </c>
      <c r="AM84" s="78">
        <v>41887.79651620371</v>
      </c>
      <c r="AN84" s="76"/>
      <c r="AO84" s="76" t="s">
        <v>6710</v>
      </c>
      <c r="AP84" s="82" t="str">
        <f>HYPERLINK("https://t.co/xlQaN2GIuq")</f>
        <v>https://t.co/xlQaN2GIuq</v>
      </c>
      <c r="AQ84" s="82" t="str">
        <f>HYPERLINK("https://slidesource.com/")</f>
        <v>https://slidesource.com/</v>
      </c>
      <c r="AR84" s="76" t="s">
        <v>6992</v>
      </c>
      <c r="AS84" s="76"/>
      <c r="AT84" s="76"/>
      <c r="AU84" s="76"/>
      <c r="AV84" s="76">
        <v>1.33888091487777E+18</v>
      </c>
      <c r="AW84" s="82" t="str">
        <f>HYPERLINK("https://t.co/xlQaN2GIuq")</f>
        <v>https://t.co/xlQaN2GIuq</v>
      </c>
      <c r="AX84" s="76" t="b">
        <v>1</v>
      </c>
      <c r="AY84" s="76"/>
      <c r="AZ84" s="76"/>
      <c r="BA84" s="76" t="b">
        <v>1</v>
      </c>
      <c r="BB84" s="76" t="b">
        <v>1</v>
      </c>
      <c r="BC84" s="76" t="b">
        <v>0</v>
      </c>
      <c r="BD84" s="76" t="b">
        <v>0</v>
      </c>
      <c r="BE84" s="76" t="b">
        <v>0</v>
      </c>
      <c r="BF84" s="76" t="b">
        <v>0</v>
      </c>
      <c r="BG84" s="76" t="b">
        <v>0</v>
      </c>
      <c r="BH84" s="82" t="str">
        <f>HYPERLINK("https://pbs.twimg.com/profile_banners/2792438832/1597855006")</f>
        <v>https://pbs.twimg.com/profile_banners/2792438832/1597855006</v>
      </c>
      <c r="BI84" s="76"/>
      <c r="BJ84" s="76" t="s">
        <v>7188</v>
      </c>
      <c r="BK84" s="76" t="b">
        <v>0</v>
      </c>
      <c r="BL84" s="76"/>
      <c r="BM84" s="76" t="s">
        <v>66</v>
      </c>
      <c r="BN84" s="76" t="s">
        <v>7190</v>
      </c>
      <c r="BO84" s="82" t="str">
        <f>HYPERLINK("https://twitter.com/slidesource")</f>
        <v>https://twitter.com/slidesource</v>
      </c>
      <c r="BP84" s="46"/>
      <c r="BQ84" s="46"/>
      <c r="BR84" s="46"/>
      <c r="BS84" s="46"/>
      <c r="BT84" s="46"/>
      <c r="BU84" s="46"/>
      <c r="BV84" s="105" t="s">
        <v>7822</v>
      </c>
      <c r="BW84" s="105" t="s">
        <v>7822</v>
      </c>
      <c r="BX84" s="105" t="s">
        <v>8053</v>
      </c>
      <c r="BY84" s="105" t="s">
        <v>8053</v>
      </c>
      <c r="BZ84" s="2"/>
    </row>
    <row r="85" spans="1:78" ht="15">
      <c r="A85" s="62" t="s">
        <v>265</v>
      </c>
      <c r="B85" s="63"/>
      <c r="C85" s="63"/>
      <c r="D85" s="64"/>
      <c r="E85" s="66"/>
      <c r="F85" s="100" t="str">
        <f>HYPERLINK("https://pbs.twimg.com/profile_images/1692897171794952192/z5c0poiS_normal.jpg")</f>
        <v>https://pbs.twimg.com/profile_images/1692897171794952192/z5c0poiS_normal.jpg</v>
      </c>
      <c r="G85" s="63"/>
      <c r="H85" s="67"/>
      <c r="I85" s="68"/>
      <c r="J85" s="68"/>
      <c r="K85" s="67" t="s">
        <v>7272</v>
      </c>
      <c r="L85" s="71"/>
      <c r="M85" s="72">
        <v>2535.311767578125</v>
      </c>
      <c r="N85" s="72">
        <v>5890.58056640625</v>
      </c>
      <c r="O85" s="73"/>
      <c r="P85" s="74"/>
      <c r="Q85" s="74"/>
      <c r="R85" s="86"/>
      <c r="S85" s="46">
        <v>0</v>
      </c>
      <c r="T85" s="46">
        <v>1</v>
      </c>
      <c r="U85" s="47">
        <v>0</v>
      </c>
      <c r="V85" s="47">
        <v>0.214691</v>
      </c>
      <c r="W85" s="47">
        <v>0.062026</v>
      </c>
      <c r="X85" s="47">
        <v>0.002499</v>
      </c>
      <c r="Y85" s="47">
        <v>0</v>
      </c>
      <c r="Z85" s="47">
        <v>0</v>
      </c>
      <c r="AA85" s="69">
        <v>85</v>
      </c>
      <c r="AB85" s="69"/>
      <c r="AC85" s="70"/>
      <c r="AD85" s="76" t="s">
        <v>5953</v>
      </c>
      <c r="AE85" s="83" t="s">
        <v>5796</v>
      </c>
      <c r="AF85" s="76">
        <v>318</v>
      </c>
      <c r="AG85" s="76">
        <v>1235</v>
      </c>
      <c r="AH85" s="76">
        <v>37570</v>
      </c>
      <c r="AI85" s="76">
        <v>1</v>
      </c>
      <c r="AJ85" s="76">
        <v>59460</v>
      </c>
      <c r="AK85" s="76">
        <v>133</v>
      </c>
      <c r="AL85" s="76" t="b">
        <v>0</v>
      </c>
      <c r="AM85" s="78">
        <v>42891.61670138889</v>
      </c>
      <c r="AN85" s="76" t="s">
        <v>6509</v>
      </c>
      <c r="AO85" s="76" t="s">
        <v>6711</v>
      </c>
      <c r="AP85" s="76"/>
      <c r="AQ85" s="76"/>
      <c r="AR85" s="76"/>
      <c r="AS85" s="76"/>
      <c r="AT85" s="76"/>
      <c r="AU85" s="76"/>
      <c r="AV85" s="76"/>
      <c r="AW85" s="76"/>
      <c r="AX85" s="76" t="b">
        <v>0</v>
      </c>
      <c r="AY85" s="76"/>
      <c r="AZ85" s="76"/>
      <c r="BA85" s="76" t="b">
        <v>1</v>
      </c>
      <c r="BB85" s="76" t="b">
        <v>1</v>
      </c>
      <c r="BC85" s="76" t="b">
        <v>1</v>
      </c>
      <c r="BD85" s="76" t="b">
        <v>0</v>
      </c>
      <c r="BE85" s="76" t="b">
        <v>1</v>
      </c>
      <c r="BF85" s="76" t="b">
        <v>0</v>
      </c>
      <c r="BG85" s="76" t="b">
        <v>0</v>
      </c>
      <c r="BH85" s="82" t="str">
        <f>HYPERLINK("https://pbs.twimg.com/profile_banners/871740405691301888/1605149184")</f>
        <v>https://pbs.twimg.com/profile_banners/871740405691301888/1605149184</v>
      </c>
      <c r="BI85" s="76"/>
      <c r="BJ85" s="76" t="s">
        <v>7188</v>
      </c>
      <c r="BK85" s="76" t="b">
        <v>0</v>
      </c>
      <c r="BL85" s="76"/>
      <c r="BM85" s="76" t="s">
        <v>66</v>
      </c>
      <c r="BN85" s="76" t="s">
        <v>7190</v>
      </c>
      <c r="BO85" s="82" t="str">
        <f>HYPERLINK("https://twitter.com/karmaceejay")</f>
        <v>https://twitter.com/karmaceejay</v>
      </c>
      <c r="BP85" s="46" t="s">
        <v>7544</v>
      </c>
      <c r="BQ85" s="46" t="s">
        <v>7544</v>
      </c>
      <c r="BR85" s="46" t="s">
        <v>1982</v>
      </c>
      <c r="BS85" s="46" t="s">
        <v>1982</v>
      </c>
      <c r="BT85" s="46" t="s">
        <v>1726</v>
      </c>
      <c r="BU85" s="46" t="s">
        <v>7756</v>
      </c>
      <c r="BV85" s="105" t="s">
        <v>7823</v>
      </c>
      <c r="BW85" s="105" t="s">
        <v>7823</v>
      </c>
      <c r="BX85" s="105" t="s">
        <v>8054</v>
      </c>
      <c r="BY85" s="105" t="s">
        <v>8054</v>
      </c>
      <c r="BZ85" s="2"/>
    </row>
    <row r="86" spans="1:78" ht="15">
      <c r="A86" s="62" t="s">
        <v>266</v>
      </c>
      <c r="B86" s="63"/>
      <c r="C86" s="63"/>
      <c r="D86" s="64"/>
      <c r="E86" s="66"/>
      <c r="F86" s="100" t="str">
        <f>HYPERLINK("https://pbs.twimg.com/profile_images/1724244030744154112/atKSMR8t_normal.jpg")</f>
        <v>https://pbs.twimg.com/profile_images/1724244030744154112/atKSMR8t_normal.jpg</v>
      </c>
      <c r="G86" s="63"/>
      <c r="H86" s="67"/>
      <c r="I86" s="68"/>
      <c r="J86" s="68"/>
      <c r="K86" s="67" t="s">
        <v>7273</v>
      </c>
      <c r="L86" s="71"/>
      <c r="M86" s="72">
        <v>2561.95166015625</v>
      </c>
      <c r="N86" s="72">
        <v>5722.3359375</v>
      </c>
      <c r="O86" s="73"/>
      <c r="P86" s="74"/>
      <c r="Q86" s="74"/>
      <c r="R86" s="86"/>
      <c r="S86" s="46">
        <v>0</v>
      </c>
      <c r="T86" s="46">
        <v>2</v>
      </c>
      <c r="U86" s="47">
        <v>2</v>
      </c>
      <c r="V86" s="47">
        <v>0.00578</v>
      </c>
      <c r="W86" s="47">
        <v>0</v>
      </c>
      <c r="X86" s="47">
        <v>0.003258</v>
      </c>
      <c r="Y86" s="47">
        <v>0</v>
      </c>
      <c r="Z86" s="47">
        <v>0</v>
      </c>
      <c r="AA86" s="69">
        <v>86</v>
      </c>
      <c r="AB86" s="69"/>
      <c r="AC86" s="70"/>
      <c r="AD86" s="76" t="s">
        <v>5954</v>
      </c>
      <c r="AE86" s="83" t="s">
        <v>5797</v>
      </c>
      <c r="AF86" s="76">
        <v>416</v>
      </c>
      <c r="AG86" s="76">
        <v>301</v>
      </c>
      <c r="AH86" s="76">
        <v>30510</v>
      </c>
      <c r="AI86" s="76">
        <v>2</v>
      </c>
      <c r="AJ86" s="76">
        <v>9016</v>
      </c>
      <c r="AK86" s="76">
        <v>3169</v>
      </c>
      <c r="AL86" s="76" t="b">
        <v>0</v>
      </c>
      <c r="AM86" s="78">
        <v>44274.87368055555</v>
      </c>
      <c r="AN86" s="76" t="s">
        <v>6510</v>
      </c>
      <c r="AO86" s="76" t="s">
        <v>6712</v>
      </c>
      <c r="AP86" s="82" t="str">
        <f>HYPERLINK("https://t.co/ad2wFeTtDe")</f>
        <v>https://t.co/ad2wFeTtDe</v>
      </c>
      <c r="AQ86" s="82" t="str">
        <f>HYPERLINK("https://youtube.com/channel/UCEOh4FSZgyTpN0RTfwKDx9g")</f>
        <v>https://youtube.com/channel/UCEOh4FSZgyTpN0RTfwKDx9g</v>
      </c>
      <c r="AR86" s="76" t="s">
        <v>6993</v>
      </c>
      <c r="AS86" s="76"/>
      <c r="AT86" s="76"/>
      <c r="AU86" s="76"/>
      <c r="AV86" s="76">
        <v>1.72233468625958E+18</v>
      </c>
      <c r="AW86" s="82" t="str">
        <f>HYPERLINK("https://t.co/ad2wFeTtDe")</f>
        <v>https://t.co/ad2wFeTtDe</v>
      </c>
      <c r="AX86" s="76" t="b">
        <v>0</v>
      </c>
      <c r="AY86" s="76"/>
      <c r="AZ86" s="76"/>
      <c r="BA86" s="76" t="b">
        <v>1</v>
      </c>
      <c r="BB86" s="76" t="b">
        <v>1</v>
      </c>
      <c r="BC86" s="76" t="b">
        <v>1</v>
      </c>
      <c r="BD86" s="76" t="b">
        <v>0</v>
      </c>
      <c r="BE86" s="76" t="b">
        <v>1</v>
      </c>
      <c r="BF86" s="76" t="b">
        <v>0</v>
      </c>
      <c r="BG86" s="76" t="b">
        <v>0</v>
      </c>
      <c r="BH86" s="82" t="str">
        <f>HYPERLINK("https://pbs.twimg.com/profile_banners/1373015322425499651/1681306516")</f>
        <v>https://pbs.twimg.com/profile_banners/1373015322425499651/1681306516</v>
      </c>
      <c r="BI86" s="76"/>
      <c r="BJ86" s="76" t="s">
        <v>7188</v>
      </c>
      <c r="BK86" s="76" t="b">
        <v>0</v>
      </c>
      <c r="BL86" s="76"/>
      <c r="BM86" s="76" t="s">
        <v>66</v>
      </c>
      <c r="BN86" s="76" t="s">
        <v>7190</v>
      </c>
      <c r="BO86" s="82" t="str">
        <f>HYPERLINK("https://twitter.com/nexus8846")</f>
        <v>https://twitter.com/nexus8846</v>
      </c>
      <c r="BP86" s="46"/>
      <c r="BQ86" s="46"/>
      <c r="BR86" s="46"/>
      <c r="BS86" s="46"/>
      <c r="BT86" s="46"/>
      <c r="BU86" s="46"/>
      <c r="BV86" s="105" t="s">
        <v>7824</v>
      </c>
      <c r="BW86" s="105" t="s">
        <v>7824</v>
      </c>
      <c r="BX86" s="105" t="s">
        <v>8055</v>
      </c>
      <c r="BY86" s="105" t="s">
        <v>8055</v>
      </c>
      <c r="BZ86" s="2"/>
    </row>
    <row r="87" spans="1:78" ht="15">
      <c r="A87" s="62" t="s">
        <v>458</v>
      </c>
      <c r="B87" s="63"/>
      <c r="C87" s="63"/>
      <c r="D87" s="64"/>
      <c r="E87" s="66"/>
      <c r="F87" s="100" t="str">
        <f>HYPERLINK("https://pbs.twimg.com/profile_images/1725303146447249408/UXiPv08U_normal.jpg")</f>
        <v>https://pbs.twimg.com/profile_images/1725303146447249408/UXiPv08U_normal.jpg</v>
      </c>
      <c r="G87" s="63"/>
      <c r="H87" s="67"/>
      <c r="I87" s="68"/>
      <c r="J87" s="68"/>
      <c r="K87" s="67" t="s">
        <v>7274</v>
      </c>
      <c r="L87" s="71"/>
      <c r="M87" s="72">
        <v>2588.59130859375</v>
      </c>
      <c r="N87" s="72">
        <v>5553.154296875</v>
      </c>
      <c r="O87" s="73"/>
      <c r="P87" s="74"/>
      <c r="Q87" s="74"/>
      <c r="R87" s="86"/>
      <c r="S87" s="46">
        <v>1</v>
      </c>
      <c r="T87" s="46">
        <v>0</v>
      </c>
      <c r="U87" s="47">
        <v>0</v>
      </c>
      <c r="V87" s="47">
        <v>0.003854</v>
      </c>
      <c r="W87" s="47">
        <v>0</v>
      </c>
      <c r="X87" s="47">
        <v>0.002694</v>
      </c>
      <c r="Y87" s="47">
        <v>0</v>
      </c>
      <c r="Z87" s="47">
        <v>0</v>
      </c>
      <c r="AA87" s="69">
        <v>87</v>
      </c>
      <c r="AB87" s="69"/>
      <c r="AC87" s="70"/>
      <c r="AD87" s="76" t="s">
        <v>5955</v>
      </c>
      <c r="AE87" s="83" t="s">
        <v>6264</v>
      </c>
      <c r="AF87" s="76">
        <v>64</v>
      </c>
      <c r="AG87" s="76">
        <v>67</v>
      </c>
      <c r="AH87" s="76">
        <v>6640</v>
      </c>
      <c r="AI87" s="76">
        <v>4</v>
      </c>
      <c r="AJ87" s="76">
        <v>1277</v>
      </c>
      <c r="AK87" s="76">
        <v>1740</v>
      </c>
      <c r="AL87" s="76" t="b">
        <v>0</v>
      </c>
      <c r="AM87" s="78">
        <v>44944.66295138889</v>
      </c>
      <c r="AN87" s="76"/>
      <c r="AO87" s="76" t="s">
        <v>6713</v>
      </c>
      <c r="AP87" s="76"/>
      <c r="AQ87" s="76"/>
      <c r="AR87" s="76"/>
      <c r="AS87" s="76"/>
      <c r="AT87" s="76"/>
      <c r="AU87" s="76"/>
      <c r="AV87" s="76">
        <v>1.68769919038457E+18</v>
      </c>
      <c r="AW87" s="76"/>
      <c r="AX87" s="76" t="b">
        <v>0</v>
      </c>
      <c r="AY87" s="76"/>
      <c r="AZ87" s="76"/>
      <c r="BA87" s="76" t="b">
        <v>0</v>
      </c>
      <c r="BB87" s="76" t="b">
        <v>1</v>
      </c>
      <c r="BC87" s="76" t="b">
        <v>1</v>
      </c>
      <c r="BD87" s="76" t="b">
        <v>0</v>
      </c>
      <c r="BE87" s="76" t="b">
        <v>1</v>
      </c>
      <c r="BF87" s="76" t="b">
        <v>0</v>
      </c>
      <c r="BG87" s="76" t="b">
        <v>0</v>
      </c>
      <c r="BH87" s="82" t="str">
        <f>HYPERLINK("https://pbs.twimg.com/profile_banners/1615739409491718148/1702960657")</f>
        <v>https://pbs.twimg.com/profile_banners/1615739409491718148/1702960657</v>
      </c>
      <c r="BI87" s="76"/>
      <c r="BJ87" s="76" t="s">
        <v>7188</v>
      </c>
      <c r="BK87" s="76" t="b">
        <v>0</v>
      </c>
      <c r="BL87" s="76"/>
      <c r="BM87" s="76" t="s">
        <v>65</v>
      </c>
      <c r="BN87" s="76" t="s">
        <v>7190</v>
      </c>
      <c r="BO87" s="82" t="str">
        <f>HYPERLINK("https://twitter.com/barbatosrasiel")</f>
        <v>https://twitter.com/barbatosrasiel</v>
      </c>
      <c r="BP87" s="46"/>
      <c r="BQ87" s="46"/>
      <c r="BR87" s="46"/>
      <c r="BS87" s="46"/>
      <c r="BT87" s="46"/>
      <c r="BU87" s="46"/>
      <c r="BV87" s="46"/>
      <c r="BW87" s="46"/>
      <c r="BX87" s="46"/>
      <c r="BY87" s="46"/>
      <c r="BZ87" s="2"/>
    </row>
    <row r="88" spans="1:78" ht="15">
      <c r="A88" s="62" t="s">
        <v>459</v>
      </c>
      <c r="B88" s="63"/>
      <c r="C88" s="63"/>
      <c r="D88" s="64"/>
      <c r="E88" s="66"/>
      <c r="F88" s="100" t="str">
        <f>HYPERLINK("https://pbs.twimg.com/profile_images/1736913271850999808/W6VantGl_normal.jpg")</f>
        <v>https://pbs.twimg.com/profile_images/1736913271850999808/W6VantGl_normal.jpg</v>
      </c>
      <c r="G88" s="63"/>
      <c r="H88" s="67"/>
      <c r="I88" s="68"/>
      <c r="J88" s="68"/>
      <c r="K88" s="67" t="s">
        <v>7275</v>
      </c>
      <c r="L88" s="71"/>
      <c r="M88" s="72">
        <v>2615.2314453125</v>
      </c>
      <c r="N88" s="72">
        <v>5383.25537109375</v>
      </c>
      <c r="O88" s="73"/>
      <c r="P88" s="74"/>
      <c r="Q88" s="74"/>
      <c r="R88" s="86"/>
      <c r="S88" s="46">
        <v>1</v>
      </c>
      <c r="T88" s="46">
        <v>0</v>
      </c>
      <c r="U88" s="47">
        <v>0</v>
      </c>
      <c r="V88" s="47">
        <v>0.003854</v>
      </c>
      <c r="W88" s="47">
        <v>0</v>
      </c>
      <c r="X88" s="47">
        <v>0.002694</v>
      </c>
      <c r="Y88" s="47">
        <v>0</v>
      </c>
      <c r="Z88" s="47">
        <v>0</v>
      </c>
      <c r="AA88" s="69">
        <v>88</v>
      </c>
      <c r="AB88" s="69"/>
      <c r="AC88" s="70"/>
      <c r="AD88" s="76" t="s">
        <v>5956</v>
      </c>
      <c r="AE88" s="83" t="s">
        <v>5728</v>
      </c>
      <c r="AF88" s="76">
        <v>230</v>
      </c>
      <c r="AG88" s="76">
        <v>859</v>
      </c>
      <c r="AH88" s="76">
        <v>10692</v>
      </c>
      <c r="AI88" s="76">
        <v>0</v>
      </c>
      <c r="AJ88" s="76">
        <v>9110</v>
      </c>
      <c r="AK88" s="76">
        <v>880</v>
      </c>
      <c r="AL88" s="76" t="b">
        <v>0</v>
      </c>
      <c r="AM88" s="78">
        <v>44459.522824074076</v>
      </c>
      <c r="AN88" s="76"/>
      <c r="AO88" s="76" t="s">
        <v>6714</v>
      </c>
      <c r="AP88" s="76"/>
      <c r="AQ88" s="76"/>
      <c r="AR88" s="76"/>
      <c r="AS88" s="76"/>
      <c r="AT88" s="76"/>
      <c r="AU88" s="76"/>
      <c r="AV88" s="76">
        <v>1.7365493066587E+18</v>
      </c>
      <c r="AW88" s="76"/>
      <c r="AX88" s="76" t="b">
        <v>0</v>
      </c>
      <c r="AY88" s="76"/>
      <c r="AZ88" s="76"/>
      <c r="BA88" s="76" t="b">
        <v>1</v>
      </c>
      <c r="BB88" s="76" t="b">
        <v>0</v>
      </c>
      <c r="BC88" s="76" t="b">
        <v>1</v>
      </c>
      <c r="BD88" s="76" t="b">
        <v>0</v>
      </c>
      <c r="BE88" s="76" t="b">
        <v>1</v>
      </c>
      <c r="BF88" s="76" t="b">
        <v>0</v>
      </c>
      <c r="BG88" s="76" t="b">
        <v>0</v>
      </c>
      <c r="BH88" s="82" t="str">
        <f>HYPERLINK("https://pbs.twimg.com/profile_banners/1439930458222088192/1700705127")</f>
        <v>https://pbs.twimg.com/profile_banners/1439930458222088192/1700705127</v>
      </c>
      <c r="BI88" s="76"/>
      <c r="BJ88" s="76" t="s">
        <v>7188</v>
      </c>
      <c r="BK88" s="76" t="b">
        <v>0</v>
      </c>
      <c r="BL88" s="76"/>
      <c r="BM88" s="76" t="s">
        <v>65</v>
      </c>
      <c r="BN88" s="76" t="s">
        <v>7190</v>
      </c>
      <c r="BO88" s="82" t="str">
        <f>HYPERLINK("https://twitter.com/hagodhem2")</f>
        <v>https://twitter.com/hagodhem2</v>
      </c>
      <c r="BP88" s="46"/>
      <c r="BQ88" s="46"/>
      <c r="BR88" s="46"/>
      <c r="BS88" s="46"/>
      <c r="BT88" s="46"/>
      <c r="BU88" s="46"/>
      <c r="BV88" s="46"/>
      <c r="BW88" s="46"/>
      <c r="BX88" s="46"/>
      <c r="BY88" s="46"/>
      <c r="BZ88" s="2"/>
    </row>
    <row r="89" spans="1:78" ht="15">
      <c r="A89" s="62" t="s">
        <v>267</v>
      </c>
      <c r="B89" s="63"/>
      <c r="C89" s="63"/>
      <c r="D89" s="64"/>
      <c r="E89" s="66"/>
      <c r="F89" s="100" t="str">
        <f>HYPERLINK("https://pbs.twimg.com/profile_images/507231310797373440/NZYsoumd_normal.jpeg")</f>
        <v>https://pbs.twimg.com/profile_images/507231310797373440/NZYsoumd_normal.jpeg</v>
      </c>
      <c r="G89" s="63"/>
      <c r="H89" s="67"/>
      <c r="I89" s="68"/>
      <c r="J89" s="68"/>
      <c r="K89" s="67" t="s">
        <v>7276</v>
      </c>
      <c r="L89" s="71"/>
      <c r="M89" s="72">
        <v>2641.87109375</v>
      </c>
      <c r="N89" s="72">
        <v>5212.85888671875</v>
      </c>
      <c r="O89" s="73"/>
      <c r="P89" s="74"/>
      <c r="Q89" s="74"/>
      <c r="R89" s="86"/>
      <c r="S89" s="46">
        <v>1</v>
      </c>
      <c r="T89" s="46">
        <v>1</v>
      </c>
      <c r="U89" s="47">
        <v>0</v>
      </c>
      <c r="V89" s="47">
        <v>0</v>
      </c>
      <c r="W89" s="47">
        <v>0</v>
      </c>
      <c r="X89" s="47">
        <v>0.002882</v>
      </c>
      <c r="Y89" s="47">
        <v>0</v>
      </c>
      <c r="Z89" s="47">
        <v>0</v>
      </c>
      <c r="AA89" s="69">
        <v>89</v>
      </c>
      <c r="AB89" s="69"/>
      <c r="AC89" s="70"/>
      <c r="AD89" s="76" t="s">
        <v>5957</v>
      </c>
      <c r="AE89" s="83" t="s">
        <v>6265</v>
      </c>
      <c r="AF89" s="76">
        <v>743</v>
      </c>
      <c r="AG89" s="76">
        <v>1015</v>
      </c>
      <c r="AH89" s="76">
        <v>13068</v>
      </c>
      <c r="AI89" s="76">
        <v>2</v>
      </c>
      <c r="AJ89" s="76">
        <v>504</v>
      </c>
      <c r="AK89" s="76">
        <v>103</v>
      </c>
      <c r="AL89" s="76" t="b">
        <v>0</v>
      </c>
      <c r="AM89" s="78">
        <v>40853.85134259259</v>
      </c>
      <c r="AN89" s="76"/>
      <c r="AO89" s="76" t="s">
        <v>6715</v>
      </c>
      <c r="AP89" s="76"/>
      <c r="AQ89" s="76"/>
      <c r="AR89" s="76"/>
      <c r="AS89" s="76"/>
      <c r="AT89" s="76"/>
      <c r="AU89" s="76"/>
      <c r="AV89" s="76"/>
      <c r="AW89" s="76"/>
      <c r="AX89" s="76" t="b">
        <v>0</v>
      </c>
      <c r="AY89" s="76"/>
      <c r="AZ89" s="76"/>
      <c r="BA89" s="76" t="b">
        <v>0</v>
      </c>
      <c r="BB89" s="76" t="b">
        <v>1</v>
      </c>
      <c r="BC89" s="76" t="b">
        <v>0</v>
      </c>
      <c r="BD89" s="76" t="b">
        <v>0</v>
      </c>
      <c r="BE89" s="76" t="b">
        <v>0</v>
      </c>
      <c r="BF89" s="76" t="b">
        <v>0</v>
      </c>
      <c r="BG89" s="76" t="b">
        <v>0</v>
      </c>
      <c r="BH89" s="82" t="str">
        <f>HYPERLINK("https://pbs.twimg.com/profile_banners/406516188/1349742037")</f>
        <v>https://pbs.twimg.com/profile_banners/406516188/1349742037</v>
      </c>
      <c r="BI89" s="76"/>
      <c r="BJ89" s="76" t="s">
        <v>7188</v>
      </c>
      <c r="BK89" s="76" t="b">
        <v>0</v>
      </c>
      <c r="BL89" s="76"/>
      <c r="BM89" s="76" t="s">
        <v>66</v>
      </c>
      <c r="BN89" s="76" t="s">
        <v>7190</v>
      </c>
      <c r="BO89" s="82" t="str">
        <f>HYPERLINK("https://twitter.com/lady_machel")</f>
        <v>https://twitter.com/lady_machel</v>
      </c>
      <c r="BP89" s="46"/>
      <c r="BQ89" s="46"/>
      <c r="BR89" s="46"/>
      <c r="BS89" s="46"/>
      <c r="BT89" s="46"/>
      <c r="BU89" s="46"/>
      <c r="BV89" s="105" t="s">
        <v>7825</v>
      </c>
      <c r="BW89" s="105" t="s">
        <v>7825</v>
      </c>
      <c r="BX89" s="105" t="s">
        <v>8056</v>
      </c>
      <c r="BY89" s="105" t="s">
        <v>8056</v>
      </c>
      <c r="BZ89" s="2"/>
    </row>
    <row r="90" spans="1:78" ht="15">
      <c r="A90" s="62" t="s">
        <v>268</v>
      </c>
      <c r="B90" s="63"/>
      <c r="C90" s="63"/>
      <c r="D90" s="64"/>
      <c r="E90" s="66"/>
      <c r="F90" s="100" t="str">
        <f>HYPERLINK("https://pbs.twimg.com/profile_images/476692443916537856/XinByKcJ_normal.png")</f>
        <v>https://pbs.twimg.com/profile_images/476692443916537856/XinByKcJ_normal.png</v>
      </c>
      <c r="G90" s="63"/>
      <c r="H90" s="67"/>
      <c r="I90" s="68"/>
      <c r="J90" s="68"/>
      <c r="K90" s="67" t="s">
        <v>7277</v>
      </c>
      <c r="L90" s="71"/>
      <c r="M90" s="72">
        <v>2668.51123046875</v>
      </c>
      <c r="N90" s="72">
        <v>5042.185546875</v>
      </c>
      <c r="O90" s="73"/>
      <c r="P90" s="74"/>
      <c r="Q90" s="74"/>
      <c r="R90" s="86"/>
      <c r="S90" s="46">
        <v>1</v>
      </c>
      <c r="T90" s="46">
        <v>1</v>
      </c>
      <c r="U90" s="47">
        <v>0</v>
      </c>
      <c r="V90" s="47">
        <v>0</v>
      </c>
      <c r="W90" s="47">
        <v>0</v>
      </c>
      <c r="X90" s="47">
        <v>0.002882</v>
      </c>
      <c r="Y90" s="47">
        <v>0</v>
      </c>
      <c r="Z90" s="47">
        <v>0</v>
      </c>
      <c r="AA90" s="69">
        <v>90</v>
      </c>
      <c r="AB90" s="69"/>
      <c r="AC90" s="70"/>
      <c r="AD90" s="76" t="s">
        <v>5958</v>
      </c>
      <c r="AE90" s="83" t="s">
        <v>6266</v>
      </c>
      <c r="AF90" s="76">
        <v>414</v>
      </c>
      <c r="AG90" s="76">
        <v>0</v>
      </c>
      <c r="AH90" s="76">
        <v>1138</v>
      </c>
      <c r="AI90" s="76">
        <v>0</v>
      </c>
      <c r="AJ90" s="76">
        <v>6</v>
      </c>
      <c r="AK90" s="76">
        <v>973</v>
      </c>
      <c r="AL90" s="76" t="b">
        <v>0</v>
      </c>
      <c r="AM90" s="78">
        <v>41730.50019675926</v>
      </c>
      <c r="AN90" s="76" t="s">
        <v>3889</v>
      </c>
      <c r="AO90" s="76" t="s">
        <v>6716</v>
      </c>
      <c r="AP90" s="82" t="str">
        <f>HYPERLINK("http://t.co/xtfKy8B5tS")</f>
        <v>http://t.co/xtfKy8B5tS</v>
      </c>
      <c r="AQ90" s="82" t="str">
        <f>HYPERLINK("http://www.ChetanaSforum.com")</f>
        <v>http://www.ChetanaSforum.com</v>
      </c>
      <c r="AR90" s="76" t="s">
        <v>5958</v>
      </c>
      <c r="AS90" s="76"/>
      <c r="AT90" s="76"/>
      <c r="AU90" s="76"/>
      <c r="AV90" s="76"/>
      <c r="AW90" s="82" t="str">
        <f>HYPERLINK("http://t.co/xtfKy8B5tS")</f>
        <v>http://t.co/xtfKy8B5tS</v>
      </c>
      <c r="AX90" s="76" t="b">
        <v>0</v>
      </c>
      <c r="AY90" s="76"/>
      <c r="AZ90" s="76"/>
      <c r="BA90" s="76" t="b">
        <v>0</v>
      </c>
      <c r="BB90" s="76" t="b">
        <v>1</v>
      </c>
      <c r="BC90" s="76" t="b">
        <v>1</v>
      </c>
      <c r="BD90" s="76" t="b">
        <v>0</v>
      </c>
      <c r="BE90" s="76" t="b">
        <v>0</v>
      </c>
      <c r="BF90" s="76" t="b">
        <v>0</v>
      </c>
      <c r="BG90" s="76" t="b">
        <v>0</v>
      </c>
      <c r="BH90" s="82" t="str">
        <f>HYPERLINK("https://pbs.twimg.com/profile_banners/2421995742/1398686991")</f>
        <v>https://pbs.twimg.com/profile_banners/2421995742/1398686991</v>
      </c>
      <c r="BI90" s="76"/>
      <c r="BJ90" s="76" t="s">
        <v>7188</v>
      </c>
      <c r="BK90" s="76" t="b">
        <v>0</v>
      </c>
      <c r="BL90" s="76"/>
      <c r="BM90" s="76" t="s">
        <v>66</v>
      </c>
      <c r="BN90" s="76" t="s">
        <v>7190</v>
      </c>
      <c r="BO90" s="82" t="str">
        <f>HYPERLINK("https://twitter.com/chetanasforum")</f>
        <v>https://twitter.com/chetanasforum</v>
      </c>
      <c r="BP90" s="46" t="s">
        <v>7619</v>
      </c>
      <c r="BQ90" s="46" t="s">
        <v>7693</v>
      </c>
      <c r="BR90" s="46" t="s">
        <v>1990</v>
      </c>
      <c r="BS90" s="46" t="s">
        <v>1990</v>
      </c>
      <c r="BT90" s="46"/>
      <c r="BU90" s="46"/>
      <c r="BV90" s="105" t="s">
        <v>7826</v>
      </c>
      <c r="BW90" s="105" t="s">
        <v>7982</v>
      </c>
      <c r="BX90" s="105" t="s">
        <v>8057</v>
      </c>
      <c r="BY90" s="105" t="s">
        <v>8209</v>
      </c>
      <c r="BZ90" s="2"/>
    </row>
    <row r="91" spans="1:78" ht="15">
      <c r="A91" s="62" t="s">
        <v>269</v>
      </c>
      <c r="B91" s="63"/>
      <c r="C91" s="63"/>
      <c r="D91" s="64"/>
      <c r="E91" s="66"/>
      <c r="F91" s="100" t="str">
        <f>HYPERLINK("https://pbs.twimg.com/profile_images/907273702265552896/s7cdZYyI_normal.jpg")</f>
        <v>https://pbs.twimg.com/profile_images/907273702265552896/s7cdZYyI_normal.jpg</v>
      </c>
      <c r="G91" s="63"/>
      <c r="H91" s="67"/>
      <c r="I91" s="68"/>
      <c r="J91" s="68"/>
      <c r="K91" s="67" t="s">
        <v>7278</v>
      </c>
      <c r="L91" s="71"/>
      <c r="M91" s="72">
        <v>2695.15087890625</v>
      </c>
      <c r="N91" s="72">
        <v>4871.45703125</v>
      </c>
      <c r="O91" s="73"/>
      <c r="P91" s="74"/>
      <c r="Q91" s="74"/>
      <c r="R91" s="86"/>
      <c r="S91" s="46">
        <v>1</v>
      </c>
      <c r="T91" s="46">
        <v>1</v>
      </c>
      <c r="U91" s="47">
        <v>0</v>
      </c>
      <c r="V91" s="47">
        <v>0</v>
      </c>
      <c r="W91" s="47">
        <v>0</v>
      </c>
      <c r="X91" s="47">
        <v>0.002882</v>
      </c>
      <c r="Y91" s="47">
        <v>0</v>
      </c>
      <c r="Z91" s="47">
        <v>0</v>
      </c>
      <c r="AA91" s="69">
        <v>91</v>
      </c>
      <c r="AB91" s="69"/>
      <c r="AC91" s="70"/>
      <c r="AD91" s="76" t="s">
        <v>5959</v>
      </c>
      <c r="AE91" s="83" t="s">
        <v>5798</v>
      </c>
      <c r="AF91" s="76">
        <v>237</v>
      </c>
      <c r="AG91" s="76">
        <v>398</v>
      </c>
      <c r="AH91" s="76">
        <v>10429</v>
      </c>
      <c r="AI91" s="76">
        <v>2</v>
      </c>
      <c r="AJ91" s="76">
        <v>43</v>
      </c>
      <c r="AK91" s="76">
        <v>5563</v>
      </c>
      <c r="AL91" s="76" t="b">
        <v>0</v>
      </c>
      <c r="AM91" s="78">
        <v>42989.61157407407</v>
      </c>
      <c r="AN91" s="76" t="s">
        <v>6468</v>
      </c>
      <c r="AO91" s="76" t="s">
        <v>6717</v>
      </c>
      <c r="AP91" s="82" t="str">
        <f>HYPERLINK("https://t.co/sETh9fWQ0V")</f>
        <v>https://t.co/sETh9fWQ0V</v>
      </c>
      <c r="AQ91" s="82" t="str">
        <f>HYPERLINK("http://webpage.tips")</f>
        <v>http://webpage.tips</v>
      </c>
      <c r="AR91" s="76" t="s">
        <v>6994</v>
      </c>
      <c r="AS91" s="76"/>
      <c r="AT91" s="76"/>
      <c r="AU91" s="76"/>
      <c r="AV91" s="76"/>
      <c r="AW91" s="82" t="str">
        <f>HYPERLINK("https://t.co/sETh9fWQ0V")</f>
        <v>https://t.co/sETh9fWQ0V</v>
      </c>
      <c r="AX91" s="76" t="b">
        <v>0</v>
      </c>
      <c r="AY91" s="76"/>
      <c r="AZ91" s="76"/>
      <c r="BA91" s="76" t="b">
        <v>0</v>
      </c>
      <c r="BB91" s="76" t="b">
        <v>1</v>
      </c>
      <c r="BC91" s="76" t="b">
        <v>1</v>
      </c>
      <c r="BD91" s="76" t="b">
        <v>0</v>
      </c>
      <c r="BE91" s="76" t="b">
        <v>0</v>
      </c>
      <c r="BF91" s="76" t="b">
        <v>0</v>
      </c>
      <c r="BG91" s="76" t="b">
        <v>0</v>
      </c>
      <c r="BH91" s="82" t="str">
        <f>HYPERLINK("https://pbs.twimg.com/profile_banners/907252558577717249/1505195976")</f>
        <v>https://pbs.twimg.com/profile_banners/907252558577717249/1505195976</v>
      </c>
      <c r="BI91" s="76"/>
      <c r="BJ91" s="76" t="s">
        <v>7188</v>
      </c>
      <c r="BK91" s="76" t="b">
        <v>0</v>
      </c>
      <c r="BL91" s="76"/>
      <c r="BM91" s="76" t="s">
        <v>66</v>
      </c>
      <c r="BN91" s="76" t="s">
        <v>7190</v>
      </c>
      <c r="BO91" s="82" t="str">
        <f>HYPERLINK("https://twitter.com/webpage_tips")</f>
        <v>https://twitter.com/webpage_tips</v>
      </c>
      <c r="BP91" s="46" t="s">
        <v>7620</v>
      </c>
      <c r="BQ91" s="46" t="s">
        <v>7620</v>
      </c>
      <c r="BR91" s="46" t="s">
        <v>1978</v>
      </c>
      <c r="BS91" s="46" t="s">
        <v>1978</v>
      </c>
      <c r="BT91" s="46" t="s">
        <v>299</v>
      </c>
      <c r="BU91" s="46" t="s">
        <v>299</v>
      </c>
      <c r="BV91" s="105" t="s">
        <v>7827</v>
      </c>
      <c r="BW91" s="105" t="s">
        <v>7827</v>
      </c>
      <c r="BX91" s="105" t="s">
        <v>8058</v>
      </c>
      <c r="BY91" s="105" t="s">
        <v>8058</v>
      </c>
      <c r="BZ91" s="2"/>
    </row>
    <row r="92" spans="1:78" ht="15">
      <c r="A92" s="62" t="s">
        <v>270</v>
      </c>
      <c r="B92" s="63"/>
      <c r="C92" s="63"/>
      <c r="D92" s="64"/>
      <c r="E92" s="66"/>
      <c r="F92" s="100" t="str">
        <f>HYPERLINK("https://pbs.twimg.com/profile_images/1699448700962000896/KyVZCwl5_normal.jpg")</f>
        <v>https://pbs.twimg.com/profile_images/1699448700962000896/KyVZCwl5_normal.jpg</v>
      </c>
      <c r="G92" s="63"/>
      <c r="H92" s="67"/>
      <c r="I92" s="68"/>
      <c r="J92" s="68"/>
      <c r="K92" s="67" t="s">
        <v>7279</v>
      </c>
      <c r="L92" s="71"/>
      <c r="M92" s="72">
        <v>2721.791015625</v>
      </c>
      <c r="N92" s="72">
        <v>4700.89453125</v>
      </c>
      <c r="O92" s="73"/>
      <c r="P92" s="74"/>
      <c r="Q92" s="74"/>
      <c r="R92" s="86"/>
      <c r="S92" s="46">
        <v>0</v>
      </c>
      <c r="T92" s="46">
        <v>1</v>
      </c>
      <c r="U92" s="47">
        <v>0</v>
      </c>
      <c r="V92" s="47">
        <v>0.00289</v>
      </c>
      <c r="W92" s="47">
        <v>0</v>
      </c>
      <c r="X92" s="47">
        <v>0.002882</v>
      </c>
      <c r="Y92" s="47">
        <v>0</v>
      </c>
      <c r="Z92" s="47">
        <v>0</v>
      </c>
      <c r="AA92" s="69">
        <v>92</v>
      </c>
      <c r="AB92" s="69"/>
      <c r="AC92" s="70"/>
      <c r="AD92" s="76" t="s">
        <v>5960</v>
      </c>
      <c r="AE92" s="83" t="s">
        <v>6267</v>
      </c>
      <c r="AF92" s="76">
        <v>1764</v>
      </c>
      <c r="AG92" s="76">
        <v>4991</v>
      </c>
      <c r="AH92" s="76">
        <v>82789</v>
      </c>
      <c r="AI92" s="76">
        <v>181</v>
      </c>
      <c r="AJ92" s="76">
        <v>98259</v>
      </c>
      <c r="AK92" s="76">
        <v>1310</v>
      </c>
      <c r="AL92" s="76" t="b">
        <v>0</v>
      </c>
      <c r="AM92" s="78">
        <v>41812.900347222225</v>
      </c>
      <c r="AN92" s="76" t="s">
        <v>6511</v>
      </c>
      <c r="AO92" s="76" t="s">
        <v>6718</v>
      </c>
      <c r="AP92" s="76"/>
      <c r="AQ92" s="76"/>
      <c r="AR92" s="76"/>
      <c r="AS92" s="76"/>
      <c r="AT92" s="76"/>
      <c r="AU92" s="76"/>
      <c r="AV92" s="76"/>
      <c r="AW92" s="76"/>
      <c r="AX92" s="76" t="b">
        <v>0</v>
      </c>
      <c r="AY92" s="76"/>
      <c r="AZ92" s="76"/>
      <c r="BA92" s="76" t="b">
        <v>1</v>
      </c>
      <c r="BB92" s="76" t="b">
        <v>1</v>
      </c>
      <c r="BC92" s="76" t="b">
        <v>1</v>
      </c>
      <c r="BD92" s="76" t="b">
        <v>0</v>
      </c>
      <c r="BE92" s="76" t="b">
        <v>1</v>
      </c>
      <c r="BF92" s="76" t="b">
        <v>0</v>
      </c>
      <c r="BG92" s="76" t="b">
        <v>0</v>
      </c>
      <c r="BH92" s="82" t="str">
        <f>HYPERLINK("https://pbs.twimg.com/profile_banners/2632505285/1601946772")</f>
        <v>https://pbs.twimg.com/profile_banners/2632505285/1601946772</v>
      </c>
      <c r="BI92" s="76"/>
      <c r="BJ92" s="76" t="s">
        <v>7188</v>
      </c>
      <c r="BK92" s="76" t="b">
        <v>0</v>
      </c>
      <c r="BL92" s="76"/>
      <c r="BM92" s="76" t="s">
        <v>66</v>
      </c>
      <c r="BN92" s="76" t="s">
        <v>7190</v>
      </c>
      <c r="BO92" s="82" t="str">
        <f>HYPERLINK("https://twitter.com/fountainkricket")</f>
        <v>https://twitter.com/fountainkricket</v>
      </c>
      <c r="BP92" s="46"/>
      <c r="BQ92" s="46"/>
      <c r="BR92" s="46"/>
      <c r="BS92" s="46"/>
      <c r="BT92" s="46" t="s">
        <v>1727</v>
      </c>
      <c r="BU92" s="46" t="s">
        <v>1727</v>
      </c>
      <c r="BV92" s="105" t="s">
        <v>7828</v>
      </c>
      <c r="BW92" s="105" t="s">
        <v>7828</v>
      </c>
      <c r="BX92" s="105" t="s">
        <v>8059</v>
      </c>
      <c r="BY92" s="105" t="s">
        <v>8059</v>
      </c>
      <c r="BZ92" s="2"/>
    </row>
    <row r="93" spans="1:78" ht="15">
      <c r="A93" s="62" t="s">
        <v>460</v>
      </c>
      <c r="B93" s="63"/>
      <c r="C93" s="63"/>
      <c r="D93" s="64"/>
      <c r="E93" s="66"/>
      <c r="F93" s="100" t="str">
        <f>HYPERLINK("https://pbs.twimg.com/profile_images/1484284503128485891/wAhP-rtP_normal.jpg")</f>
        <v>https://pbs.twimg.com/profile_images/1484284503128485891/wAhP-rtP_normal.jpg</v>
      </c>
      <c r="G93" s="63"/>
      <c r="H93" s="67"/>
      <c r="I93" s="68"/>
      <c r="J93" s="68"/>
      <c r="K93" s="67" t="s">
        <v>7280</v>
      </c>
      <c r="L93" s="71"/>
      <c r="M93" s="72">
        <v>2748.4306640625</v>
      </c>
      <c r="N93" s="72">
        <v>4530.71875</v>
      </c>
      <c r="O93" s="73"/>
      <c r="P93" s="74"/>
      <c r="Q93" s="74"/>
      <c r="R93" s="86"/>
      <c r="S93" s="46">
        <v>1</v>
      </c>
      <c r="T93" s="46">
        <v>0</v>
      </c>
      <c r="U93" s="47">
        <v>0</v>
      </c>
      <c r="V93" s="47">
        <v>0.00289</v>
      </c>
      <c r="W93" s="47">
        <v>0</v>
      </c>
      <c r="X93" s="47">
        <v>0.002882</v>
      </c>
      <c r="Y93" s="47">
        <v>0</v>
      </c>
      <c r="Z93" s="47">
        <v>0</v>
      </c>
      <c r="AA93" s="69">
        <v>93</v>
      </c>
      <c r="AB93" s="69"/>
      <c r="AC93" s="70"/>
      <c r="AD93" s="76" t="s">
        <v>5961</v>
      </c>
      <c r="AE93" s="83" t="s">
        <v>5729</v>
      </c>
      <c r="AF93" s="76">
        <v>39413</v>
      </c>
      <c r="AG93" s="76">
        <v>1034</v>
      </c>
      <c r="AH93" s="76">
        <v>1760</v>
      </c>
      <c r="AI93" s="76">
        <v>97</v>
      </c>
      <c r="AJ93" s="76">
        <v>6456</v>
      </c>
      <c r="AK93" s="76">
        <v>107</v>
      </c>
      <c r="AL93" s="76" t="b">
        <v>0</v>
      </c>
      <c r="AM93" s="78">
        <v>41808.98478009259</v>
      </c>
      <c r="AN93" s="76"/>
      <c r="AO93" s="76" t="s">
        <v>6719</v>
      </c>
      <c r="AP93" s="82" t="str">
        <f>HYPERLINK("https://t.co/GT1UE3sqpu")</f>
        <v>https://t.co/GT1UE3sqpu</v>
      </c>
      <c r="AQ93" s="82" t="str">
        <f>HYPERLINK("http://walmartfamilymobile.com/")</f>
        <v>http://walmartfamilymobile.com/</v>
      </c>
      <c r="AR93" s="76" t="s">
        <v>6995</v>
      </c>
      <c r="AS93" s="76"/>
      <c r="AT93" s="76"/>
      <c r="AU93" s="76"/>
      <c r="AV93" s="76">
        <v>1.24464574074553E+18</v>
      </c>
      <c r="AW93" s="82" t="str">
        <f>HYPERLINK("https://t.co/GT1UE3sqpu")</f>
        <v>https://t.co/GT1UE3sqpu</v>
      </c>
      <c r="AX93" s="76" t="b">
        <v>0</v>
      </c>
      <c r="AY93" s="76"/>
      <c r="AZ93" s="76"/>
      <c r="BA93" s="76" t="b">
        <v>1</v>
      </c>
      <c r="BB93" s="76" t="b">
        <v>1</v>
      </c>
      <c r="BC93" s="76" t="b">
        <v>0</v>
      </c>
      <c r="BD93" s="76" t="b">
        <v>0</v>
      </c>
      <c r="BE93" s="76" t="b">
        <v>0</v>
      </c>
      <c r="BF93" s="76" t="b">
        <v>0</v>
      </c>
      <c r="BG93" s="76" t="b">
        <v>0</v>
      </c>
      <c r="BH93" s="82" t="str">
        <f>HYPERLINK("https://pbs.twimg.com/profile_banners/2575690472/1661536895")</f>
        <v>https://pbs.twimg.com/profile_banners/2575690472/1661536895</v>
      </c>
      <c r="BI93" s="76"/>
      <c r="BJ93" s="76" t="s">
        <v>7188</v>
      </c>
      <c r="BK93" s="76" t="b">
        <v>0</v>
      </c>
      <c r="BL93" s="76"/>
      <c r="BM93" s="76" t="s">
        <v>65</v>
      </c>
      <c r="BN93" s="76" t="s">
        <v>7190</v>
      </c>
      <c r="BO93" s="82" t="str">
        <f>HYPERLINK("https://twitter.com/familymobile")</f>
        <v>https://twitter.com/familymobile</v>
      </c>
      <c r="BP93" s="46"/>
      <c r="BQ93" s="46"/>
      <c r="BR93" s="46"/>
      <c r="BS93" s="46"/>
      <c r="BT93" s="46"/>
      <c r="BU93" s="46"/>
      <c r="BV93" s="46"/>
      <c r="BW93" s="46"/>
      <c r="BX93" s="46"/>
      <c r="BY93" s="46"/>
      <c r="BZ93" s="2"/>
    </row>
    <row r="94" spans="1:78" ht="15">
      <c r="A94" s="62" t="s">
        <v>271</v>
      </c>
      <c r="B94" s="63"/>
      <c r="C94" s="63"/>
      <c r="D94" s="64"/>
      <c r="E94" s="66"/>
      <c r="F94" s="100" t="str">
        <f>HYPERLINK("https://abs.twimg.com/sticky/default_profile_images/default_profile_normal.png")</f>
        <v>https://abs.twimg.com/sticky/default_profile_images/default_profile_normal.png</v>
      </c>
      <c r="G94" s="63"/>
      <c r="H94" s="67"/>
      <c r="I94" s="68"/>
      <c r="J94" s="68"/>
      <c r="K94" s="67" t="s">
        <v>7281</v>
      </c>
      <c r="L94" s="71"/>
      <c r="M94" s="72">
        <v>2775.07080078125</v>
      </c>
      <c r="N94" s="72">
        <v>4361.1513671875</v>
      </c>
      <c r="O94" s="73"/>
      <c r="P94" s="74"/>
      <c r="Q94" s="74"/>
      <c r="R94" s="86"/>
      <c r="S94" s="46">
        <v>1</v>
      </c>
      <c r="T94" s="46">
        <v>1</v>
      </c>
      <c r="U94" s="47">
        <v>0</v>
      </c>
      <c r="V94" s="47">
        <v>0</v>
      </c>
      <c r="W94" s="47">
        <v>0</v>
      </c>
      <c r="X94" s="47">
        <v>0.002882</v>
      </c>
      <c r="Y94" s="47">
        <v>0</v>
      </c>
      <c r="Z94" s="47">
        <v>0</v>
      </c>
      <c r="AA94" s="69">
        <v>94</v>
      </c>
      <c r="AB94" s="69"/>
      <c r="AC94" s="70"/>
      <c r="AD94" s="76" t="s">
        <v>5962</v>
      </c>
      <c r="AE94" s="83" t="s">
        <v>6268</v>
      </c>
      <c r="AF94" s="76">
        <v>224</v>
      </c>
      <c r="AG94" s="76">
        <v>408</v>
      </c>
      <c r="AH94" s="76">
        <v>4092</v>
      </c>
      <c r="AI94" s="76">
        <v>1</v>
      </c>
      <c r="AJ94" s="76">
        <v>0</v>
      </c>
      <c r="AK94" s="76">
        <v>0</v>
      </c>
      <c r="AL94" s="76" t="b">
        <v>0</v>
      </c>
      <c r="AM94" s="78">
        <v>40363.619837962964</v>
      </c>
      <c r="AN94" s="76" t="s">
        <v>3889</v>
      </c>
      <c r="AO94" s="76" t="s">
        <v>6720</v>
      </c>
      <c r="AP94" s="82" t="str">
        <f>HYPERLINK("http://t.co/IPQMi4CUU8")</f>
        <v>http://t.co/IPQMi4CUU8</v>
      </c>
      <c r="AQ94" s="82" t="str">
        <f>HYPERLINK("http://indiarecruitmentjob.com")</f>
        <v>http://indiarecruitmentjob.com</v>
      </c>
      <c r="AR94" s="76" t="s">
        <v>6996</v>
      </c>
      <c r="AS94" s="76"/>
      <c r="AT94" s="76"/>
      <c r="AU94" s="76"/>
      <c r="AV94" s="76"/>
      <c r="AW94" s="82" t="str">
        <f>HYPERLINK("http://t.co/IPQMi4CUU8")</f>
        <v>http://t.co/IPQMi4CUU8</v>
      </c>
      <c r="AX94" s="76" t="b">
        <v>0</v>
      </c>
      <c r="AY94" s="76"/>
      <c r="AZ94" s="76"/>
      <c r="BA94" s="76" t="b">
        <v>0</v>
      </c>
      <c r="BB94" s="76" t="b">
        <v>1</v>
      </c>
      <c r="BC94" s="76" t="b">
        <v>1</v>
      </c>
      <c r="BD94" s="76" t="b">
        <v>1</v>
      </c>
      <c r="BE94" s="76" t="b">
        <v>0</v>
      </c>
      <c r="BF94" s="76" t="b">
        <v>0</v>
      </c>
      <c r="BG94" s="76" t="b">
        <v>0</v>
      </c>
      <c r="BH94" s="76"/>
      <c r="BI94" s="76"/>
      <c r="BJ94" s="76" t="s">
        <v>7188</v>
      </c>
      <c r="BK94" s="76" t="b">
        <v>0</v>
      </c>
      <c r="BL94" s="76"/>
      <c r="BM94" s="76" t="s">
        <v>66</v>
      </c>
      <c r="BN94" s="76" t="s">
        <v>7190</v>
      </c>
      <c r="BO94" s="82" t="str">
        <f>HYPERLINK("https://twitter.com/irjobline")</f>
        <v>https://twitter.com/irjobline</v>
      </c>
      <c r="BP94" s="46"/>
      <c r="BQ94" s="46"/>
      <c r="BR94" s="46"/>
      <c r="BS94" s="46"/>
      <c r="BT94" s="46"/>
      <c r="BU94" s="46"/>
      <c r="BV94" s="105" t="s">
        <v>7829</v>
      </c>
      <c r="BW94" s="105" t="s">
        <v>7983</v>
      </c>
      <c r="BX94" s="105" t="s">
        <v>8060</v>
      </c>
      <c r="BY94" s="105" t="s">
        <v>8210</v>
      </c>
      <c r="BZ94" s="2"/>
    </row>
    <row r="95" spans="1:78" ht="15">
      <c r="A95" s="62" t="s">
        <v>272</v>
      </c>
      <c r="B95" s="63"/>
      <c r="C95" s="63"/>
      <c r="D95" s="64"/>
      <c r="E95" s="66"/>
      <c r="F95" s="100" t="str">
        <f>HYPERLINK("https://pbs.twimg.com/profile_images/1354989276749066240/vTL3aM49_normal.jpg")</f>
        <v>https://pbs.twimg.com/profile_images/1354989276749066240/vTL3aM49_normal.jpg</v>
      </c>
      <c r="G95" s="63"/>
      <c r="H95" s="67"/>
      <c r="I95" s="68"/>
      <c r="J95" s="68"/>
      <c r="K95" s="67" t="s">
        <v>7282</v>
      </c>
      <c r="L95" s="71"/>
      <c r="M95" s="72">
        <v>2801.71044921875</v>
      </c>
      <c r="N95" s="72">
        <v>4192.41064453125</v>
      </c>
      <c r="O95" s="73"/>
      <c r="P95" s="74"/>
      <c r="Q95" s="74"/>
      <c r="R95" s="86"/>
      <c r="S95" s="46">
        <v>1</v>
      </c>
      <c r="T95" s="46">
        <v>1</v>
      </c>
      <c r="U95" s="47">
        <v>0</v>
      </c>
      <c r="V95" s="47">
        <v>0</v>
      </c>
      <c r="W95" s="47">
        <v>0</v>
      </c>
      <c r="X95" s="47">
        <v>0.002882</v>
      </c>
      <c r="Y95" s="47">
        <v>0</v>
      </c>
      <c r="Z95" s="47">
        <v>0</v>
      </c>
      <c r="AA95" s="69">
        <v>95</v>
      </c>
      <c r="AB95" s="69"/>
      <c r="AC95" s="70"/>
      <c r="AD95" s="76" t="s">
        <v>5963</v>
      </c>
      <c r="AE95" s="83" t="s">
        <v>6269</v>
      </c>
      <c r="AF95" s="76">
        <v>541</v>
      </c>
      <c r="AG95" s="76">
        <v>123</v>
      </c>
      <c r="AH95" s="76">
        <v>102205</v>
      </c>
      <c r="AI95" s="76">
        <v>4</v>
      </c>
      <c r="AJ95" s="76">
        <v>16</v>
      </c>
      <c r="AK95" s="76">
        <v>2261</v>
      </c>
      <c r="AL95" s="76" t="b">
        <v>0</v>
      </c>
      <c r="AM95" s="78">
        <v>40389.538564814815</v>
      </c>
      <c r="AN95" s="76" t="s">
        <v>6512</v>
      </c>
      <c r="AO95" s="76" t="s">
        <v>6721</v>
      </c>
      <c r="AP95" s="82" t="str">
        <f>HYPERLINK("https://t.co/5BAT3LQ4a2")</f>
        <v>https://t.co/5BAT3LQ4a2</v>
      </c>
      <c r="AQ95" s="82" t="str">
        <f>HYPERLINK("http://soundcloud.com/DNL-Beats")</f>
        <v>http://soundcloud.com/DNL-Beats</v>
      </c>
      <c r="AR95" s="76" t="s">
        <v>6997</v>
      </c>
      <c r="AS95" s="76"/>
      <c r="AT95" s="76"/>
      <c r="AU95" s="76"/>
      <c r="AV95" s="76"/>
      <c r="AW95" s="82" t="str">
        <f>HYPERLINK("https://t.co/5BAT3LQ4a2")</f>
        <v>https://t.co/5BAT3LQ4a2</v>
      </c>
      <c r="AX95" s="76" t="b">
        <v>0</v>
      </c>
      <c r="AY95" s="76"/>
      <c r="AZ95" s="76"/>
      <c r="BA95" s="76" t="b">
        <v>0</v>
      </c>
      <c r="BB95" s="76" t="b">
        <v>1</v>
      </c>
      <c r="BC95" s="76" t="b">
        <v>0</v>
      </c>
      <c r="BD95" s="76" t="b">
        <v>0</v>
      </c>
      <c r="BE95" s="76" t="b">
        <v>0</v>
      </c>
      <c r="BF95" s="76" t="b">
        <v>0</v>
      </c>
      <c r="BG95" s="76" t="b">
        <v>0</v>
      </c>
      <c r="BH95" s="82" t="str">
        <f>HYPERLINK("https://pbs.twimg.com/profile_banners/172726318/1611889593")</f>
        <v>https://pbs.twimg.com/profile_banners/172726318/1611889593</v>
      </c>
      <c r="BI95" s="76"/>
      <c r="BJ95" s="76" t="s">
        <v>7188</v>
      </c>
      <c r="BK95" s="76" t="b">
        <v>0</v>
      </c>
      <c r="BL95" s="76"/>
      <c r="BM95" s="76" t="s">
        <v>66</v>
      </c>
      <c r="BN95" s="76" t="s">
        <v>7190</v>
      </c>
      <c r="BO95" s="82" t="str">
        <f>HYPERLINK("https://twitter.com/dnl_o")</f>
        <v>https://twitter.com/dnl_o</v>
      </c>
      <c r="BP95" s="46"/>
      <c r="BQ95" s="46"/>
      <c r="BR95" s="46"/>
      <c r="BS95" s="46"/>
      <c r="BT95" s="46"/>
      <c r="BU95" s="46"/>
      <c r="BV95" s="105" t="s">
        <v>7830</v>
      </c>
      <c r="BW95" s="105" t="s">
        <v>7830</v>
      </c>
      <c r="BX95" s="105" t="s">
        <v>8061</v>
      </c>
      <c r="BY95" s="105" t="s">
        <v>8061</v>
      </c>
      <c r="BZ95" s="2"/>
    </row>
    <row r="96" spans="1:78" ht="15">
      <c r="A96" s="62" t="s">
        <v>273</v>
      </c>
      <c r="B96" s="63"/>
      <c r="C96" s="63"/>
      <c r="D96" s="64"/>
      <c r="E96" s="66"/>
      <c r="F96" s="100" t="str">
        <f>HYPERLINK("https://pbs.twimg.com/profile_images/859122178880679936/Pjt1p7l7_normal.jpg")</f>
        <v>https://pbs.twimg.com/profile_images/859122178880679936/Pjt1p7l7_normal.jpg</v>
      </c>
      <c r="G96" s="63"/>
      <c r="H96" s="67"/>
      <c r="I96" s="68"/>
      <c r="J96" s="68"/>
      <c r="K96" s="67" t="s">
        <v>7283</v>
      </c>
      <c r="L96" s="71"/>
      <c r="M96" s="72">
        <v>2828.350341796875</v>
      </c>
      <c r="N96" s="72">
        <v>4024.716796875</v>
      </c>
      <c r="O96" s="73"/>
      <c r="P96" s="74"/>
      <c r="Q96" s="74"/>
      <c r="R96" s="86"/>
      <c r="S96" s="46">
        <v>0</v>
      </c>
      <c r="T96" s="46">
        <v>1</v>
      </c>
      <c r="U96" s="47">
        <v>0</v>
      </c>
      <c r="V96" s="47">
        <v>0.214691</v>
      </c>
      <c r="W96" s="47">
        <v>0.062026</v>
      </c>
      <c r="X96" s="47">
        <v>0.002499</v>
      </c>
      <c r="Y96" s="47">
        <v>0</v>
      </c>
      <c r="Z96" s="47">
        <v>0</v>
      </c>
      <c r="AA96" s="69">
        <v>96</v>
      </c>
      <c r="AB96" s="69"/>
      <c r="AC96" s="70"/>
      <c r="AD96" s="76" t="s">
        <v>5964</v>
      </c>
      <c r="AE96" s="83" t="s">
        <v>5799</v>
      </c>
      <c r="AF96" s="76">
        <v>94</v>
      </c>
      <c r="AG96" s="76">
        <v>378</v>
      </c>
      <c r="AH96" s="76">
        <v>253</v>
      </c>
      <c r="AI96" s="76">
        <v>1</v>
      </c>
      <c r="AJ96" s="76">
        <v>2304</v>
      </c>
      <c r="AK96" s="76">
        <v>12</v>
      </c>
      <c r="AL96" s="76" t="b">
        <v>0</v>
      </c>
      <c r="AM96" s="78">
        <v>42852.580196759256</v>
      </c>
      <c r="AN96" s="76"/>
      <c r="AO96" s="76" t="s">
        <v>6722</v>
      </c>
      <c r="AP96" s="76"/>
      <c r="AQ96" s="76"/>
      <c r="AR96" s="76"/>
      <c r="AS96" s="76"/>
      <c r="AT96" s="76"/>
      <c r="AU96" s="76"/>
      <c r="AV96" s="76"/>
      <c r="AW96" s="76"/>
      <c r="AX96" s="76" t="b">
        <v>0</v>
      </c>
      <c r="AY96" s="76"/>
      <c r="AZ96" s="76"/>
      <c r="BA96" s="76" t="b">
        <v>0</v>
      </c>
      <c r="BB96" s="76" t="b">
        <v>1</v>
      </c>
      <c r="BC96" s="76" t="b">
        <v>1</v>
      </c>
      <c r="BD96" s="76" t="b">
        <v>0</v>
      </c>
      <c r="BE96" s="76" t="b">
        <v>0</v>
      </c>
      <c r="BF96" s="76" t="b">
        <v>0</v>
      </c>
      <c r="BG96" s="76" t="b">
        <v>0</v>
      </c>
      <c r="BH96" s="76"/>
      <c r="BI96" s="76"/>
      <c r="BJ96" s="76" t="s">
        <v>7188</v>
      </c>
      <c r="BK96" s="76" t="b">
        <v>0</v>
      </c>
      <c r="BL96" s="76"/>
      <c r="BM96" s="76" t="s">
        <v>66</v>
      </c>
      <c r="BN96" s="76" t="s">
        <v>7190</v>
      </c>
      <c r="BO96" s="82" t="str">
        <f>HYPERLINK("https://twitter.com/laura_logic")</f>
        <v>https://twitter.com/laura_logic</v>
      </c>
      <c r="BP96" s="46"/>
      <c r="BQ96" s="46"/>
      <c r="BR96" s="46"/>
      <c r="BS96" s="46"/>
      <c r="BT96" s="46"/>
      <c r="BU96" s="46"/>
      <c r="BV96" s="105" t="s">
        <v>7831</v>
      </c>
      <c r="BW96" s="105" t="s">
        <v>7831</v>
      </c>
      <c r="BX96" s="105" t="s">
        <v>8062</v>
      </c>
      <c r="BY96" s="105" t="s">
        <v>8062</v>
      </c>
      <c r="BZ96" s="2"/>
    </row>
    <row r="97" spans="1:78" ht="15">
      <c r="A97" s="62" t="s">
        <v>274</v>
      </c>
      <c r="B97" s="63"/>
      <c r="C97" s="63"/>
      <c r="D97" s="64"/>
      <c r="E97" s="66"/>
      <c r="F97" s="100" t="str">
        <f>HYPERLINK("https://pbs.twimg.com/profile_images/1700969952373522432/scKUh37c_normal.jpg")</f>
        <v>https://pbs.twimg.com/profile_images/1700969952373522432/scKUh37c_normal.jpg</v>
      </c>
      <c r="G97" s="63"/>
      <c r="H97" s="67"/>
      <c r="I97" s="68"/>
      <c r="J97" s="68"/>
      <c r="K97" s="67" t="s">
        <v>7284</v>
      </c>
      <c r="L97" s="71"/>
      <c r="M97" s="72">
        <v>2854.990234375</v>
      </c>
      <c r="N97" s="72">
        <v>3858.2861328125</v>
      </c>
      <c r="O97" s="73"/>
      <c r="P97" s="74"/>
      <c r="Q97" s="74"/>
      <c r="R97" s="86"/>
      <c r="S97" s="46">
        <v>0</v>
      </c>
      <c r="T97" s="46">
        <v>1</v>
      </c>
      <c r="U97" s="47">
        <v>0</v>
      </c>
      <c r="V97" s="47">
        <v>0.00289</v>
      </c>
      <c r="W97" s="47">
        <v>0</v>
      </c>
      <c r="X97" s="47">
        <v>0.002882</v>
      </c>
      <c r="Y97" s="47">
        <v>0</v>
      </c>
      <c r="Z97" s="47">
        <v>0</v>
      </c>
      <c r="AA97" s="69">
        <v>97</v>
      </c>
      <c r="AB97" s="69"/>
      <c r="AC97" s="70"/>
      <c r="AD97" s="76" t="s">
        <v>5965</v>
      </c>
      <c r="AE97" s="83" t="s">
        <v>6270</v>
      </c>
      <c r="AF97" s="76">
        <v>339</v>
      </c>
      <c r="AG97" s="76">
        <v>611</v>
      </c>
      <c r="AH97" s="76">
        <v>10025</v>
      </c>
      <c r="AI97" s="76">
        <v>6</v>
      </c>
      <c r="AJ97" s="76">
        <v>76516</v>
      </c>
      <c r="AK97" s="76">
        <v>141</v>
      </c>
      <c r="AL97" s="76" t="b">
        <v>0</v>
      </c>
      <c r="AM97" s="78">
        <v>41383.801828703705</v>
      </c>
      <c r="AN97" s="76" t="s">
        <v>6513</v>
      </c>
      <c r="AO97" s="76" t="s">
        <v>6723</v>
      </c>
      <c r="AP97" s="76"/>
      <c r="AQ97" s="76"/>
      <c r="AR97" s="76"/>
      <c r="AS97" s="76"/>
      <c r="AT97" s="76"/>
      <c r="AU97" s="76"/>
      <c r="AV97" s="76"/>
      <c r="AW97" s="76"/>
      <c r="AX97" s="76" t="b">
        <v>0</v>
      </c>
      <c r="AY97" s="76"/>
      <c r="AZ97" s="76"/>
      <c r="BA97" s="76" t="b">
        <v>1</v>
      </c>
      <c r="BB97" s="76" t="b">
        <v>1</v>
      </c>
      <c r="BC97" s="76" t="b">
        <v>1</v>
      </c>
      <c r="BD97" s="76" t="b">
        <v>0</v>
      </c>
      <c r="BE97" s="76" t="b">
        <v>1</v>
      </c>
      <c r="BF97" s="76" t="b">
        <v>0</v>
      </c>
      <c r="BG97" s="76" t="b">
        <v>0</v>
      </c>
      <c r="BH97" s="82" t="str">
        <f>HYPERLINK("https://pbs.twimg.com/profile_banners/1365169770/1647985133")</f>
        <v>https://pbs.twimg.com/profile_banners/1365169770/1647985133</v>
      </c>
      <c r="BI97" s="76"/>
      <c r="BJ97" s="76" t="s">
        <v>7188</v>
      </c>
      <c r="BK97" s="76" t="b">
        <v>0</v>
      </c>
      <c r="BL97" s="76"/>
      <c r="BM97" s="76" t="s">
        <v>66</v>
      </c>
      <c r="BN97" s="76" t="s">
        <v>7190</v>
      </c>
      <c r="BO97" s="82" t="str">
        <f>HYPERLINK("https://twitter.com/paul_melman")</f>
        <v>https://twitter.com/paul_melman</v>
      </c>
      <c r="BP97" s="46"/>
      <c r="BQ97" s="46"/>
      <c r="BR97" s="46"/>
      <c r="BS97" s="46"/>
      <c r="BT97" s="46"/>
      <c r="BU97" s="46"/>
      <c r="BV97" s="105" t="s">
        <v>7832</v>
      </c>
      <c r="BW97" s="105" t="s">
        <v>7832</v>
      </c>
      <c r="BX97" s="105" t="s">
        <v>8063</v>
      </c>
      <c r="BY97" s="105" t="s">
        <v>8063</v>
      </c>
      <c r="BZ97" s="2"/>
    </row>
    <row r="98" spans="1:78" ht="15">
      <c r="A98" s="62" t="s">
        <v>461</v>
      </c>
      <c r="B98" s="63"/>
      <c r="C98" s="63"/>
      <c r="D98" s="64"/>
      <c r="E98" s="66"/>
      <c r="F98" s="100" t="str">
        <f>HYPERLINK("https://pbs.twimg.com/profile_images/1728965997342703616/xMI6Np8o_normal.jpg")</f>
        <v>https://pbs.twimg.com/profile_images/1728965997342703616/xMI6Np8o_normal.jpg</v>
      </c>
      <c r="G98" s="63"/>
      <c r="H98" s="67"/>
      <c r="I98" s="68"/>
      <c r="J98" s="68"/>
      <c r="K98" s="67" t="s">
        <v>7285</v>
      </c>
      <c r="L98" s="71"/>
      <c r="M98" s="72">
        <v>2881.630126953125</v>
      </c>
      <c r="N98" s="72">
        <v>3693.33544921875</v>
      </c>
      <c r="O98" s="73"/>
      <c r="P98" s="74"/>
      <c r="Q98" s="74"/>
      <c r="R98" s="86"/>
      <c r="S98" s="46">
        <v>1</v>
      </c>
      <c r="T98" s="46">
        <v>0</v>
      </c>
      <c r="U98" s="47">
        <v>0</v>
      </c>
      <c r="V98" s="47">
        <v>0.00289</v>
      </c>
      <c r="W98" s="47">
        <v>0</v>
      </c>
      <c r="X98" s="47">
        <v>0.002882</v>
      </c>
      <c r="Y98" s="47">
        <v>0</v>
      </c>
      <c r="Z98" s="47">
        <v>0</v>
      </c>
      <c r="AA98" s="69">
        <v>98</v>
      </c>
      <c r="AB98" s="69"/>
      <c r="AC98" s="70"/>
      <c r="AD98" s="76" t="s">
        <v>5966</v>
      </c>
      <c r="AE98" s="83" t="s">
        <v>5730</v>
      </c>
      <c r="AF98" s="76">
        <v>847</v>
      </c>
      <c r="AG98" s="76">
        <v>278</v>
      </c>
      <c r="AH98" s="76">
        <v>94185</v>
      </c>
      <c r="AI98" s="76">
        <v>26</v>
      </c>
      <c r="AJ98" s="76">
        <v>31041</v>
      </c>
      <c r="AK98" s="76">
        <v>3276</v>
      </c>
      <c r="AL98" s="76" t="b">
        <v>0</v>
      </c>
      <c r="AM98" s="78">
        <v>40918.12403935185</v>
      </c>
      <c r="AN98" s="76"/>
      <c r="AO98" s="76"/>
      <c r="AP98" s="76"/>
      <c r="AQ98" s="76"/>
      <c r="AR98" s="76"/>
      <c r="AS98" s="76"/>
      <c r="AT98" s="76"/>
      <c r="AU98" s="76"/>
      <c r="AV98" s="76">
        <v>1.32816946090628E+18</v>
      </c>
      <c r="AW98" s="76"/>
      <c r="AX98" s="76" t="b">
        <v>0</v>
      </c>
      <c r="AY98" s="76"/>
      <c r="AZ98" s="76"/>
      <c r="BA98" s="76" t="b">
        <v>0</v>
      </c>
      <c r="BB98" s="76" t="b">
        <v>0</v>
      </c>
      <c r="BC98" s="76" t="b">
        <v>0</v>
      </c>
      <c r="BD98" s="76" t="b">
        <v>0</v>
      </c>
      <c r="BE98" s="76" t="b">
        <v>1</v>
      </c>
      <c r="BF98" s="76" t="b">
        <v>0</v>
      </c>
      <c r="BG98" s="76" t="b">
        <v>0</v>
      </c>
      <c r="BH98" s="82" t="str">
        <f>HYPERLINK("https://pbs.twimg.com/profile_banners/459823820/1697719258")</f>
        <v>https://pbs.twimg.com/profile_banners/459823820/1697719258</v>
      </c>
      <c r="BI98" s="76"/>
      <c r="BJ98" s="76" t="s">
        <v>7188</v>
      </c>
      <c r="BK98" s="76" t="b">
        <v>0</v>
      </c>
      <c r="BL98" s="76"/>
      <c r="BM98" s="76" t="s">
        <v>65</v>
      </c>
      <c r="BN98" s="76" t="s">
        <v>7190</v>
      </c>
      <c r="BO98" s="82" t="str">
        <f>HYPERLINK("https://twitter.com/shes_the_mann1")</f>
        <v>https://twitter.com/shes_the_mann1</v>
      </c>
      <c r="BP98" s="46"/>
      <c r="BQ98" s="46"/>
      <c r="BR98" s="46"/>
      <c r="BS98" s="46"/>
      <c r="BT98" s="46"/>
      <c r="BU98" s="46"/>
      <c r="BV98" s="46"/>
      <c r="BW98" s="46"/>
      <c r="BX98" s="46"/>
      <c r="BY98" s="46"/>
      <c r="BZ98" s="2"/>
    </row>
    <row r="99" spans="1:78" ht="15">
      <c r="A99" s="62" t="s">
        <v>275</v>
      </c>
      <c r="B99" s="63"/>
      <c r="C99" s="63"/>
      <c r="D99" s="64"/>
      <c r="E99" s="66"/>
      <c r="F99" s="100" t="str">
        <f>HYPERLINK("https://pbs.twimg.com/profile_images/958871896526852096/AV6nbkqr_normal.jpg")</f>
        <v>https://pbs.twimg.com/profile_images/958871896526852096/AV6nbkqr_normal.jpg</v>
      </c>
      <c r="G99" s="63"/>
      <c r="H99" s="67"/>
      <c r="I99" s="68"/>
      <c r="J99" s="68"/>
      <c r="K99" s="67" t="s">
        <v>7286</v>
      </c>
      <c r="L99" s="71"/>
      <c r="M99" s="72">
        <v>2908.27001953125</v>
      </c>
      <c r="N99" s="72">
        <v>3530.07763671875</v>
      </c>
      <c r="O99" s="73"/>
      <c r="P99" s="74"/>
      <c r="Q99" s="74"/>
      <c r="R99" s="86"/>
      <c r="S99" s="46">
        <v>0</v>
      </c>
      <c r="T99" s="46">
        <v>1</v>
      </c>
      <c r="U99" s="47">
        <v>0</v>
      </c>
      <c r="V99" s="47">
        <v>0.003854</v>
      </c>
      <c r="W99" s="47">
        <v>0</v>
      </c>
      <c r="X99" s="47">
        <v>0.002694</v>
      </c>
      <c r="Y99" s="47">
        <v>0</v>
      </c>
      <c r="Z99" s="47">
        <v>0</v>
      </c>
      <c r="AA99" s="69">
        <v>99</v>
      </c>
      <c r="AB99" s="69"/>
      <c r="AC99" s="70"/>
      <c r="AD99" s="76" t="s">
        <v>5967</v>
      </c>
      <c r="AE99" s="83" t="s">
        <v>6271</v>
      </c>
      <c r="AF99" s="76">
        <v>171</v>
      </c>
      <c r="AG99" s="76">
        <v>209</v>
      </c>
      <c r="AH99" s="76">
        <v>11409</v>
      </c>
      <c r="AI99" s="76">
        <v>7</v>
      </c>
      <c r="AJ99" s="76">
        <v>55952</v>
      </c>
      <c r="AK99" s="76">
        <v>499</v>
      </c>
      <c r="AL99" s="76" t="b">
        <v>0</v>
      </c>
      <c r="AM99" s="78">
        <v>42353.175717592596</v>
      </c>
      <c r="AN99" s="76" t="s">
        <v>6514</v>
      </c>
      <c r="AO99" s="76" t="s">
        <v>6724</v>
      </c>
      <c r="AP99" s="76"/>
      <c r="AQ99" s="76"/>
      <c r="AR99" s="76"/>
      <c r="AS99" s="82" t="str">
        <f>HYPERLINK("https://t.co/0kXJlTGzIe")</f>
        <v>https://t.co/0kXJlTGzIe</v>
      </c>
      <c r="AT99" s="82" t="str">
        <f>HYPERLINK("http://AlecChournos.redbubble.com")</f>
        <v>http://AlecChournos.redbubble.com</v>
      </c>
      <c r="AU99" s="76" t="s">
        <v>7167</v>
      </c>
      <c r="AV99" s="76">
        <v>9.80508830210473E+17</v>
      </c>
      <c r="AW99" s="76"/>
      <c r="AX99" s="76" t="b">
        <v>0</v>
      </c>
      <c r="AY99" s="76"/>
      <c r="AZ99" s="76"/>
      <c r="BA99" s="76" t="b">
        <v>0</v>
      </c>
      <c r="BB99" s="76" t="b">
        <v>1</v>
      </c>
      <c r="BC99" s="76" t="b">
        <v>1</v>
      </c>
      <c r="BD99" s="76" t="b">
        <v>0</v>
      </c>
      <c r="BE99" s="76" t="b">
        <v>1</v>
      </c>
      <c r="BF99" s="76" t="b">
        <v>0</v>
      </c>
      <c r="BG99" s="76" t="b">
        <v>0</v>
      </c>
      <c r="BH99" s="82" t="str">
        <f>HYPERLINK("https://pbs.twimg.com/profile_banners/4562481318/1450318943")</f>
        <v>https://pbs.twimg.com/profile_banners/4562481318/1450318943</v>
      </c>
      <c r="BI99" s="76"/>
      <c r="BJ99" s="76" t="s">
        <v>7188</v>
      </c>
      <c r="BK99" s="76" t="b">
        <v>0</v>
      </c>
      <c r="BL99" s="76"/>
      <c r="BM99" s="76" t="s">
        <v>66</v>
      </c>
      <c r="BN99" s="76" t="s">
        <v>7190</v>
      </c>
      <c r="BO99" s="82" t="str">
        <f>HYPERLINK("https://twitter.com/aquaalec")</f>
        <v>https://twitter.com/aquaalec</v>
      </c>
      <c r="BP99" s="46"/>
      <c r="BQ99" s="46"/>
      <c r="BR99" s="46"/>
      <c r="BS99" s="46"/>
      <c r="BT99" s="46"/>
      <c r="BU99" s="46"/>
      <c r="BV99" s="105" t="s">
        <v>7833</v>
      </c>
      <c r="BW99" s="105" t="s">
        <v>7833</v>
      </c>
      <c r="BX99" s="105" t="s">
        <v>8064</v>
      </c>
      <c r="BY99" s="105" t="s">
        <v>8064</v>
      </c>
      <c r="BZ99" s="2"/>
    </row>
    <row r="100" spans="1:78" ht="15">
      <c r="A100" s="62" t="s">
        <v>302</v>
      </c>
      <c r="B100" s="63"/>
      <c r="C100" s="63"/>
      <c r="D100" s="64"/>
      <c r="E100" s="66"/>
      <c r="F100" s="100" t="str">
        <f>HYPERLINK("https://pbs.twimg.com/profile_images/1685857224734965761/8qyN6Y-w_normal.jpg")</f>
        <v>https://pbs.twimg.com/profile_images/1685857224734965761/8qyN6Y-w_normal.jpg</v>
      </c>
      <c r="G100" s="63"/>
      <c r="H100" s="67"/>
      <c r="I100" s="68"/>
      <c r="J100" s="68"/>
      <c r="K100" s="67" t="s">
        <v>7287</v>
      </c>
      <c r="L100" s="71"/>
      <c r="M100" s="72">
        <v>2934.909912109375</v>
      </c>
      <c r="N100" s="72">
        <v>3368.72509765625</v>
      </c>
      <c r="O100" s="73"/>
      <c r="P100" s="74"/>
      <c r="Q100" s="74"/>
      <c r="R100" s="86"/>
      <c r="S100" s="46">
        <v>1</v>
      </c>
      <c r="T100" s="46">
        <v>1</v>
      </c>
      <c r="U100" s="47">
        <v>2</v>
      </c>
      <c r="V100" s="47">
        <v>0.00578</v>
      </c>
      <c r="W100" s="47">
        <v>0</v>
      </c>
      <c r="X100" s="47">
        <v>0.003258</v>
      </c>
      <c r="Y100" s="47">
        <v>0</v>
      </c>
      <c r="Z100" s="47">
        <v>0</v>
      </c>
      <c r="AA100" s="69">
        <v>100</v>
      </c>
      <c r="AB100" s="69"/>
      <c r="AC100" s="70"/>
      <c r="AD100" s="76" t="s">
        <v>5968</v>
      </c>
      <c r="AE100" s="83" t="s">
        <v>6272</v>
      </c>
      <c r="AF100" s="76">
        <v>140</v>
      </c>
      <c r="AG100" s="76">
        <v>218</v>
      </c>
      <c r="AH100" s="76">
        <v>7201</v>
      </c>
      <c r="AI100" s="76">
        <v>3</v>
      </c>
      <c r="AJ100" s="76">
        <v>6159</v>
      </c>
      <c r="AK100" s="76">
        <v>344</v>
      </c>
      <c r="AL100" s="76" t="b">
        <v>0</v>
      </c>
      <c r="AM100" s="78">
        <v>40188.04072916666</v>
      </c>
      <c r="AN100" s="76" t="s">
        <v>6515</v>
      </c>
      <c r="AO100" s="76" t="s">
        <v>6725</v>
      </c>
      <c r="AP100" s="82" t="str">
        <f>HYPERLINK("https://t.co/6eySYKU7Za")</f>
        <v>https://t.co/6eySYKU7Za</v>
      </c>
      <c r="AQ100" s="82" t="str">
        <f>HYPERLINK("https://www.youtube.com/@internetj3r")</f>
        <v>https://www.youtube.com/@internetj3r</v>
      </c>
      <c r="AR100" s="76" t="s">
        <v>6998</v>
      </c>
      <c r="AS100" s="76"/>
      <c r="AT100" s="76"/>
      <c r="AU100" s="76"/>
      <c r="AV100" s="76"/>
      <c r="AW100" s="82" t="str">
        <f>HYPERLINK("https://t.co/6eySYKU7Za")</f>
        <v>https://t.co/6eySYKU7Za</v>
      </c>
      <c r="AX100" s="76" t="b">
        <v>0</v>
      </c>
      <c r="AY100" s="76"/>
      <c r="AZ100" s="76"/>
      <c r="BA100" s="76" t="b">
        <v>0</v>
      </c>
      <c r="BB100" s="76" t="b">
        <v>0</v>
      </c>
      <c r="BC100" s="76" t="b">
        <v>0</v>
      </c>
      <c r="BD100" s="76" t="b">
        <v>0</v>
      </c>
      <c r="BE100" s="76" t="b">
        <v>1</v>
      </c>
      <c r="BF100" s="76" t="b">
        <v>0</v>
      </c>
      <c r="BG100" s="76" t="b">
        <v>0</v>
      </c>
      <c r="BH100" s="82" t="str">
        <f>HYPERLINK("https://pbs.twimg.com/profile_banners/103435881/1670536722")</f>
        <v>https://pbs.twimg.com/profile_banners/103435881/1670536722</v>
      </c>
      <c r="BI100" s="76"/>
      <c r="BJ100" s="76" t="s">
        <v>7188</v>
      </c>
      <c r="BK100" s="76" t="b">
        <v>0</v>
      </c>
      <c r="BL100" s="76"/>
      <c r="BM100" s="76" t="s">
        <v>66</v>
      </c>
      <c r="BN100" s="76" t="s">
        <v>7190</v>
      </c>
      <c r="BO100" s="82" t="str">
        <f>HYPERLINK("https://twitter.com/internetjer")</f>
        <v>https://twitter.com/internetjer</v>
      </c>
      <c r="BP100" s="46"/>
      <c r="BQ100" s="46"/>
      <c r="BR100" s="46"/>
      <c r="BS100" s="46"/>
      <c r="BT100" s="46"/>
      <c r="BU100" s="46"/>
      <c r="BV100" s="105" t="s">
        <v>7834</v>
      </c>
      <c r="BW100" s="105" t="s">
        <v>7834</v>
      </c>
      <c r="BX100" s="105" t="s">
        <v>8065</v>
      </c>
      <c r="BY100" s="105" t="s">
        <v>8065</v>
      </c>
      <c r="BZ100" s="2"/>
    </row>
    <row r="101" spans="1:78" ht="15">
      <c r="A101" s="62" t="s">
        <v>276</v>
      </c>
      <c r="B101" s="63"/>
      <c r="C101" s="63"/>
      <c r="D101" s="64"/>
      <c r="E101" s="66"/>
      <c r="F101" s="100" t="str">
        <f>HYPERLINK("https://pbs.twimg.com/profile_images/1354401144756346881/r316pCJy_normal.jpg")</f>
        <v>https://pbs.twimg.com/profile_images/1354401144756346881/r316pCJy_normal.jpg</v>
      </c>
      <c r="G101" s="63"/>
      <c r="H101" s="67"/>
      <c r="I101" s="68"/>
      <c r="J101" s="68"/>
      <c r="K101" s="67" t="s">
        <v>7288</v>
      </c>
      <c r="L101" s="71"/>
      <c r="M101" s="72">
        <v>2961.5498046875</v>
      </c>
      <c r="N101" s="72">
        <v>3209.486328125</v>
      </c>
      <c r="O101" s="73"/>
      <c r="P101" s="74"/>
      <c r="Q101" s="74"/>
      <c r="R101" s="86"/>
      <c r="S101" s="46">
        <v>1</v>
      </c>
      <c r="T101" s="46">
        <v>1</v>
      </c>
      <c r="U101" s="47">
        <v>0</v>
      </c>
      <c r="V101" s="47">
        <v>0</v>
      </c>
      <c r="W101" s="47">
        <v>0</v>
      </c>
      <c r="X101" s="47">
        <v>0.002882</v>
      </c>
      <c r="Y101" s="47">
        <v>0</v>
      </c>
      <c r="Z101" s="47">
        <v>0</v>
      </c>
      <c r="AA101" s="69">
        <v>101</v>
      </c>
      <c r="AB101" s="69"/>
      <c r="AC101" s="70"/>
      <c r="AD101" s="76" t="s">
        <v>5969</v>
      </c>
      <c r="AE101" s="83" t="s">
        <v>6273</v>
      </c>
      <c r="AF101" s="76">
        <v>1478</v>
      </c>
      <c r="AG101" s="76">
        <v>705</v>
      </c>
      <c r="AH101" s="76">
        <v>146564</v>
      </c>
      <c r="AI101" s="76">
        <v>126</v>
      </c>
      <c r="AJ101" s="76">
        <v>18</v>
      </c>
      <c r="AK101" s="76">
        <v>7600</v>
      </c>
      <c r="AL101" s="76" t="b">
        <v>0</v>
      </c>
      <c r="AM101" s="78">
        <v>40208.6247337963</v>
      </c>
      <c r="AN101" s="76"/>
      <c r="AO101" s="76" t="s">
        <v>6726</v>
      </c>
      <c r="AP101" s="82" t="str">
        <f>HYPERLINK("https://t.co/eaCk8bLa6q")</f>
        <v>https://t.co/eaCk8bLa6q</v>
      </c>
      <c r="AQ101" s="82" t="str">
        <f>HYPERLINK("https://writeupcafe.com/")</f>
        <v>https://writeupcafe.com/</v>
      </c>
      <c r="AR101" s="76" t="s">
        <v>1991</v>
      </c>
      <c r="AS101" s="76"/>
      <c r="AT101" s="76"/>
      <c r="AU101" s="76"/>
      <c r="AV101" s="76">
        <v>1.35912383974614E+18</v>
      </c>
      <c r="AW101" s="82" t="str">
        <f>HYPERLINK("https://t.co/eaCk8bLa6q")</f>
        <v>https://t.co/eaCk8bLa6q</v>
      </c>
      <c r="AX101" s="76" t="b">
        <v>0</v>
      </c>
      <c r="AY101" s="76"/>
      <c r="AZ101" s="76"/>
      <c r="BA101" s="76" t="b">
        <v>0</v>
      </c>
      <c r="BB101" s="76" t="b">
        <v>1</v>
      </c>
      <c r="BC101" s="76" t="b">
        <v>0</v>
      </c>
      <c r="BD101" s="76" t="b">
        <v>0</v>
      </c>
      <c r="BE101" s="76" t="b">
        <v>0</v>
      </c>
      <c r="BF101" s="76" t="b">
        <v>0</v>
      </c>
      <c r="BG101" s="76" t="b">
        <v>0</v>
      </c>
      <c r="BH101" s="82" t="str">
        <f>HYPERLINK("https://pbs.twimg.com/profile_banners/109868594/1612261158")</f>
        <v>https://pbs.twimg.com/profile_banners/109868594/1612261158</v>
      </c>
      <c r="BI101" s="76"/>
      <c r="BJ101" s="76" t="s">
        <v>7188</v>
      </c>
      <c r="BK101" s="76" t="b">
        <v>0</v>
      </c>
      <c r="BL101" s="76"/>
      <c r="BM101" s="76" t="s">
        <v>66</v>
      </c>
      <c r="BN101" s="76" t="s">
        <v>7190</v>
      </c>
      <c r="BO101" s="82" t="str">
        <f>HYPERLINK("https://twitter.com/writeupcafe")</f>
        <v>https://twitter.com/writeupcafe</v>
      </c>
      <c r="BP101" s="46" t="s">
        <v>7621</v>
      </c>
      <c r="BQ101" s="46" t="s">
        <v>7694</v>
      </c>
      <c r="BR101" s="46" t="s">
        <v>1991</v>
      </c>
      <c r="BS101" s="46" t="s">
        <v>1991</v>
      </c>
      <c r="BT101" s="46"/>
      <c r="BU101" s="46"/>
      <c r="BV101" s="105" t="s">
        <v>7835</v>
      </c>
      <c r="BW101" s="105" t="s">
        <v>7984</v>
      </c>
      <c r="BX101" s="105" t="s">
        <v>8066</v>
      </c>
      <c r="BY101" s="105" t="s">
        <v>8066</v>
      </c>
      <c r="BZ101" s="2"/>
    </row>
    <row r="102" spans="1:78" ht="15">
      <c r="A102" s="62" t="s">
        <v>277</v>
      </c>
      <c r="B102" s="63"/>
      <c r="C102" s="63"/>
      <c r="D102" s="64"/>
      <c r="E102" s="66"/>
      <c r="F102" s="100" t="str">
        <f>HYPERLINK("https://abs.twimg.com/sticky/default_profile_images/default_profile_normal.png")</f>
        <v>https://abs.twimg.com/sticky/default_profile_images/default_profile_normal.png</v>
      </c>
      <c r="G102" s="63"/>
      <c r="H102" s="67"/>
      <c r="I102" s="68"/>
      <c r="J102" s="68"/>
      <c r="K102" s="67" t="s">
        <v>7289</v>
      </c>
      <c r="L102" s="71"/>
      <c r="M102" s="72">
        <v>2988.189697265625</v>
      </c>
      <c r="N102" s="72">
        <v>3052.56787109375</v>
      </c>
      <c r="O102" s="73"/>
      <c r="P102" s="74"/>
      <c r="Q102" s="74"/>
      <c r="R102" s="86"/>
      <c r="S102" s="46">
        <v>1</v>
      </c>
      <c r="T102" s="46">
        <v>1</v>
      </c>
      <c r="U102" s="47">
        <v>0</v>
      </c>
      <c r="V102" s="47">
        <v>0</v>
      </c>
      <c r="W102" s="47">
        <v>0</v>
      </c>
      <c r="X102" s="47">
        <v>0.002882</v>
      </c>
      <c r="Y102" s="47">
        <v>0</v>
      </c>
      <c r="Z102" s="47">
        <v>0</v>
      </c>
      <c r="AA102" s="69">
        <v>102</v>
      </c>
      <c r="AB102" s="69"/>
      <c r="AC102" s="70"/>
      <c r="AD102" s="76" t="s">
        <v>277</v>
      </c>
      <c r="AE102" s="83" t="s">
        <v>5800</v>
      </c>
      <c r="AF102" s="76">
        <v>1</v>
      </c>
      <c r="AG102" s="76">
        <v>0</v>
      </c>
      <c r="AH102" s="76">
        <v>5</v>
      </c>
      <c r="AI102" s="76">
        <v>0</v>
      </c>
      <c r="AJ102" s="76">
        <v>0</v>
      </c>
      <c r="AK102" s="76">
        <v>3</v>
      </c>
      <c r="AL102" s="76" t="b">
        <v>0</v>
      </c>
      <c r="AM102" s="78">
        <v>43799.45553240741</v>
      </c>
      <c r="AN102" s="76"/>
      <c r="AO102" s="76" t="s">
        <v>6727</v>
      </c>
      <c r="AP102" s="76"/>
      <c r="AQ102" s="76"/>
      <c r="AR102" s="76"/>
      <c r="AS102" s="76"/>
      <c r="AT102" s="76"/>
      <c r="AU102" s="76"/>
      <c r="AV102" s="76"/>
      <c r="AW102" s="76"/>
      <c r="AX102" s="76" t="b">
        <v>0</v>
      </c>
      <c r="AY102" s="76"/>
      <c r="AZ102" s="76"/>
      <c r="BA102" s="76" t="b">
        <v>0</v>
      </c>
      <c r="BB102" s="76" t="b">
        <v>1</v>
      </c>
      <c r="BC102" s="76" t="b">
        <v>1</v>
      </c>
      <c r="BD102" s="76" t="b">
        <v>1</v>
      </c>
      <c r="BE102" s="76" t="b">
        <v>0</v>
      </c>
      <c r="BF102" s="76" t="b">
        <v>0</v>
      </c>
      <c r="BG102" s="76" t="b">
        <v>0</v>
      </c>
      <c r="BH102" s="76"/>
      <c r="BI102" s="76"/>
      <c r="BJ102" s="76" t="s">
        <v>7188</v>
      </c>
      <c r="BK102" s="76" t="b">
        <v>0</v>
      </c>
      <c r="BL102" s="76"/>
      <c r="BM102" s="76" t="s">
        <v>66</v>
      </c>
      <c r="BN102" s="76" t="s">
        <v>7190</v>
      </c>
      <c r="BO102" s="82" t="str">
        <f>HYPERLINK("https://twitter.com/nishaadweta")</f>
        <v>https://twitter.com/nishaadweta</v>
      </c>
      <c r="BP102" s="46" t="s">
        <v>7550</v>
      </c>
      <c r="BQ102" s="46" t="s">
        <v>7550</v>
      </c>
      <c r="BR102" s="46" t="s">
        <v>1982</v>
      </c>
      <c r="BS102" s="46" t="s">
        <v>1982</v>
      </c>
      <c r="BT102" s="46" t="s">
        <v>1728</v>
      </c>
      <c r="BU102" s="46" t="s">
        <v>1728</v>
      </c>
      <c r="BV102" s="105" t="s">
        <v>7836</v>
      </c>
      <c r="BW102" s="105" t="s">
        <v>7836</v>
      </c>
      <c r="BX102" s="105" t="s">
        <v>8067</v>
      </c>
      <c r="BY102" s="105" t="s">
        <v>8067</v>
      </c>
      <c r="BZ102" s="2"/>
    </row>
    <row r="103" spans="1:78" ht="15">
      <c r="A103" s="62" t="s">
        <v>278</v>
      </c>
      <c r="B103" s="63"/>
      <c r="C103" s="63"/>
      <c r="D103" s="64"/>
      <c r="E103" s="66"/>
      <c r="F103" s="100" t="str">
        <f>HYPERLINK("https://pbs.twimg.com/profile_images/1604870577293910016/OEp2-UO0_normal.jpg")</f>
        <v>https://pbs.twimg.com/profile_images/1604870577293910016/OEp2-UO0_normal.jpg</v>
      </c>
      <c r="G103" s="63"/>
      <c r="H103" s="67"/>
      <c r="I103" s="68"/>
      <c r="J103" s="68"/>
      <c r="K103" s="67" t="s">
        <v>7290</v>
      </c>
      <c r="L103" s="71"/>
      <c r="M103" s="72">
        <v>3014.82958984375</v>
      </c>
      <c r="N103" s="72">
        <v>2898.173583984375</v>
      </c>
      <c r="O103" s="73"/>
      <c r="P103" s="74"/>
      <c r="Q103" s="74"/>
      <c r="R103" s="86"/>
      <c r="S103" s="46">
        <v>1</v>
      </c>
      <c r="T103" s="46">
        <v>1</v>
      </c>
      <c r="U103" s="47">
        <v>0</v>
      </c>
      <c r="V103" s="47">
        <v>0</v>
      </c>
      <c r="W103" s="47">
        <v>0</v>
      </c>
      <c r="X103" s="47">
        <v>0.002882</v>
      </c>
      <c r="Y103" s="47">
        <v>0</v>
      </c>
      <c r="Z103" s="47">
        <v>0</v>
      </c>
      <c r="AA103" s="69">
        <v>103</v>
      </c>
      <c r="AB103" s="69"/>
      <c r="AC103" s="70"/>
      <c r="AD103" s="76" t="s">
        <v>5970</v>
      </c>
      <c r="AE103" s="83" t="s">
        <v>6274</v>
      </c>
      <c r="AF103" s="76">
        <v>239</v>
      </c>
      <c r="AG103" s="76">
        <v>969</v>
      </c>
      <c r="AH103" s="76">
        <v>7782</v>
      </c>
      <c r="AI103" s="76">
        <v>7</v>
      </c>
      <c r="AJ103" s="76">
        <v>142</v>
      </c>
      <c r="AK103" s="76">
        <v>129</v>
      </c>
      <c r="AL103" s="76" t="b">
        <v>0</v>
      </c>
      <c r="AM103" s="78">
        <v>40052.25219907407</v>
      </c>
      <c r="AN103" s="76" t="s">
        <v>6516</v>
      </c>
      <c r="AO103" s="76" t="s">
        <v>6728</v>
      </c>
      <c r="AP103" s="82" t="str">
        <f>HYPERLINK("https://t.co/ix3fdjc3te")</f>
        <v>https://t.co/ix3fdjc3te</v>
      </c>
      <c r="AQ103" s="82" t="str">
        <f>HYPERLINK("https://www.tamhaneclinic.com/")</f>
        <v>https://www.tamhaneclinic.com/</v>
      </c>
      <c r="AR103" s="76" t="s">
        <v>6999</v>
      </c>
      <c r="AS103" s="76"/>
      <c r="AT103" s="76"/>
      <c r="AU103" s="76"/>
      <c r="AV103" s="76"/>
      <c r="AW103" s="82" t="str">
        <f>HYPERLINK("https://t.co/ix3fdjc3te")</f>
        <v>https://t.co/ix3fdjc3te</v>
      </c>
      <c r="AX103" s="76" t="b">
        <v>0</v>
      </c>
      <c r="AY103" s="76"/>
      <c r="AZ103" s="76"/>
      <c r="BA103" s="76" t="b">
        <v>0</v>
      </c>
      <c r="BB103" s="76" t="b">
        <v>1</v>
      </c>
      <c r="BC103" s="76" t="b">
        <v>0</v>
      </c>
      <c r="BD103" s="76" t="b">
        <v>0</v>
      </c>
      <c r="BE103" s="76" t="b">
        <v>0</v>
      </c>
      <c r="BF103" s="76" t="b">
        <v>0</v>
      </c>
      <c r="BG103" s="76" t="b">
        <v>0</v>
      </c>
      <c r="BH103" s="82" t="str">
        <f>HYPERLINK("https://pbs.twimg.com/profile_banners/69217051/1613308169")</f>
        <v>https://pbs.twimg.com/profile_banners/69217051/1613308169</v>
      </c>
      <c r="BI103" s="76"/>
      <c r="BJ103" s="76" t="s">
        <v>7188</v>
      </c>
      <c r="BK103" s="76" t="b">
        <v>0</v>
      </c>
      <c r="BL103" s="76"/>
      <c r="BM103" s="76" t="s">
        <v>66</v>
      </c>
      <c r="BN103" s="76" t="s">
        <v>7190</v>
      </c>
      <c r="BO103" s="82" t="str">
        <f>HYPERLINK("https://twitter.com/tamhaneclinic")</f>
        <v>https://twitter.com/tamhaneclinic</v>
      </c>
      <c r="BP103" s="46" t="s">
        <v>7622</v>
      </c>
      <c r="BQ103" s="46" t="s">
        <v>7622</v>
      </c>
      <c r="BR103" s="46" t="s">
        <v>1992</v>
      </c>
      <c r="BS103" s="46" t="s">
        <v>1992</v>
      </c>
      <c r="BT103" s="46"/>
      <c r="BU103" s="46"/>
      <c r="BV103" s="105" t="s">
        <v>7837</v>
      </c>
      <c r="BW103" s="105" t="s">
        <v>7985</v>
      </c>
      <c r="BX103" s="105" t="s">
        <v>8068</v>
      </c>
      <c r="BY103" s="105" t="s">
        <v>8211</v>
      </c>
      <c r="BZ103" s="2"/>
    </row>
    <row r="104" spans="1:78" ht="15">
      <c r="A104" s="62" t="s">
        <v>279</v>
      </c>
      <c r="B104" s="63"/>
      <c r="C104" s="63"/>
      <c r="D104" s="64"/>
      <c r="E104" s="66"/>
      <c r="F104" s="100" t="str">
        <f>HYPERLINK("https://pbs.twimg.com/profile_images/1284171186533007361/WKaMzZml_normal.jpg")</f>
        <v>https://pbs.twimg.com/profile_images/1284171186533007361/WKaMzZml_normal.jpg</v>
      </c>
      <c r="G104" s="63"/>
      <c r="H104" s="67"/>
      <c r="I104" s="68"/>
      <c r="J104" s="68"/>
      <c r="K104" s="67" t="s">
        <v>7291</v>
      </c>
      <c r="L104" s="71"/>
      <c r="M104" s="72">
        <v>3041.469482421875</v>
      </c>
      <c r="N104" s="72">
        <v>2746.503173828125</v>
      </c>
      <c r="O104" s="73"/>
      <c r="P104" s="74"/>
      <c r="Q104" s="74"/>
      <c r="R104" s="86"/>
      <c r="S104" s="46">
        <v>0</v>
      </c>
      <c r="T104" s="46">
        <v>1</v>
      </c>
      <c r="U104" s="47">
        <v>0</v>
      </c>
      <c r="V104" s="47">
        <v>0.214691</v>
      </c>
      <c r="W104" s="47">
        <v>0.062026</v>
      </c>
      <c r="X104" s="47">
        <v>0.002499</v>
      </c>
      <c r="Y104" s="47">
        <v>0</v>
      </c>
      <c r="Z104" s="47">
        <v>0</v>
      </c>
      <c r="AA104" s="69">
        <v>104</v>
      </c>
      <c r="AB104" s="69"/>
      <c r="AC104" s="70"/>
      <c r="AD104" s="76" t="s">
        <v>5971</v>
      </c>
      <c r="AE104" s="83" t="s">
        <v>6275</v>
      </c>
      <c r="AF104" s="76">
        <v>2356</v>
      </c>
      <c r="AG104" s="76">
        <v>1619</v>
      </c>
      <c r="AH104" s="76">
        <v>20181</v>
      </c>
      <c r="AI104" s="76">
        <v>308</v>
      </c>
      <c r="AJ104" s="76">
        <v>6979</v>
      </c>
      <c r="AK104" s="76">
        <v>6339</v>
      </c>
      <c r="AL104" s="76" t="b">
        <v>0</v>
      </c>
      <c r="AM104" s="78">
        <v>41973.95099537037</v>
      </c>
      <c r="AN104" s="76" t="s">
        <v>6517</v>
      </c>
      <c r="AO104" s="76" t="s">
        <v>6729</v>
      </c>
      <c r="AP104" s="82" t="str">
        <f>HYPERLINK("https://t.co/LjVmemUCWu")</f>
        <v>https://t.co/LjVmemUCWu</v>
      </c>
      <c r="AQ104" s="82" t="str">
        <f>HYPERLINK("http://kalungigroup.com")</f>
        <v>http://kalungigroup.com</v>
      </c>
      <c r="AR104" s="76" t="s">
        <v>7000</v>
      </c>
      <c r="AS104" s="82" t="str">
        <f>HYPERLINK("https://t.co/yqMIkdDIXA")</f>
        <v>https://t.co/yqMIkdDIXA</v>
      </c>
      <c r="AT104" s="82" t="str">
        <f>HYPERLINK("http://Kalungigroup.com/services")</f>
        <v>http://Kalungigroup.com/services</v>
      </c>
      <c r="AU104" s="76" t="s">
        <v>7168</v>
      </c>
      <c r="AV104" s="76">
        <v>1.49363897760111E+18</v>
      </c>
      <c r="AW104" s="82" t="str">
        <f>HYPERLINK("https://t.co/LjVmemUCWu")</f>
        <v>https://t.co/LjVmemUCWu</v>
      </c>
      <c r="AX104" s="76" t="b">
        <v>0</v>
      </c>
      <c r="AY104" s="76"/>
      <c r="AZ104" s="76"/>
      <c r="BA104" s="76" t="b">
        <v>1</v>
      </c>
      <c r="BB104" s="76" t="b">
        <v>1</v>
      </c>
      <c r="BC104" s="76" t="b">
        <v>0</v>
      </c>
      <c r="BD104" s="76" t="b">
        <v>0</v>
      </c>
      <c r="BE104" s="76" t="b">
        <v>0</v>
      </c>
      <c r="BF104" s="76" t="b">
        <v>0</v>
      </c>
      <c r="BG104" s="76" t="b">
        <v>0</v>
      </c>
      <c r="BH104" s="82" t="str">
        <f>HYPERLINK("https://pbs.twimg.com/profile_banners/2899903684/1644946193")</f>
        <v>https://pbs.twimg.com/profile_banners/2899903684/1644946193</v>
      </c>
      <c r="BI104" s="76"/>
      <c r="BJ104" s="76" t="s">
        <v>7188</v>
      </c>
      <c r="BK104" s="76" t="b">
        <v>0</v>
      </c>
      <c r="BL104" s="76"/>
      <c r="BM104" s="76" t="s">
        <v>66</v>
      </c>
      <c r="BN104" s="76" t="s">
        <v>7190</v>
      </c>
      <c r="BO104" s="82" t="str">
        <f>HYPERLINK("https://twitter.com/kalungigroup")</f>
        <v>https://twitter.com/kalungigroup</v>
      </c>
      <c r="BP104" s="46" t="s">
        <v>1958</v>
      </c>
      <c r="BQ104" s="46" t="s">
        <v>1958</v>
      </c>
      <c r="BR104" s="46" t="s">
        <v>1993</v>
      </c>
      <c r="BS104" s="46" t="s">
        <v>7721</v>
      </c>
      <c r="BT104" s="46"/>
      <c r="BU104" s="46"/>
      <c r="BV104" s="105" t="s">
        <v>7838</v>
      </c>
      <c r="BW104" s="105" t="s">
        <v>7838</v>
      </c>
      <c r="BX104" s="105" t="s">
        <v>8069</v>
      </c>
      <c r="BY104" s="105" t="s">
        <v>8069</v>
      </c>
      <c r="BZ104" s="2"/>
    </row>
    <row r="105" spans="1:78" ht="15">
      <c r="A105" s="62" t="s">
        <v>280</v>
      </c>
      <c r="B105" s="63"/>
      <c r="C105" s="63"/>
      <c r="D105" s="64"/>
      <c r="E105" s="66"/>
      <c r="F105" s="100" t="str">
        <f>HYPERLINK("https://pbs.twimg.com/profile_images/1132348781/YouRoQ_Y_normal.png")</f>
        <v>https://pbs.twimg.com/profile_images/1132348781/YouRoQ_Y_normal.png</v>
      </c>
      <c r="G105" s="63"/>
      <c r="H105" s="67"/>
      <c r="I105" s="68"/>
      <c r="J105" s="68"/>
      <c r="K105" s="67" t="s">
        <v>7292</v>
      </c>
      <c r="L105" s="71"/>
      <c r="M105" s="72">
        <v>3068.109375</v>
      </c>
      <c r="N105" s="72">
        <v>2597.75341796875</v>
      </c>
      <c r="O105" s="73"/>
      <c r="P105" s="74"/>
      <c r="Q105" s="74"/>
      <c r="R105" s="86"/>
      <c r="S105" s="46">
        <v>1</v>
      </c>
      <c r="T105" s="46">
        <v>1</v>
      </c>
      <c r="U105" s="47">
        <v>0</v>
      </c>
      <c r="V105" s="47">
        <v>0</v>
      </c>
      <c r="W105" s="47">
        <v>0</v>
      </c>
      <c r="X105" s="47">
        <v>0.002882</v>
      </c>
      <c r="Y105" s="47">
        <v>0</v>
      </c>
      <c r="Z105" s="47">
        <v>0</v>
      </c>
      <c r="AA105" s="69">
        <v>105</v>
      </c>
      <c r="AB105" s="69"/>
      <c r="AC105" s="70"/>
      <c r="AD105" s="76" t="s">
        <v>5972</v>
      </c>
      <c r="AE105" s="83" t="s">
        <v>6276</v>
      </c>
      <c r="AF105" s="76">
        <v>23</v>
      </c>
      <c r="AG105" s="76">
        <v>15</v>
      </c>
      <c r="AH105" s="76">
        <v>1242</v>
      </c>
      <c r="AI105" s="76">
        <v>0</v>
      </c>
      <c r="AJ105" s="76">
        <v>0</v>
      </c>
      <c r="AK105" s="76">
        <v>0</v>
      </c>
      <c r="AL105" s="76" t="b">
        <v>0</v>
      </c>
      <c r="AM105" s="78">
        <v>40441.128333333334</v>
      </c>
      <c r="AN105" s="76" t="s">
        <v>6518</v>
      </c>
      <c r="AO105" s="76" t="s">
        <v>6730</v>
      </c>
      <c r="AP105" s="82" t="str">
        <f>HYPERLINK("http://t.co/wYztQdjnUJ")</f>
        <v>http://t.co/wYztQdjnUJ</v>
      </c>
      <c r="AQ105" s="82" t="str">
        <f>HYPERLINK("http://www.youroq.com/")</f>
        <v>http://www.youroq.com/</v>
      </c>
      <c r="AR105" s="76" t="s">
        <v>7001</v>
      </c>
      <c r="AS105" s="76"/>
      <c r="AT105" s="76"/>
      <c r="AU105" s="76"/>
      <c r="AV105" s="76"/>
      <c r="AW105" s="82" t="str">
        <f>HYPERLINK("http://t.co/wYztQdjnUJ")</f>
        <v>http://t.co/wYztQdjnUJ</v>
      </c>
      <c r="AX105" s="76" t="b">
        <v>0</v>
      </c>
      <c r="AY105" s="76"/>
      <c r="AZ105" s="76"/>
      <c r="BA105" s="76" t="b">
        <v>0</v>
      </c>
      <c r="BB105" s="76" t="b">
        <v>1</v>
      </c>
      <c r="BC105" s="76" t="b">
        <v>0</v>
      </c>
      <c r="BD105" s="76" t="b">
        <v>0</v>
      </c>
      <c r="BE105" s="76" t="b">
        <v>0</v>
      </c>
      <c r="BF105" s="76" t="b">
        <v>0</v>
      </c>
      <c r="BG105" s="76" t="b">
        <v>0</v>
      </c>
      <c r="BH105" s="76"/>
      <c r="BI105" s="76"/>
      <c r="BJ105" s="76" t="s">
        <v>7188</v>
      </c>
      <c r="BK105" s="76" t="b">
        <v>0</v>
      </c>
      <c r="BL105" s="76"/>
      <c r="BM105" s="76" t="s">
        <v>66</v>
      </c>
      <c r="BN105" s="76" t="s">
        <v>7190</v>
      </c>
      <c r="BO105" s="82" t="str">
        <f>HYPERLINK("https://twitter.com/youroq")</f>
        <v>https://twitter.com/youroq</v>
      </c>
      <c r="BP105" s="46"/>
      <c r="BQ105" s="46"/>
      <c r="BR105" s="46"/>
      <c r="BS105" s="46"/>
      <c r="BT105" s="46"/>
      <c r="BU105" s="46"/>
      <c r="BV105" s="105" t="s">
        <v>7839</v>
      </c>
      <c r="BW105" s="105" t="s">
        <v>7839</v>
      </c>
      <c r="BX105" s="105" t="s">
        <v>8070</v>
      </c>
      <c r="BY105" s="105" t="s">
        <v>8070</v>
      </c>
      <c r="BZ105" s="2"/>
    </row>
    <row r="106" spans="1:78" ht="15">
      <c r="A106" s="62" t="s">
        <v>281</v>
      </c>
      <c r="B106" s="63"/>
      <c r="C106" s="63"/>
      <c r="D106" s="64"/>
      <c r="E106" s="66"/>
      <c r="F106" s="100" t="str">
        <f>HYPERLINK("https://abs.twimg.com/sticky/default_profile_images/default_profile_normal.png")</f>
        <v>https://abs.twimg.com/sticky/default_profile_images/default_profile_normal.png</v>
      </c>
      <c r="G106" s="63"/>
      <c r="H106" s="67"/>
      <c r="I106" s="68"/>
      <c r="J106" s="68"/>
      <c r="K106" s="67" t="s">
        <v>7293</v>
      </c>
      <c r="L106" s="71"/>
      <c r="M106" s="72">
        <v>3094.749267578125</v>
      </c>
      <c r="N106" s="72">
        <v>2452.1171875</v>
      </c>
      <c r="O106" s="73"/>
      <c r="P106" s="74"/>
      <c r="Q106" s="74"/>
      <c r="R106" s="86"/>
      <c r="S106" s="46">
        <v>1</v>
      </c>
      <c r="T106" s="46">
        <v>1</v>
      </c>
      <c r="U106" s="47">
        <v>0</v>
      </c>
      <c r="V106" s="47">
        <v>0</v>
      </c>
      <c r="W106" s="47">
        <v>0</v>
      </c>
      <c r="X106" s="47">
        <v>0.002882</v>
      </c>
      <c r="Y106" s="47">
        <v>0</v>
      </c>
      <c r="Z106" s="47">
        <v>0</v>
      </c>
      <c r="AA106" s="69">
        <v>106</v>
      </c>
      <c r="AB106" s="69"/>
      <c r="AC106" s="70"/>
      <c r="AD106" s="76" t="s">
        <v>281</v>
      </c>
      <c r="AE106" s="83" t="s">
        <v>5801</v>
      </c>
      <c r="AF106" s="76">
        <v>2</v>
      </c>
      <c r="AG106" s="76">
        <v>0</v>
      </c>
      <c r="AH106" s="76">
        <v>50</v>
      </c>
      <c r="AI106" s="76">
        <v>0</v>
      </c>
      <c r="AJ106" s="76">
        <v>0</v>
      </c>
      <c r="AK106" s="76">
        <v>46</v>
      </c>
      <c r="AL106" s="76" t="b">
        <v>0</v>
      </c>
      <c r="AM106" s="78">
        <v>43803.54175925926</v>
      </c>
      <c r="AN106" s="76"/>
      <c r="AO106" s="76"/>
      <c r="AP106" s="76"/>
      <c r="AQ106" s="76"/>
      <c r="AR106" s="76"/>
      <c r="AS106" s="76"/>
      <c r="AT106" s="76"/>
      <c r="AU106" s="76"/>
      <c r="AV106" s="76"/>
      <c r="AW106" s="76"/>
      <c r="AX106" s="76" t="b">
        <v>0</v>
      </c>
      <c r="AY106" s="76"/>
      <c r="AZ106" s="76"/>
      <c r="BA106" s="76" t="b">
        <v>0</v>
      </c>
      <c r="BB106" s="76" t="b">
        <v>1</v>
      </c>
      <c r="BC106" s="76" t="b">
        <v>1</v>
      </c>
      <c r="BD106" s="76" t="b">
        <v>1</v>
      </c>
      <c r="BE106" s="76" t="b">
        <v>0</v>
      </c>
      <c r="BF106" s="76" t="b">
        <v>0</v>
      </c>
      <c r="BG106" s="76" t="b">
        <v>0</v>
      </c>
      <c r="BH106" s="76"/>
      <c r="BI106" s="76"/>
      <c r="BJ106" s="76" t="s">
        <v>7188</v>
      </c>
      <c r="BK106" s="76" t="b">
        <v>0</v>
      </c>
      <c r="BL106" s="76"/>
      <c r="BM106" s="76" t="s">
        <v>66</v>
      </c>
      <c r="BN106" s="76" t="s">
        <v>7190</v>
      </c>
      <c r="BO106" s="82" t="str">
        <f>HYPERLINK("https://twitter.com/anithapujya")</f>
        <v>https://twitter.com/anithapujya</v>
      </c>
      <c r="BP106" s="46" t="s">
        <v>7623</v>
      </c>
      <c r="BQ106" s="46" t="s">
        <v>7695</v>
      </c>
      <c r="BR106" s="46" t="s">
        <v>7712</v>
      </c>
      <c r="BS106" s="46" t="s">
        <v>7722</v>
      </c>
      <c r="BT106" s="46" t="s">
        <v>7736</v>
      </c>
      <c r="BU106" s="46" t="s">
        <v>7757</v>
      </c>
      <c r="BV106" s="105" t="s">
        <v>7840</v>
      </c>
      <c r="BW106" s="105" t="s">
        <v>7986</v>
      </c>
      <c r="BX106" s="105" t="s">
        <v>8071</v>
      </c>
      <c r="BY106" s="105" t="s">
        <v>8212</v>
      </c>
      <c r="BZ106" s="2"/>
    </row>
    <row r="107" spans="1:78" ht="15">
      <c r="A107" s="62" t="s">
        <v>282</v>
      </c>
      <c r="B107" s="63"/>
      <c r="C107" s="63"/>
      <c r="D107" s="64"/>
      <c r="E107" s="66"/>
      <c r="F107" s="100" t="str">
        <f>HYPERLINK("https://pbs.twimg.com/profile_images/990197838872219648/A86Smvr9_normal.jpg")</f>
        <v>https://pbs.twimg.com/profile_images/990197838872219648/A86Smvr9_normal.jpg</v>
      </c>
      <c r="G107" s="63"/>
      <c r="H107" s="67"/>
      <c r="I107" s="68"/>
      <c r="J107" s="68"/>
      <c r="K107" s="67" t="s">
        <v>7294</v>
      </c>
      <c r="L107" s="71"/>
      <c r="M107" s="72">
        <v>3121.388916015625</v>
      </c>
      <c r="N107" s="72">
        <v>2309.783203125</v>
      </c>
      <c r="O107" s="73"/>
      <c r="P107" s="74"/>
      <c r="Q107" s="74"/>
      <c r="R107" s="86"/>
      <c r="S107" s="46">
        <v>0</v>
      </c>
      <c r="T107" s="46">
        <v>1</v>
      </c>
      <c r="U107" s="47">
        <v>0</v>
      </c>
      <c r="V107" s="47">
        <v>0.214691</v>
      </c>
      <c r="W107" s="47">
        <v>0.062026</v>
      </c>
      <c r="X107" s="47">
        <v>0.002499</v>
      </c>
      <c r="Y107" s="47">
        <v>0</v>
      </c>
      <c r="Z107" s="47">
        <v>0</v>
      </c>
      <c r="AA107" s="69">
        <v>107</v>
      </c>
      <c r="AB107" s="69"/>
      <c r="AC107" s="70"/>
      <c r="AD107" s="76" t="s">
        <v>5973</v>
      </c>
      <c r="AE107" s="83" t="s">
        <v>6277</v>
      </c>
      <c r="AF107" s="76">
        <v>537</v>
      </c>
      <c r="AG107" s="76">
        <v>1140</v>
      </c>
      <c r="AH107" s="76">
        <v>4344</v>
      </c>
      <c r="AI107" s="76">
        <v>0</v>
      </c>
      <c r="AJ107" s="76">
        <v>13</v>
      </c>
      <c r="AK107" s="76">
        <v>3582</v>
      </c>
      <c r="AL107" s="76" t="b">
        <v>0</v>
      </c>
      <c r="AM107" s="78">
        <v>41778.93633101852</v>
      </c>
      <c r="AN107" s="76" t="s">
        <v>6519</v>
      </c>
      <c r="AO107" s="76" t="s">
        <v>6731</v>
      </c>
      <c r="AP107" s="82" t="str">
        <f>HYPERLINK("https://t.co/0dkXhSg7W5")</f>
        <v>https://t.co/0dkXhSg7W5</v>
      </c>
      <c r="AQ107" s="82" t="str">
        <f>HYPERLINK("https://www.softwarefindr.com")</f>
        <v>https://www.softwarefindr.com</v>
      </c>
      <c r="AR107" s="76" t="s">
        <v>7002</v>
      </c>
      <c r="AS107" s="82" t="str">
        <f>HYPERLINK("https://t.co/6QDU4jeYR4")</f>
        <v>https://t.co/6QDU4jeYR4</v>
      </c>
      <c r="AT107" s="82" t="str">
        <f>HYPERLINK("https://www.softwarefindr.com/")</f>
        <v>https://www.softwarefindr.com/</v>
      </c>
      <c r="AU107" s="76" t="s">
        <v>7002</v>
      </c>
      <c r="AV107" s="76"/>
      <c r="AW107" s="82" t="str">
        <f>HYPERLINK("https://t.co/0dkXhSg7W5")</f>
        <v>https://t.co/0dkXhSg7W5</v>
      </c>
      <c r="AX107" s="76" t="b">
        <v>0</v>
      </c>
      <c r="AY107" s="76" t="b">
        <v>1</v>
      </c>
      <c r="AZ107" s="76"/>
      <c r="BA107" s="76" t="b">
        <v>1</v>
      </c>
      <c r="BB107" s="76" t="b">
        <v>1</v>
      </c>
      <c r="BC107" s="76" t="b">
        <v>0</v>
      </c>
      <c r="BD107" s="76" t="b">
        <v>0</v>
      </c>
      <c r="BE107" s="76" t="b">
        <v>0</v>
      </c>
      <c r="BF107" s="76" t="b">
        <v>0</v>
      </c>
      <c r="BG107" s="76" t="b">
        <v>0</v>
      </c>
      <c r="BH107" s="82" t="str">
        <f>HYPERLINK("https://pbs.twimg.com/profile_banners/2508626119/1524916503")</f>
        <v>https://pbs.twimg.com/profile_banners/2508626119/1524916503</v>
      </c>
      <c r="BI107" s="76"/>
      <c r="BJ107" s="76" t="s">
        <v>7188</v>
      </c>
      <c r="BK107" s="76" t="b">
        <v>0</v>
      </c>
      <c r="BL107" s="76"/>
      <c r="BM107" s="76" t="s">
        <v>66</v>
      </c>
      <c r="BN107" s="76" t="s">
        <v>7190</v>
      </c>
      <c r="BO107" s="82" t="str">
        <f>HYPERLINK("https://twitter.com/softwarefindr_")</f>
        <v>https://twitter.com/softwarefindr_</v>
      </c>
      <c r="BP107" s="46"/>
      <c r="BQ107" s="46"/>
      <c r="BR107" s="46"/>
      <c r="BS107" s="46"/>
      <c r="BT107" s="46"/>
      <c r="BU107" s="46"/>
      <c r="BV107" s="105" t="s">
        <v>7841</v>
      </c>
      <c r="BW107" s="105" t="s">
        <v>7841</v>
      </c>
      <c r="BX107" s="105" t="s">
        <v>8072</v>
      </c>
      <c r="BY107" s="105" t="s">
        <v>8072</v>
      </c>
      <c r="BZ107" s="2"/>
    </row>
    <row r="108" spans="1:78" ht="15">
      <c r="A108" s="62" t="s">
        <v>283</v>
      </c>
      <c r="B108" s="63"/>
      <c r="C108" s="63"/>
      <c r="D108" s="64"/>
      <c r="E108" s="66"/>
      <c r="F108" s="100" t="str">
        <f>HYPERLINK("https://abs.twimg.com/sticky/default_profile_images/default_profile_normal.png")</f>
        <v>https://abs.twimg.com/sticky/default_profile_images/default_profile_normal.png</v>
      </c>
      <c r="G108" s="63"/>
      <c r="H108" s="67"/>
      <c r="I108" s="68"/>
      <c r="J108" s="68"/>
      <c r="K108" s="67" t="s">
        <v>7295</v>
      </c>
      <c r="L108" s="71"/>
      <c r="M108" s="72">
        <v>3148.02880859375</v>
      </c>
      <c r="N108" s="72">
        <v>2170.936279296875</v>
      </c>
      <c r="O108" s="73"/>
      <c r="P108" s="74"/>
      <c r="Q108" s="74"/>
      <c r="R108" s="86"/>
      <c r="S108" s="46">
        <v>0</v>
      </c>
      <c r="T108" s="46">
        <v>1</v>
      </c>
      <c r="U108" s="47">
        <v>0</v>
      </c>
      <c r="V108" s="47">
        <v>0.214691</v>
      </c>
      <c r="W108" s="47">
        <v>0.062026</v>
      </c>
      <c r="X108" s="47">
        <v>0.002499</v>
      </c>
      <c r="Y108" s="47">
        <v>0</v>
      </c>
      <c r="Z108" s="47">
        <v>0</v>
      </c>
      <c r="AA108" s="69">
        <v>108</v>
      </c>
      <c r="AB108" s="69"/>
      <c r="AC108" s="70"/>
      <c r="AD108" s="76" t="s">
        <v>5974</v>
      </c>
      <c r="AE108" s="83" t="s">
        <v>6278</v>
      </c>
      <c r="AF108" s="76">
        <v>2</v>
      </c>
      <c r="AG108" s="76">
        <v>3</v>
      </c>
      <c r="AH108" s="76">
        <v>1</v>
      </c>
      <c r="AI108" s="76">
        <v>0</v>
      </c>
      <c r="AJ108" s="76">
        <v>0</v>
      </c>
      <c r="AK108" s="76">
        <v>0</v>
      </c>
      <c r="AL108" s="76" t="b">
        <v>0</v>
      </c>
      <c r="AM108" s="78">
        <v>41927.27491898148</v>
      </c>
      <c r="AN108" s="76"/>
      <c r="AO108" s="76"/>
      <c r="AP108" s="76"/>
      <c r="AQ108" s="76"/>
      <c r="AR108" s="76"/>
      <c r="AS108" s="76"/>
      <c r="AT108" s="76"/>
      <c r="AU108" s="76"/>
      <c r="AV108" s="76"/>
      <c r="AW108" s="76"/>
      <c r="AX108" s="76" t="b">
        <v>0</v>
      </c>
      <c r="AY108" s="76" t="b">
        <v>1</v>
      </c>
      <c r="AZ108" s="76"/>
      <c r="BA108" s="76" t="b">
        <v>1</v>
      </c>
      <c r="BB108" s="76" t="b">
        <v>1</v>
      </c>
      <c r="BC108" s="76" t="b">
        <v>1</v>
      </c>
      <c r="BD108" s="76" t="b">
        <v>1</v>
      </c>
      <c r="BE108" s="76" t="b">
        <v>0</v>
      </c>
      <c r="BF108" s="76" t="b">
        <v>0</v>
      </c>
      <c r="BG108" s="76" t="b">
        <v>0</v>
      </c>
      <c r="BH108" s="76"/>
      <c r="BI108" s="76"/>
      <c r="BJ108" s="76" t="s">
        <v>7188</v>
      </c>
      <c r="BK108" s="76" t="b">
        <v>0</v>
      </c>
      <c r="BL108" s="76"/>
      <c r="BM108" s="76" t="s">
        <v>66</v>
      </c>
      <c r="BN108" s="76" t="s">
        <v>7190</v>
      </c>
      <c r="BO108" s="82" t="str">
        <f>HYPERLINK("https://twitter.com/wendy97053587")</f>
        <v>https://twitter.com/wendy97053587</v>
      </c>
      <c r="BP108" s="46"/>
      <c r="BQ108" s="46"/>
      <c r="BR108" s="46"/>
      <c r="BS108" s="46"/>
      <c r="BT108" s="46"/>
      <c r="BU108" s="46"/>
      <c r="BV108" s="105" t="s">
        <v>7842</v>
      </c>
      <c r="BW108" s="105" t="s">
        <v>7842</v>
      </c>
      <c r="BX108" s="105" t="s">
        <v>8073</v>
      </c>
      <c r="BY108" s="105" t="s">
        <v>8073</v>
      </c>
      <c r="BZ108" s="2"/>
    </row>
    <row r="109" spans="1:78" ht="15">
      <c r="A109" s="62" t="s">
        <v>284</v>
      </c>
      <c r="B109" s="63"/>
      <c r="C109" s="63"/>
      <c r="D109" s="64"/>
      <c r="E109" s="66"/>
      <c r="F109" s="100" t="str">
        <f>HYPERLINK("https://pbs.twimg.com/profile_images/883934384826363906/a55yO3L__normal.jpg")</f>
        <v>https://pbs.twimg.com/profile_images/883934384826363906/a55yO3L__normal.jpg</v>
      </c>
      <c r="G109" s="63"/>
      <c r="H109" s="67"/>
      <c r="I109" s="68"/>
      <c r="J109" s="68"/>
      <c r="K109" s="67" t="s">
        <v>7296</v>
      </c>
      <c r="L109" s="71"/>
      <c r="M109" s="72">
        <v>3174.66845703125</v>
      </c>
      <c r="N109" s="72">
        <v>2035.75634765625</v>
      </c>
      <c r="O109" s="73"/>
      <c r="P109" s="74"/>
      <c r="Q109" s="74"/>
      <c r="R109" s="86"/>
      <c r="S109" s="46">
        <v>1</v>
      </c>
      <c r="T109" s="46">
        <v>1</v>
      </c>
      <c r="U109" s="47">
        <v>0</v>
      </c>
      <c r="V109" s="47">
        <v>0</v>
      </c>
      <c r="W109" s="47">
        <v>0</v>
      </c>
      <c r="X109" s="47">
        <v>0.002882</v>
      </c>
      <c r="Y109" s="47">
        <v>0</v>
      </c>
      <c r="Z109" s="47">
        <v>0</v>
      </c>
      <c r="AA109" s="69">
        <v>109</v>
      </c>
      <c r="AB109" s="69"/>
      <c r="AC109" s="70"/>
      <c r="AD109" s="76" t="s">
        <v>5975</v>
      </c>
      <c r="AE109" s="83" t="s">
        <v>6279</v>
      </c>
      <c r="AF109" s="76">
        <v>2285</v>
      </c>
      <c r="AG109" s="76">
        <v>3064</v>
      </c>
      <c r="AH109" s="76">
        <v>41845</v>
      </c>
      <c r="AI109" s="76">
        <v>126</v>
      </c>
      <c r="AJ109" s="76">
        <v>6035</v>
      </c>
      <c r="AK109" s="76">
        <v>19829</v>
      </c>
      <c r="AL109" s="76" t="b">
        <v>0</v>
      </c>
      <c r="AM109" s="78">
        <v>39917.576631944445</v>
      </c>
      <c r="AN109" s="76" t="s">
        <v>6518</v>
      </c>
      <c r="AO109" s="76" t="s">
        <v>6732</v>
      </c>
      <c r="AP109" s="82" t="str">
        <f>HYPERLINK("https://t.co/P0onV41Gto")</f>
        <v>https://t.co/P0onV41Gto</v>
      </c>
      <c r="AQ109" s="82" t="str">
        <f>HYPERLINK("https://linktr.ee/Karmaworks")</f>
        <v>https://linktr.ee/Karmaworks</v>
      </c>
      <c r="AR109" s="76" t="s">
        <v>7003</v>
      </c>
      <c r="AS109" s="76"/>
      <c r="AT109" s="76"/>
      <c r="AU109" s="76"/>
      <c r="AV109" s="76">
        <v>1.24996258485531E+18</v>
      </c>
      <c r="AW109" s="82" t="str">
        <f>HYPERLINK("https://t.co/P0onV41Gto")</f>
        <v>https://t.co/P0onV41Gto</v>
      </c>
      <c r="AX109" s="76" t="b">
        <v>0</v>
      </c>
      <c r="AY109" s="76"/>
      <c r="AZ109" s="76"/>
      <c r="BA109" s="76" t="b">
        <v>1</v>
      </c>
      <c r="BB109" s="76" t="b">
        <v>1</v>
      </c>
      <c r="BC109" s="76" t="b">
        <v>0</v>
      </c>
      <c r="BD109" s="76" t="b">
        <v>0</v>
      </c>
      <c r="BE109" s="76" t="b">
        <v>1</v>
      </c>
      <c r="BF109" s="76" t="b">
        <v>0</v>
      </c>
      <c r="BG109" s="76" t="b">
        <v>0</v>
      </c>
      <c r="BH109" s="82" t="str">
        <f>HYPERLINK("https://pbs.twimg.com/profile_banners/31125247/1589040359")</f>
        <v>https://pbs.twimg.com/profile_banners/31125247/1589040359</v>
      </c>
      <c r="BI109" s="76"/>
      <c r="BJ109" s="76" t="s">
        <v>7188</v>
      </c>
      <c r="BK109" s="76" t="b">
        <v>0</v>
      </c>
      <c r="BL109" s="76"/>
      <c r="BM109" s="76" t="s">
        <v>66</v>
      </c>
      <c r="BN109" s="76" t="s">
        <v>7190</v>
      </c>
      <c r="BO109" s="82" t="str">
        <f>HYPERLINK("https://twitter.com/karmawork")</f>
        <v>https://twitter.com/karmawork</v>
      </c>
      <c r="BP109" s="46" t="s">
        <v>7551</v>
      </c>
      <c r="BQ109" s="46" t="s">
        <v>7551</v>
      </c>
      <c r="BR109" s="46" t="s">
        <v>2000</v>
      </c>
      <c r="BS109" s="46" t="s">
        <v>2000</v>
      </c>
      <c r="BT109" s="46"/>
      <c r="BU109" s="46"/>
      <c r="BV109" s="105" t="s">
        <v>7843</v>
      </c>
      <c r="BW109" s="105" t="s">
        <v>7987</v>
      </c>
      <c r="BX109" s="105" t="s">
        <v>8074</v>
      </c>
      <c r="BY109" s="105" t="s">
        <v>8074</v>
      </c>
      <c r="BZ109" s="2"/>
    </row>
    <row r="110" spans="1:78" ht="15">
      <c r="A110" s="62" t="s">
        <v>285</v>
      </c>
      <c r="B110" s="63"/>
      <c r="C110" s="63"/>
      <c r="D110" s="64"/>
      <c r="E110" s="66"/>
      <c r="F110" s="100" t="str">
        <f>HYPERLINK("https://pbs.twimg.com/profile_images/1283814083712565248/fAfZbOhm_normal.jpg")</f>
        <v>https://pbs.twimg.com/profile_images/1283814083712565248/fAfZbOhm_normal.jpg</v>
      </c>
      <c r="G110" s="63"/>
      <c r="H110" s="67"/>
      <c r="I110" s="68"/>
      <c r="J110" s="68"/>
      <c r="K110" s="67" t="s">
        <v>7297</v>
      </c>
      <c r="L110" s="71"/>
      <c r="M110" s="72">
        <v>3201.30859375</v>
      </c>
      <c r="N110" s="72">
        <v>1904.418212890625</v>
      </c>
      <c r="O110" s="73"/>
      <c r="P110" s="74"/>
      <c r="Q110" s="74"/>
      <c r="R110" s="86"/>
      <c r="S110" s="46">
        <v>0</v>
      </c>
      <c r="T110" s="46">
        <v>1</v>
      </c>
      <c r="U110" s="47">
        <v>0</v>
      </c>
      <c r="V110" s="47">
        <v>0.214691</v>
      </c>
      <c r="W110" s="47">
        <v>0.062026</v>
      </c>
      <c r="X110" s="47">
        <v>0.002499</v>
      </c>
      <c r="Y110" s="47">
        <v>0</v>
      </c>
      <c r="Z110" s="47">
        <v>0</v>
      </c>
      <c r="AA110" s="69">
        <v>110</v>
      </c>
      <c r="AB110" s="69"/>
      <c r="AC110" s="70"/>
      <c r="AD110" s="76" t="s">
        <v>5976</v>
      </c>
      <c r="AE110" s="83" t="s">
        <v>6280</v>
      </c>
      <c r="AF110" s="76">
        <v>18629</v>
      </c>
      <c r="AG110" s="76">
        <v>16862</v>
      </c>
      <c r="AH110" s="76">
        <v>24569</v>
      </c>
      <c r="AI110" s="76">
        <v>1229</v>
      </c>
      <c r="AJ110" s="76">
        <v>3682</v>
      </c>
      <c r="AK110" s="76">
        <v>8136</v>
      </c>
      <c r="AL110" s="76" t="b">
        <v>0</v>
      </c>
      <c r="AM110" s="78">
        <v>40360.12159722222</v>
      </c>
      <c r="AN110" s="76" t="s">
        <v>6520</v>
      </c>
      <c r="AO110" s="76" t="s">
        <v>6733</v>
      </c>
      <c r="AP110" s="76"/>
      <c r="AQ110" s="76"/>
      <c r="AR110" s="76"/>
      <c r="AS110" s="76"/>
      <c r="AT110" s="76"/>
      <c r="AU110" s="76"/>
      <c r="AV110" s="76"/>
      <c r="AW110" s="76"/>
      <c r="AX110" s="76" t="b">
        <v>0</v>
      </c>
      <c r="AY110" s="76"/>
      <c r="AZ110" s="76"/>
      <c r="BA110" s="76" t="b">
        <v>0</v>
      </c>
      <c r="BB110" s="76" t="b">
        <v>1</v>
      </c>
      <c r="BC110" s="76" t="b">
        <v>0</v>
      </c>
      <c r="BD110" s="76" t="b">
        <v>0</v>
      </c>
      <c r="BE110" s="76" t="b">
        <v>0</v>
      </c>
      <c r="BF110" s="76" t="b">
        <v>0</v>
      </c>
      <c r="BG110" s="76" t="b">
        <v>0</v>
      </c>
      <c r="BH110" s="82" t="str">
        <f>HYPERLINK("https://pbs.twimg.com/profile_banners/161532559/1548350823")</f>
        <v>https://pbs.twimg.com/profile_banners/161532559/1548350823</v>
      </c>
      <c r="BI110" s="76"/>
      <c r="BJ110" s="76" t="s">
        <v>7188</v>
      </c>
      <c r="BK110" s="76" t="b">
        <v>0</v>
      </c>
      <c r="BL110" s="76"/>
      <c r="BM110" s="76" t="s">
        <v>66</v>
      </c>
      <c r="BN110" s="76" t="s">
        <v>7190</v>
      </c>
      <c r="BO110" s="82" t="str">
        <f>HYPERLINK("https://twitter.com/artworksbyshana")</f>
        <v>https://twitter.com/artworksbyshana</v>
      </c>
      <c r="BP110" s="46" t="s">
        <v>7624</v>
      </c>
      <c r="BQ110" s="46" t="s">
        <v>7624</v>
      </c>
      <c r="BR110" s="46" t="s">
        <v>7713</v>
      </c>
      <c r="BS110" s="46" t="s">
        <v>7713</v>
      </c>
      <c r="BT110" s="46" t="s">
        <v>7737</v>
      </c>
      <c r="BU110" s="46" t="s">
        <v>7758</v>
      </c>
      <c r="BV110" s="105" t="s">
        <v>7844</v>
      </c>
      <c r="BW110" s="105" t="s">
        <v>7844</v>
      </c>
      <c r="BX110" s="105" t="s">
        <v>8075</v>
      </c>
      <c r="BY110" s="105" t="s">
        <v>8075</v>
      </c>
      <c r="BZ110" s="2"/>
    </row>
    <row r="111" spans="1:78" ht="15">
      <c r="A111" s="62" t="s">
        <v>286</v>
      </c>
      <c r="B111" s="63"/>
      <c r="C111" s="63"/>
      <c r="D111" s="64"/>
      <c r="E111" s="66"/>
      <c r="F111" s="100" t="str">
        <f>HYPERLINK("https://pbs.twimg.com/profile_images/1620846707633160203/QuJE9Q8h_normal.jpg")</f>
        <v>https://pbs.twimg.com/profile_images/1620846707633160203/QuJE9Q8h_normal.jpg</v>
      </c>
      <c r="G111" s="63"/>
      <c r="H111" s="67"/>
      <c r="I111" s="68"/>
      <c r="J111" s="68"/>
      <c r="K111" s="67" t="s">
        <v>7298</v>
      </c>
      <c r="L111" s="71"/>
      <c r="M111" s="72">
        <v>3227.948486328125</v>
      </c>
      <c r="N111" s="72">
        <v>1777.092041015625</v>
      </c>
      <c r="O111" s="73"/>
      <c r="P111" s="74"/>
      <c r="Q111" s="74"/>
      <c r="R111" s="86"/>
      <c r="S111" s="46">
        <v>1</v>
      </c>
      <c r="T111" s="46">
        <v>1</v>
      </c>
      <c r="U111" s="47">
        <v>0</v>
      </c>
      <c r="V111" s="47">
        <v>0</v>
      </c>
      <c r="W111" s="47">
        <v>0</v>
      </c>
      <c r="X111" s="47">
        <v>0.002882</v>
      </c>
      <c r="Y111" s="47">
        <v>0</v>
      </c>
      <c r="Z111" s="47">
        <v>0</v>
      </c>
      <c r="AA111" s="69">
        <v>111</v>
      </c>
      <c r="AB111" s="69"/>
      <c r="AC111" s="70"/>
      <c r="AD111" s="76" t="s">
        <v>5977</v>
      </c>
      <c r="AE111" s="83" t="s">
        <v>6281</v>
      </c>
      <c r="AF111" s="76">
        <v>22806</v>
      </c>
      <c r="AG111" s="76">
        <v>88</v>
      </c>
      <c r="AH111" s="76">
        <v>5622</v>
      </c>
      <c r="AI111" s="76">
        <v>563</v>
      </c>
      <c r="AJ111" s="76">
        <v>167</v>
      </c>
      <c r="AK111" s="76">
        <v>1957</v>
      </c>
      <c r="AL111" s="76" t="b">
        <v>0</v>
      </c>
      <c r="AM111" s="78">
        <v>40793.51436342593</v>
      </c>
      <c r="AN111" s="76" t="s">
        <v>6462</v>
      </c>
      <c r="AO111" s="76" t="s">
        <v>6734</v>
      </c>
      <c r="AP111" s="82" t="str">
        <f>HYPERLINK("https://t.co/EVYJmIHzIw")</f>
        <v>https://t.co/EVYJmIHzIw</v>
      </c>
      <c r="AQ111" s="82" t="str">
        <f>HYPERLINK("https://www.buymeacoffee.com/bootstrap4eva")</f>
        <v>https://www.buymeacoffee.com/bootstrap4eva</v>
      </c>
      <c r="AR111" s="76" t="s">
        <v>7004</v>
      </c>
      <c r="AS111" s="82" t="str">
        <f>HYPERLINK("https://t.co/Hbs0qEcbxV")</f>
        <v>https://t.co/Hbs0qEcbxV</v>
      </c>
      <c r="AT111" s="82" t="str">
        <f>HYPERLINK("https://discord.gg/XueSXY8VSq")</f>
        <v>https://discord.gg/XueSXY8VSq</v>
      </c>
      <c r="AU111" s="76" t="s">
        <v>7169</v>
      </c>
      <c r="AV111" s="76">
        <v>1.62084554350017E+18</v>
      </c>
      <c r="AW111" s="82" t="str">
        <f>HYPERLINK("https://t.co/EVYJmIHzIw")</f>
        <v>https://t.co/EVYJmIHzIw</v>
      </c>
      <c r="AX111" s="76" t="b">
        <v>0</v>
      </c>
      <c r="AY111" s="76"/>
      <c r="AZ111" s="76"/>
      <c r="BA111" s="76" t="b">
        <v>1</v>
      </c>
      <c r="BB111" s="76" t="b">
        <v>1</v>
      </c>
      <c r="BC111" s="76" t="b">
        <v>0</v>
      </c>
      <c r="BD111" s="76" t="b">
        <v>0</v>
      </c>
      <c r="BE111" s="76" t="b">
        <v>1</v>
      </c>
      <c r="BF111" s="76" t="b">
        <v>0</v>
      </c>
      <c r="BG111" s="76" t="b">
        <v>0</v>
      </c>
      <c r="BH111" s="82" t="str">
        <f>HYPERLINK("https://pbs.twimg.com/profile_banners/369471121/1675274735")</f>
        <v>https://pbs.twimg.com/profile_banners/369471121/1675274735</v>
      </c>
      <c r="BI111" s="76"/>
      <c r="BJ111" s="76" t="s">
        <v>7188</v>
      </c>
      <c r="BK111" s="76" t="b">
        <v>0</v>
      </c>
      <c r="BL111" s="76"/>
      <c r="BM111" s="76" t="s">
        <v>66</v>
      </c>
      <c r="BN111" s="76" t="s">
        <v>7190</v>
      </c>
      <c r="BO111" s="82" t="str">
        <f>HYPERLINK("https://twitter.com/bootstrap4eva")</f>
        <v>https://twitter.com/bootstrap4eva</v>
      </c>
      <c r="BP111" s="46" t="s">
        <v>7625</v>
      </c>
      <c r="BQ111" s="46" t="s">
        <v>7625</v>
      </c>
      <c r="BR111" s="46" t="s">
        <v>1984</v>
      </c>
      <c r="BS111" s="46" t="s">
        <v>1984</v>
      </c>
      <c r="BT111" s="46"/>
      <c r="BU111" s="46"/>
      <c r="BV111" s="105" t="s">
        <v>7845</v>
      </c>
      <c r="BW111" s="105" t="s">
        <v>7845</v>
      </c>
      <c r="BX111" s="105" t="s">
        <v>8076</v>
      </c>
      <c r="BY111" s="105" t="s">
        <v>8076</v>
      </c>
      <c r="BZ111" s="2"/>
    </row>
    <row r="112" spans="1:78" ht="15">
      <c r="A112" s="62" t="s">
        <v>287</v>
      </c>
      <c r="B112" s="63"/>
      <c r="C112" s="63"/>
      <c r="D112" s="64"/>
      <c r="E112" s="66"/>
      <c r="F112" s="100" t="str">
        <f>HYPERLINK("https://pbs.twimg.com/profile_images/1511196012/engg_normal.gif")</f>
        <v>https://pbs.twimg.com/profile_images/1511196012/engg_normal.gif</v>
      </c>
      <c r="G112" s="63"/>
      <c r="H112" s="67"/>
      <c r="I112" s="68"/>
      <c r="J112" s="68"/>
      <c r="K112" s="67" t="s">
        <v>7299</v>
      </c>
      <c r="L112" s="71"/>
      <c r="M112" s="72">
        <v>3254.58837890625</v>
      </c>
      <c r="N112" s="72">
        <v>1653.9437255859375</v>
      </c>
      <c r="O112" s="73"/>
      <c r="P112" s="74"/>
      <c r="Q112" s="74"/>
      <c r="R112" s="86"/>
      <c r="S112" s="46">
        <v>1</v>
      </c>
      <c r="T112" s="46">
        <v>1</v>
      </c>
      <c r="U112" s="47">
        <v>0</v>
      </c>
      <c r="V112" s="47">
        <v>0</v>
      </c>
      <c r="W112" s="47">
        <v>0</v>
      </c>
      <c r="X112" s="47">
        <v>0.002882</v>
      </c>
      <c r="Y112" s="47">
        <v>0</v>
      </c>
      <c r="Z112" s="47">
        <v>0</v>
      </c>
      <c r="AA112" s="69">
        <v>112</v>
      </c>
      <c r="AB112" s="69"/>
      <c r="AC112" s="70"/>
      <c r="AD112" s="76" t="s">
        <v>5978</v>
      </c>
      <c r="AE112" s="83" t="s">
        <v>6282</v>
      </c>
      <c r="AF112" s="76">
        <v>4986</v>
      </c>
      <c r="AG112" s="76">
        <v>7</v>
      </c>
      <c r="AH112" s="76">
        <v>199339</v>
      </c>
      <c r="AI112" s="76">
        <v>36</v>
      </c>
      <c r="AJ112" s="76">
        <v>0</v>
      </c>
      <c r="AK112" s="76">
        <v>0</v>
      </c>
      <c r="AL112" s="76" t="b">
        <v>0</v>
      </c>
      <c r="AM112" s="78">
        <v>40245.40358796297</v>
      </c>
      <c r="AN112" s="76" t="s">
        <v>3889</v>
      </c>
      <c r="AO112" s="76" t="s">
        <v>6735</v>
      </c>
      <c r="AP112" s="76"/>
      <c r="AQ112" s="76"/>
      <c r="AR112" s="76"/>
      <c r="AS112" s="76"/>
      <c r="AT112" s="76"/>
      <c r="AU112" s="76"/>
      <c r="AV112" s="76"/>
      <c r="AW112" s="76"/>
      <c r="AX112" s="76" t="b">
        <v>0</v>
      </c>
      <c r="AY112" s="76"/>
      <c r="AZ112" s="76"/>
      <c r="BA112" s="76" t="b">
        <v>0</v>
      </c>
      <c r="BB112" s="76" t="b">
        <v>1</v>
      </c>
      <c r="BC112" s="76" t="b">
        <v>1</v>
      </c>
      <c r="BD112" s="76" t="b">
        <v>0</v>
      </c>
      <c r="BE112" s="76" t="b">
        <v>0</v>
      </c>
      <c r="BF112" s="76" t="b">
        <v>0</v>
      </c>
      <c r="BG112" s="76" t="b">
        <v>0</v>
      </c>
      <c r="BH112" s="76"/>
      <c r="BI112" s="76"/>
      <c r="BJ112" s="76" t="s">
        <v>7188</v>
      </c>
      <c r="BK112" s="76" t="b">
        <v>0</v>
      </c>
      <c r="BL112" s="76"/>
      <c r="BM112" s="76" t="s">
        <v>66</v>
      </c>
      <c r="BN112" s="76" t="s">
        <v>7190</v>
      </c>
      <c r="BO112" s="82" t="str">
        <f>HYPERLINK("https://twitter.com/enggjobsindia")</f>
        <v>https://twitter.com/enggjobsindia</v>
      </c>
      <c r="BP112" s="46" t="s">
        <v>7626</v>
      </c>
      <c r="BQ112" s="46" t="s">
        <v>7626</v>
      </c>
      <c r="BR112" s="46" t="s">
        <v>1974</v>
      </c>
      <c r="BS112" s="46" t="s">
        <v>1974</v>
      </c>
      <c r="BT112" s="46"/>
      <c r="BU112" s="46"/>
      <c r="BV112" s="105" t="s">
        <v>7846</v>
      </c>
      <c r="BW112" s="105" t="s">
        <v>7846</v>
      </c>
      <c r="BX112" s="105" t="s">
        <v>8077</v>
      </c>
      <c r="BY112" s="105" t="s">
        <v>8077</v>
      </c>
      <c r="BZ112" s="2"/>
    </row>
    <row r="113" spans="1:78" ht="15">
      <c r="A113" s="62" t="s">
        <v>288</v>
      </c>
      <c r="B113" s="63"/>
      <c r="C113" s="63"/>
      <c r="D113" s="64"/>
      <c r="E113" s="66"/>
      <c r="F113" s="100" t="str">
        <f>HYPERLINK("https://pbs.twimg.com/profile_images/1702869610943377408/ZDew_v6D_normal.jpg")</f>
        <v>https://pbs.twimg.com/profile_images/1702869610943377408/ZDew_v6D_normal.jpg</v>
      </c>
      <c r="G113" s="63"/>
      <c r="H113" s="67"/>
      <c r="I113" s="68"/>
      <c r="J113" s="68"/>
      <c r="K113" s="67" t="s">
        <v>7300</v>
      </c>
      <c r="L113" s="71"/>
      <c r="M113" s="72">
        <v>3281.22802734375</v>
      </c>
      <c r="N113" s="72">
        <v>1535.132080078125</v>
      </c>
      <c r="O113" s="73"/>
      <c r="P113" s="74"/>
      <c r="Q113" s="74"/>
      <c r="R113" s="86"/>
      <c r="S113" s="46">
        <v>1</v>
      </c>
      <c r="T113" s="46">
        <v>1</v>
      </c>
      <c r="U113" s="47">
        <v>0</v>
      </c>
      <c r="V113" s="47">
        <v>0</v>
      </c>
      <c r="W113" s="47">
        <v>0</v>
      </c>
      <c r="X113" s="47">
        <v>0.002882</v>
      </c>
      <c r="Y113" s="47">
        <v>0</v>
      </c>
      <c r="Z113" s="47">
        <v>0</v>
      </c>
      <c r="AA113" s="69">
        <v>113</v>
      </c>
      <c r="AB113" s="69"/>
      <c r="AC113" s="70"/>
      <c r="AD113" s="76" t="s">
        <v>5979</v>
      </c>
      <c r="AE113" s="83" t="s">
        <v>6283</v>
      </c>
      <c r="AF113" s="76">
        <v>9158</v>
      </c>
      <c r="AG113" s="76">
        <v>551</v>
      </c>
      <c r="AH113" s="76">
        <v>73876</v>
      </c>
      <c r="AI113" s="76">
        <v>98</v>
      </c>
      <c r="AJ113" s="76">
        <v>32368</v>
      </c>
      <c r="AK113" s="76">
        <v>15525</v>
      </c>
      <c r="AL113" s="76" t="b">
        <v>0</v>
      </c>
      <c r="AM113" s="78">
        <v>39559.70869212963</v>
      </c>
      <c r="AN113" s="76" t="s">
        <v>6521</v>
      </c>
      <c r="AO113" s="76" t="s">
        <v>6736</v>
      </c>
      <c r="AP113" s="82" t="str">
        <f>HYPERLINK("https://t.co/JXnIgYlj2O")</f>
        <v>https://t.co/JXnIgYlj2O</v>
      </c>
      <c r="AQ113" s="82" t="str">
        <f>HYPERLINK("https://linktr.ee/tristanjohnson")</f>
        <v>https://linktr.ee/tristanjohnson</v>
      </c>
      <c r="AR113" s="76" t="s">
        <v>7005</v>
      </c>
      <c r="AS113" s="76"/>
      <c r="AT113" s="76"/>
      <c r="AU113" s="76"/>
      <c r="AV113" s="76">
        <v>1.7345978002754E+18</v>
      </c>
      <c r="AW113" s="82" t="str">
        <f>HYPERLINK("https://t.co/JXnIgYlj2O")</f>
        <v>https://t.co/JXnIgYlj2O</v>
      </c>
      <c r="AX113" s="76" t="b">
        <v>0</v>
      </c>
      <c r="AY113" s="76"/>
      <c r="AZ113" s="76"/>
      <c r="BA113" s="76" t="b">
        <v>1</v>
      </c>
      <c r="BB113" s="76" t="b">
        <v>1</v>
      </c>
      <c r="BC113" s="76" t="b">
        <v>0</v>
      </c>
      <c r="BD113" s="76" t="b">
        <v>0</v>
      </c>
      <c r="BE113" s="76" t="b">
        <v>1</v>
      </c>
      <c r="BF113" s="76" t="b">
        <v>0</v>
      </c>
      <c r="BG113" s="76" t="b">
        <v>0</v>
      </c>
      <c r="BH113" s="82" t="str">
        <f>HYPERLINK("https://pbs.twimg.com/profile_banners/14464159/1575998429")</f>
        <v>https://pbs.twimg.com/profile_banners/14464159/1575998429</v>
      </c>
      <c r="BI113" s="76"/>
      <c r="BJ113" s="76" t="s">
        <v>7189</v>
      </c>
      <c r="BK113" s="76" t="b">
        <v>0</v>
      </c>
      <c r="BL113" s="76"/>
      <c r="BM113" s="76" t="s">
        <v>66</v>
      </c>
      <c r="BN113" s="76" t="s">
        <v>7190</v>
      </c>
      <c r="BO113" s="82" t="str">
        <f>HYPERLINK("https://twitter.com/tristanpej")</f>
        <v>https://twitter.com/tristanpej</v>
      </c>
      <c r="BP113" s="46"/>
      <c r="BQ113" s="46"/>
      <c r="BR113" s="46"/>
      <c r="BS113" s="46"/>
      <c r="BT113" s="46"/>
      <c r="BU113" s="46"/>
      <c r="BV113" s="105" t="s">
        <v>7847</v>
      </c>
      <c r="BW113" s="105" t="s">
        <v>7847</v>
      </c>
      <c r="BX113" s="105" t="s">
        <v>8078</v>
      </c>
      <c r="BY113" s="105" t="s">
        <v>8078</v>
      </c>
      <c r="BZ113" s="2"/>
    </row>
    <row r="114" spans="1:78" ht="15">
      <c r="A114" s="62" t="s">
        <v>289</v>
      </c>
      <c r="B114" s="63"/>
      <c r="C114" s="63"/>
      <c r="D114" s="64"/>
      <c r="E114" s="66"/>
      <c r="F114" s="100" t="str">
        <f>HYPERLINK("https://pbs.twimg.com/profile_images/928559535668674560/Kq8eWmkG_normal.jpg")</f>
        <v>https://pbs.twimg.com/profile_images/928559535668674560/Kq8eWmkG_normal.jpg</v>
      </c>
      <c r="G114" s="63"/>
      <c r="H114" s="67"/>
      <c r="I114" s="68"/>
      <c r="J114" s="68"/>
      <c r="K114" s="67" t="s">
        <v>7301</v>
      </c>
      <c r="L114" s="71"/>
      <c r="M114" s="72">
        <v>3307.8681640625</v>
      </c>
      <c r="N114" s="72">
        <v>1420.811279296875</v>
      </c>
      <c r="O114" s="73"/>
      <c r="P114" s="74"/>
      <c r="Q114" s="74"/>
      <c r="R114" s="86"/>
      <c r="S114" s="46">
        <v>0</v>
      </c>
      <c r="T114" s="46">
        <v>3</v>
      </c>
      <c r="U114" s="47">
        <v>14</v>
      </c>
      <c r="V114" s="47">
        <v>0.010322</v>
      </c>
      <c r="W114" s="47">
        <v>0</v>
      </c>
      <c r="X114" s="47">
        <v>0.003406</v>
      </c>
      <c r="Y114" s="47">
        <v>0</v>
      </c>
      <c r="Z114" s="47">
        <v>0</v>
      </c>
      <c r="AA114" s="69">
        <v>114</v>
      </c>
      <c r="AB114" s="69"/>
      <c r="AC114" s="70"/>
      <c r="AD114" s="76" t="s">
        <v>5980</v>
      </c>
      <c r="AE114" s="83" t="s">
        <v>5802</v>
      </c>
      <c r="AF114" s="76">
        <v>29</v>
      </c>
      <c r="AG114" s="76">
        <v>91</v>
      </c>
      <c r="AH114" s="76">
        <v>38</v>
      </c>
      <c r="AI114" s="76">
        <v>0</v>
      </c>
      <c r="AJ114" s="76">
        <v>112</v>
      </c>
      <c r="AK114" s="76">
        <v>8</v>
      </c>
      <c r="AL114" s="76" t="b">
        <v>0</v>
      </c>
      <c r="AM114" s="78">
        <v>42462.46210648148</v>
      </c>
      <c r="AN114" s="76"/>
      <c r="AO114" s="76"/>
      <c r="AP114" s="76"/>
      <c r="AQ114" s="76"/>
      <c r="AR114" s="76"/>
      <c r="AS114" s="76"/>
      <c r="AT114" s="76"/>
      <c r="AU114" s="76"/>
      <c r="AV114" s="76"/>
      <c r="AW114" s="76"/>
      <c r="AX114" s="76" t="b">
        <v>0</v>
      </c>
      <c r="AY114" s="76"/>
      <c r="AZ114" s="76"/>
      <c r="BA114" s="76" t="b">
        <v>0</v>
      </c>
      <c r="BB114" s="76" t="b">
        <v>1</v>
      </c>
      <c r="BC114" s="76" t="b">
        <v>1</v>
      </c>
      <c r="BD114" s="76" t="b">
        <v>0</v>
      </c>
      <c r="BE114" s="76" t="b">
        <v>1</v>
      </c>
      <c r="BF114" s="76" t="b">
        <v>0</v>
      </c>
      <c r="BG114" s="76" t="b">
        <v>0</v>
      </c>
      <c r="BH114" s="76"/>
      <c r="BI114" s="76"/>
      <c r="BJ114" s="76" t="s">
        <v>7188</v>
      </c>
      <c r="BK114" s="76" t="b">
        <v>0</v>
      </c>
      <c r="BL114" s="76"/>
      <c r="BM114" s="76" t="s">
        <v>66</v>
      </c>
      <c r="BN114" s="76" t="s">
        <v>7190</v>
      </c>
      <c r="BO114" s="82" t="str">
        <f>HYPERLINK("https://twitter.com/dushyant_pimple")</f>
        <v>https://twitter.com/dushyant_pimple</v>
      </c>
      <c r="BP114" s="46"/>
      <c r="BQ114" s="46"/>
      <c r="BR114" s="46"/>
      <c r="BS114" s="46"/>
      <c r="BT114" s="46"/>
      <c r="BU114" s="46"/>
      <c r="BV114" s="105" t="s">
        <v>7848</v>
      </c>
      <c r="BW114" s="105" t="s">
        <v>7848</v>
      </c>
      <c r="BX114" s="105" t="s">
        <v>8079</v>
      </c>
      <c r="BY114" s="105" t="s">
        <v>8079</v>
      </c>
      <c r="BZ114" s="2"/>
    </row>
    <row r="115" spans="1:78" ht="15">
      <c r="A115" s="62" t="s">
        <v>462</v>
      </c>
      <c r="B115" s="63"/>
      <c r="C115" s="63"/>
      <c r="D115" s="64"/>
      <c r="E115" s="66"/>
      <c r="F115" s="100" t="str">
        <f>HYPERLINK("https://pbs.twimg.com/profile_images/1172400284913373185/H_L4Jxro_normal.jpg")</f>
        <v>https://pbs.twimg.com/profile_images/1172400284913373185/H_L4Jxro_normal.jpg</v>
      </c>
      <c r="G115" s="63"/>
      <c r="H115" s="67"/>
      <c r="I115" s="68"/>
      <c r="J115" s="68"/>
      <c r="K115" s="67" t="s">
        <v>7302</v>
      </c>
      <c r="L115" s="71"/>
      <c r="M115" s="72">
        <v>3334.508056640625</v>
      </c>
      <c r="N115" s="72">
        <v>1311.130615234375</v>
      </c>
      <c r="O115" s="73"/>
      <c r="P115" s="74"/>
      <c r="Q115" s="74"/>
      <c r="R115" s="86"/>
      <c r="S115" s="46">
        <v>1</v>
      </c>
      <c r="T115" s="46">
        <v>0</v>
      </c>
      <c r="U115" s="47">
        <v>0</v>
      </c>
      <c r="V115" s="47">
        <v>0.006569</v>
      </c>
      <c r="W115" s="47">
        <v>0</v>
      </c>
      <c r="X115" s="47">
        <v>0.00262</v>
      </c>
      <c r="Y115" s="47">
        <v>0</v>
      </c>
      <c r="Z115" s="47">
        <v>0</v>
      </c>
      <c r="AA115" s="69">
        <v>115</v>
      </c>
      <c r="AB115" s="69"/>
      <c r="AC115" s="70"/>
      <c r="AD115" s="76" t="s">
        <v>5981</v>
      </c>
      <c r="AE115" s="83" t="s">
        <v>6284</v>
      </c>
      <c r="AF115" s="76">
        <v>154216</v>
      </c>
      <c r="AG115" s="76">
        <v>11</v>
      </c>
      <c r="AH115" s="76">
        <v>738</v>
      </c>
      <c r="AI115" s="76">
        <v>118</v>
      </c>
      <c r="AJ115" s="76">
        <v>299</v>
      </c>
      <c r="AK115" s="76">
        <v>288</v>
      </c>
      <c r="AL115" s="76" t="b">
        <v>0</v>
      </c>
      <c r="AM115" s="78">
        <v>42710.42806712963</v>
      </c>
      <c r="AN115" s="76" t="s">
        <v>3895</v>
      </c>
      <c r="AO115" s="76" t="s">
        <v>6737</v>
      </c>
      <c r="AP115" s="76"/>
      <c r="AQ115" s="76"/>
      <c r="AR115" s="76"/>
      <c r="AS115" s="76"/>
      <c r="AT115" s="76"/>
      <c r="AU115" s="76"/>
      <c r="AV115" s="76"/>
      <c r="AW115" s="76"/>
      <c r="AX115" s="76" t="b">
        <v>1</v>
      </c>
      <c r="AY115" s="76"/>
      <c r="AZ115" s="76"/>
      <c r="BA115" s="76" t="b">
        <v>0</v>
      </c>
      <c r="BB115" s="76" t="b">
        <v>0</v>
      </c>
      <c r="BC115" s="76" t="b">
        <v>1</v>
      </c>
      <c r="BD115" s="76" t="b">
        <v>0</v>
      </c>
      <c r="BE115" s="76" t="b">
        <v>0</v>
      </c>
      <c r="BF115" s="76" t="b">
        <v>0</v>
      </c>
      <c r="BG115" s="76" t="b">
        <v>0</v>
      </c>
      <c r="BH115" s="76"/>
      <c r="BI115" s="76"/>
      <c r="BJ115" s="76" t="s">
        <v>7188</v>
      </c>
      <c r="BK115" s="76" t="b">
        <v>0</v>
      </c>
      <c r="BL115" s="76"/>
      <c r="BM115" s="76" t="s">
        <v>65</v>
      </c>
      <c r="BN115" s="76" t="s">
        <v>7190</v>
      </c>
      <c r="BO115" s="82" t="str">
        <f>HYPERLINK("https://twitter.com/commissionrghmc")</f>
        <v>https://twitter.com/commissionrghmc</v>
      </c>
      <c r="BP115" s="46"/>
      <c r="BQ115" s="46"/>
      <c r="BR115" s="46"/>
      <c r="BS115" s="46"/>
      <c r="BT115" s="46"/>
      <c r="BU115" s="46"/>
      <c r="BV115" s="46"/>
      <c r="BW115" s="46"/>
      <c r="BX115" s="46"/>
      <c r="BY115" s="46"/>
      <c r="BZ115" s="2"/>
    </row>
    <row r="116" spans="1:78" ht="15">
      <c r="A116" s="62" t="s">
        <v>463</v>
      </c>
      <c r="B116" s="63"/>
      <c r="C116" s="63"/>
      <c r="D116" s="64"/>
      <c r="E116" s="66"/>
      <c r="F116" s="100" t="str">
        <f>HYPERLINK("https://pbs.twimg.com/profile_images/1621478347581853698/vLmib8VZ_normal.jpg")</f>
        <v>https://pbs.twimg.com/profile_images/1621478347581853698/vLmib8VZ_normal.jpg</v>
      </c>
      <c r="G116" s="63"/>
      <c r="H116" s="67"/>
      <c r="I116" s="68"/>
      <c r="J116" s="68"/>
      <c r="K116" s="67" t="s">
        <v>7303</v>
      </c>
      <c r="L116" s="71"/>
      <c r="M116" s="72">
        <v>3361.14794921875</v>
      </c>
      <c r="N116" s="72">
        <v>1206.22998046875</v>
      </c>
      <c r="O116" s="73"/>
      <c r="P116" s="74"/>
      <c r="Q116" s="74"/>
      <c r="R116" s="86"/>
      <c r="S116" s="46">
        <v>1</v>
      </c>
      <c r="T116" s="46">
        <v>0</v>
      </c>
      <c r="U116" s="47">
        <v>0</v>
      </c>
      <c r="V116" s="47">
        <v>0.006569</v>
      </c>
      <c r="W116" s="47">
        <v>0</v>
      </c>
      <c r="X116" s="47">
        <v>0.00262</v>
      </c>
      <c r="Y116" s="47">
        <v>0</v>
      </c>
      <c r="Z116" s="47">
        <v>0</v>
      </c>
      <c r="AA116" s="69">
        <v>116</v>
      </c>
      <c r="AB116" s="69"/>
      <c r="AC116" s="70"/>
      <c r="AD116" s="76" t="s">
        <v>5982</v>
      </c>
      <c r="AE116" s="83" t="s">
        <v>6285</v>
      </c>
      <c r="AF116" s="76">
        <v>2236</v>
      </c>
      <c r="AG116" s="76">
        <v>1</v>
      </c>
      <c r="AH116" s="76">
        <v>1</v>
      </c>
      <c r="AI116" s="76">
        <v>0</v>
      </c>
      <c r="AJ116" s="76">
        <v>0</v>
      </c>
      <c r="AK116" s="76">
        <v>0</v>
      </c>
      <c r="AL116" s="76" t="b">
        <v>0</v>
      </c>
      <c r="AM116" s="78">
        <v>44904.65252314815</v>
      </c>
      <c r="AN116" s="76"/>
      <c r="AO116" s="76" t="s">
        <v>6738</v>
      </c>
      <c r="AP116" s="76"/>
      <c r="AQ116" s="76"/>
      <c r="AR116" s="76"/>
      <c r="AS116" s="76"/>
      <c r="AT116" s="76"/>
      <c r="AU116" s="76"/>
      <c r="AV116" s="76">
        <v>1.61815327783692E+18</v>
      </c>
      <c r="AW116" s="76"/>
      <c r="AX116" s="76" t="b">
        <v>0</v>
      </c>
      <c r="AY116" s="76"/>
      <c r="AZ116" s="76"/>
      <c r="BA116" s="76" t="b">
        <v>0</v>
      </c>
      <c r="BB116" s="76" t="b">
        <v>1</v>
      </c>
      <c r="BC116" s="76" t="b">
        <v>1</v>
      </c>
      <c r="BD116" s="76" t="b">
        <v>0</v>
      </c>
      <c r="BE116" s="76" t="b">
        <v>0</v>
      </c>
      <c r="BF116" s="76" t="b">
        <v>0</v>
      </c>
      <c r="BG116" s="76" t="b">
        <v>0</v>
      </c>
      <c r="BH116" s="82" t="str">
        <f>HYPERLINK("https://pbs.twimg.com/profile_banners/1601240095192797185/1679912673")</f>
        <v>https://pbs.twimg.com/profile_banners/1601240095192797185/1679912673</v>
      </c>
      <c r="BI116" s="76"/>
      <c r="BJ116" s="76" t="s">
        <v>7188</v>
      </c>
      <c r="BK116" s="76" t="b">
        <v>0</v>
      </c>
      <c r="BL116" s="76"/>
      <c r="BM116" s="76" t="s">
        <v>65</v>
      </c>
      <c r="BN116" s="76" t="s">
        <v>7190</v>
      </c>
      <c r="BO116" s="82" t="str">
        <f>HYPERLINK("https://twitter.com/ktrtrs")</f>
        <v>https://twitter.com/ktrtrs</v>
      </c>
      <c r="BP116" s="46"/>
      <c r="BQ116" s="46"/>
      <c r="BR116" s="46"/>
      <c r="BS116" s="46"/>
      <c r="BT116" s="46"/>
      <c r="BU116" s="46"/>
      <c r="BV116" s="46"/>
      <c r="BW116" s="46"/>
      <c r="BX116" s="46"/>
      <c r="BY116" s="46"/>
      <c r="BZ116" s="2"/>
    </row>
    <row r="117" spans="1:78" ht="15">
      <c r="A117" s="62" t="s">
        <v>290</v>
      </c>
      <c r="B117" s="63"/>
      <c r="C117" s="63"/>
      <c r="D117" s="64"/>
      <c r="E117" s="66"/>
      <c r="F117" s="100" t="str">
        <f>HYPERLINK("https://pbs.twimg.com/profile_images/1541121572014104576/GZKckkTs_normal.jpg")</f>
        <v>https://pbs.twimg.com/profile_images/1541121572014104576/GZKckkTs_normal.jpg</v>
      </c>
      <c r="G117" s="63"/>
      <c r="H117" s="67"/>
      <c r="I117" s="68"/>
      <c r="J117" s="68"/>
      <c r="K117" s="67" t="s">
        <v>7304</v>
      </c>
      <c r="L117" s="71"/>
      <c r="M117" s="72">
        <v>3387.78759765625</v>
      </c>
      <c r="N117" s="72">
        <v>1106.247802734375</v>
      </c>
      <c r="O117" s="73"/>
      <c r="P117" s="74"/>
      <c r="Q117" s="74"/>
      <c r="R117" s="86"/>
      <c r="S117" s="46">
        <v>1</v>
      </c>
      <c r="T117" s="46">
        <v>1</v>
      </c>
      <c r="U117" s="47">
        <v>0</v>
      </c>
      <c r="V117" s="47">
        <v>0</v>
      </c>
      <c r="W117" s="47">
        <v>0</v>
      </c>
      <c r="X117" s="47">
        <v>0.002882</v>
      </c>
      <c r="Y117" s="47">
        <v>0</v>
      </c>
      <c r="Z117" s="47">
        <v>0</v>
      </c>
      <c r="AA117" s="69">
        <v>117</v>
      </c>
      <c r="AB117" s="69"/>
      <c r="AC117" s="70"/>
      <c r="AD117" s="76" t="s">
        <v>5983</v>
      </c>
      <c r="AE117" s="83" t="s">
        <v>6286</v>
      </c>
      <c r="AF117" s="76">
        <v>384</v>
      </c>
      <c r="AG117" s="76">
        <v>1760</v>
      </c>
      <c r="AH117" s="76">
        <v>27912</v>
      </c>
      <c r="AI117" s="76">
        <v>2</v>
      </c>
      <c r="AJ117" s="76">
        <v>92207</v>
      </c>
      <c r="AK117" s="76">
        <v>229</v>
      </c>
      <c r="AL117" s="76" t="b">
        <v>0</v>
      </c>
      <c r="AM117" s="78">
        <v>40705.64111111111</v>
      </c>
      <c r="AN117" s="76" t="s">
        <v>6522</v>
      </c>
      <c r="AO117" s="76" t="s">
        <v>6739</v>
      </c>
      <c r="AP117" s="76"/>
      <c r="AQ117" s="76"/>
      <c r="AR117" s="76"/>
      <c r="AS117" s="76"/>
      <c r="AT117" s="76"/>
      <c r="AU117" s="76"/>
      <c r="AV117" s="76"/>
      <c r="AW117" s="76"/>
      <c r="AX117" s="76" t="b">
        <v>0</v>
      </c>
      <c r="AY117" s="76"/>
      <c r="AZ117" s="76"/>
      <c r="BA117" s="76" t="b">
        <v>0</v>
      </c>
      <c r="BB117" s="76" t="b">
        <v>0</v>
      </c>
      <c r="BC117" s="76" t="b">
        <v>1</v>
      </c>
      <c r="BD117" s="76" t="b">
        <v>0</v>
      </c>
      <c r="BE117" s="76" t="b">
        <v>1</v>
      </c>
      <c r="BF117" s="76" t="b">
        <v>0</v>
      </c>
      <c r="BG117" s="76" t="b">
        <v>0</v>
      </c>
      <c r="BH117" s="82" t="str">
        <f>HYPERLINK("https://pbs.twimg.com/profile_banners/315255615/1656267147")</f>
        <v>https://pbs.twimg.com/profile_banners/315255615/1656267147</v>
      </c>
      <c r="BI117" s="76"/>
      <c r="BJ117" s="76" t="s">
        <v>7188</v>
      </c>
      <c r="BK117" s="76" t="b">
        <v>0</v>
      </c>
      <c r="BL117" s="76"/>
      <c r="BM117" s="76" t="s">
        <v>66</v>
      </c>
      <c r="BN117" s="76" t="s">
        <v>7190</v>
      </c>
      <c r="BO117" s="82" t="str">
        <f>HYPERLINK("https://twitter.com/lostboyraskal")</f>
        <v>https://twitter.com/lostboyraskal</v>
      </c>
      <c r="BP117" s="46"/>
      <c r="BQ117" s="46"/>
      <c r="BR117" s="46"/>
      <c r="BS117" s="46"/>
      <c r="BT117" s="46"/>
      <c r="BU117" s="46"/>
      <c r="BV117" s="105" t="s">
        <v>7849</v>
      </c>
      <c r="BW117" s="105" t="s">
        <v>7849</v>
      </c>
      <c r="BX117" s="105" t="s">
        <v>8080</v>
      </c>
      <c r="BY117" s="105" t="s">
        <v>8080</v>
      </c>
      <c r="BZ117" s="2"/>
    </row>
    <row r="118" spans="1:78" ht="15">
      <c r="A118" s="62" t="s">
        <v>291</v>
      </c>
      <c r="B118" s="63"/>
      <c r="C118" s="63"/>
      <c r="D118" s="64"/>
      <c r="E118" s="66"/>
      <c r="F118" s="100" t="str">
        <f>HYPERLINK("https://pbs.twimg.com/profile_images/1686615079062560768/-3bNoasj_normal.jpg")</f>
        <v>https://pbs.twimg.com/profile_images/1686615079062560768/-3bNoasj_normal.jpg</v>
      </c>
      <c r="G118" s="63"/>
      <c r="H118" s="67"/>
      <c r="I118" s="68"/>
      <c r="J118" s="68"/>
      <c r="K118" s="67" t="s">
        <v>7305</v>
      </c>
      <c r="L118" s="71"/>
      <c r="M118" s="72">
        <v>3414.427734375</v>
      </c>
      <c r="N118" s="72">
        <v>1011.3123168945312</v>
      </c>
      <c r="O118" s="73"/>
      <c r="P118" s="74"/>
      <c r="Q118" s="74"/>
      <c r="R118" s="86"/>
      <c r="S118" s="46">
        <v>0</v>
      </c>
      <c r="T118" s="46">
        <v>2</v>
      </c>
      <c r="U118" s="47">
        <v>2</v>
      </c>
      <c r="V118" s="47">
        <v>0.00578</v>
      </c>
      <c r="W118" s="47">
        <v>0</v>
      </c>
      <c r="X118" s="47">
        <v>0.003258</v>
      </c>
      <c r="Y118" s="47">
        <v>0</v>
      </c>
      <c r="Z118" s="47">
        <v>0</v>
      </c>
      <c r="AA118" s="69">
        <v>118</v>
      </c>
      <c r="AB118" s="69"/>
      <c r="AC118" s="70"/>
      <c r="AD118" s="76" t="s">
        <v>5984</v>
      </c>
      <c r="AE118" s="83" t="s">
        <v>6287</v>
      </c>
      <c r="AF118" s="76">
        <v>389</v>
      </c>
      <c r="AG118" s="76">
        <v>468</v>
      </c>
      <c r="AH118" s="76">
        <v>16941</v>
      </c>
      <c r="AI118" s="76">
        <v>2</v>
      </c>
      <c r="AJ118" s="76">
        <v>108050</v>
      </c>
      <c r="AK118" s="76">
        <v>1278</v>
      </c>
      <c r="AL118" s="76" t="b">
        <v>0</v>
      </c>
      <c r="AM118" s="78">
        <v>40439.85252314815</v>
      </c>
      <c r="AN118" s="76"/>
      <c r="AO118" s="76" t="s">
        <v>6740</v>
      </c>
      <c r="AP118" s="76"/>
      <c r="AQ118" s="76"/>
      <c r="AR118" s="76"/>
      <c r="AS118" s="76"/>
      <c r="AT118" s="76"/>
      <c r="AU118" s="76"/>
      <c r="AV118" s="76"/>
      <c r="AW118" s="76"/>
      <c r="AX118" s="76" t="b">
        <v>0</v>
      </c>
      <c r="AY118" s="76"/>
      <c r="AZ118" s="76"/>
      <c r="BA118" s="76" t="b">
        <v>0</v>
      </c>
      <c r="BB118" s="76" t="b">
        <v>0</v>
      </c>
      <c r="BC118" s="76" t="b">
        <v>0</v>
      </c>
      <c r="BD118" s="76" t="b">
        <v>0</v>
      </c>
      <c r="BE118" s="76" t="b">
        <v>1</v>
      </c>
      <c r="BF118" s="76" t="b">
        <v>0</v>
      </c>
      <c r="BG118" s="76" t="b">
        <v>0</v>
      </c>
      <c r="BH118" s="82" t="str">
        <f>HYPERLINK("https://pbs.twimg.com/profile_banners/192324060/1703008020")</f>
        <v>https://pbs.twimg.com/profile_banners/192324060/1703008020</v>
      </c>
      <c r="BI118" s="76"/>
      <c r="BJ118" s="76" t="s">
        <v>7188</v>
      </c>
      <c r="BK118" s="76" t="b">
        <v>0</v>
      </c>
      <c r="BL118" s="76"/>
      <c r="BM118" s="76" t="s">
        <v>66</v>
      </c>
      <c r="BN118" s="76" t="s">
        <v>7190</v>
      </c>
      <c r="BO118" s="82" t="str">
        <f>HYPERLINK("https://twitter.com/amadahamy")</f>
        <v>https://twitter.com/amadahamy</v>
      </c>
      <c r="BP118" s="46"/>
      <c r="BQ118" s="46"/>
      <c r="BR118" s="46"/>
      <c r="BS118" s="46"/>
      <c r="BT118" s="46"/>
      <c r="BU118" s="46"/>
      <c r="BV118" s="105" t="s">
        <v>7850</v>
      </c>
      <c r="BW118" s="105" t="s">
        <v>7850</v>
      </c>
      <c r="BX118" s="105" t="s">
        <v>8081</v>
      </c>
      <c r="BY118" s="105" t="s">
        <v>8081</v>
      </c>
      <c r="BZ118" s="2"/>
    </row>
    <row r="119" spans="1:78" ht="15">
      <c r="A119" s="62" t="s">
        <v>464</v>
      </c>
      <c r="B119" s="63"/>
      <c r="C119" s="63"/>
      <c r="D119" s="64"/>
      <c r="E119" s="66"/>
      <c r="F119" s="100" t="str">
        <f>HYPERLINK("https://pbs.twimg.com/profile_images/1733140671840526336/9dygohPw_normal.jpg")</f>
        <v>https://pbs.twimg.com/profile_images/1733140671840526336/9dygohPw_normal.jpg</v>
      </c>
      <c r="G119" s="63"/>
      <c r="H119" s="67"/>
      <c r="I119" s="68"/>
      <c r="J119" s="68"/>
      <c r="K119" s="67" t="s">
        <v>7306</v>
      </c>
      <c r="L119" s="71"/>
      <c r="M119" s="72">
        <v>3441.067138671875</v>
      </c>
      <c r="N119" s="72">
        <v>921.5471801757812</v>
      </c>
      <c r="O119" s="73"/>
      <c r="P119" s="74"/>
      <c r="Q119" s="74"/>
      <c r="R119" s="86"/>
      <c r="S119" s="46">
        <v>1</v>
      </c>
      <c r="T119" s="46">
        <v>0</v>
      </c>
      <c r="U119" s="47">
        <v>0</v>
      </c>
      <c r="V119" s="47">
        <v>0.003854</v>
      </c>
      <c r="W119" s="47">
        <v>0</v>
      </c>
      <c r="X119" s="47">
        <v>0.002694</v>
      </c>
      <c r="Y119" s="47">
        <v>0</v>
      </c>
      <c r="Z119" s="47">
        <v>0</v>
      </c>
      <c r="AA119" s="69">
        <v>119</v>
      </c>
      <c r="AB119" s="69"/>
      <c r="AC119" s="70"/>
      <c r="AD119" s="76" t="s">
        <v>5985</v>
      </c>
      <c r="AE119" s="83" t="s">
        <v>6288</v>
      </c>
      <c r="AF119" s="76">
        <v>576547</v>
      </c>
      <c r="AG119" s="76">
        <v>1536</v>
      </c>
      <c r="AH119" s="76">
        <v>18957</v>
      </c>
      <c r="AI119" s="76">
        <v>2657</v>
      </c>
      <c r="AJ119" s="76">
        <v>1216</v>
      </c>
      <c r="AK119" s="76">
        <v>3013</v>
      </c>
      <c r="AL119" s="76" t="b">
        <v>0</v>
      </c>
      <c r="AM119" s="78">
        <v>39904.824537037035</v>
      </c>
      <c r="AN119" s="76" t="s">
        <v>6523</v>
      </c>
      <c r="AO119" s="76" t="s">
        <v>6741</v>
      </c>
      <c r="AP119" s="82" t="str">
        <f>HYPERLINK("https://t.co/FuZvp8yx4e")</f>
        <v>https://t.co/FuZvp8yx4e</v>
      </c>
      <c r="AQ119" s="82" t="str">
        <f>HYPERLINK("http://www.fabiorabin.com.br")</f>
        <v>http://www.fabiorabin.com.br</v>
      </c>
      <c r="AR119" s="76" t="s">
        <v>7006</v>
      </c>
      <c r="AS119" s="82" t="str">
        <f>HYPERLINK("https://t.co/9BYMyJ3CJq")</f>
        <v>https://t.co/9BYMyJ3CJq</v>
      </c>
      <c r="AT119" s="82" t="str">
        <f>HYPERLINK("http://youtube.com/fabiorabinstan")</f>
        <v>http://youtube.com/fabiorabinstan</v>
      </c>
      <c r="AU119" s="76" t="s">
        <v>7170</v>
      </c>
      <c r="AV119" s="76"/>
      <c r="AW119" s="82" t="str">
        <f>HYPERLINK("https://t.co/FuZvp8yx4e")</f>
        <v>https://t.co/FuZvp8yx4e</v>
      </c>
      <c r="AX119" s="76" t="b">
        <v>1</v>
      </c>
      <c r="AY119" s="76"/>
      <c r="AZ119" s="76"/>
      <c r="BA119" s="76" t="b">
        <v>0</v>
      </c>
      <c r="BB119" s="76" t="b">
        <v>1</v>
      </c>
      <c r="BC119" s="76" t="b">
        <v>0</v>
      </c>
      <c r="BD119" s="76" t="b">
        <v>0</v>
      </c>
      <c r="BE119" s="76" t="b">
        <v>1</v>
      </c>
      <c r="BF119" s="76" t="b">
        <v>0</v>
      </c>
      <c r="BG119" s="76" t="b">
        <v>0</v>
      </c>
      <c r="BH119" s="82" t="str">
        <f>HYPERLINK("https://pbs.twimg.com/profile_banners/28178092/1543364913")</f>
        <v>https://pbs.twimg.com/profile_banners/28178092/1543364913</v>
      </c>
      <c r="BI119" s="76"/>
      <c r="BJ119" s="76" t="s">
        <v>7188</v>
      </c>
      <c r="BK119" s="76" t="b">
        <v>0</v>
      </c>
      <c r="BL119" s="76"/>
      <c r="BM119" s="76" t="s">
        <v>65</v>
      </c>
      <c r="BN119" s="76" t="s">
        <v>7190</v>
      </c>
      <c r="BO119" s="82" t="str">
        <f>HYPERLINK("https://twitter.com/fabiorabin")</f>
        <v>https://twitter.com/fabiorabin</v>
      </c>
      <c r="BP119" s="46"/>
      <c r="BQ119" s="46"/>
      <c r="BR119" s="46"/>
      <c r="BS119" s="46"/>
      <c r="BT119" s="46"/>
      <c r="BU119" s="46"/>
      <c r="BV119" s="46"/>
      <c r="BW119" s="46"/>
      <c r="BX119" s="46"/>
      <c r="BY119" s="46"/>
      <c r="BZ119" s="2"/>
    </row>
    <row r="120" spans="1:78" ht="15">
      <c r="A120" s="62" t="s">
        <v>465</v>
      </c>
      <c r="B120" s="63"/>
      <c r="C120" s="63"/>
      <c r="D120" s="64"/>
      <c r="E120" s="66"/>
      <c r="F120" s="100" t="str">
        <f>HYPERLINK("https://pbs.twimg.com/profile_images/1594756901799084046/Y_VvVQtH_normal.jpg")</f>
        <v>https://pbs.twimg.com/profile_images/1594756901799084046/Y_VvVQtH_normal.jpg</v>
      </c>
      <c r="G120" s="63"/>
      <c r="H120" s="67"/>
      <c r="I120" s="68"/>
      <c r="J120" s="68"/>
      <c r="K120" s="67" t="s">
        <v>7307</v>
      </c>
      <c r="L120" s="71"/>
      <c r="M120" s="72">
        <v>3467.707275390625</v>
      </c>
      <c r="N120" s="72">
        <v>837.0684814453125</v>
      </c>
      <c r="O120" s="73"/>
      <c r="P120" s="74"/>
      <c r="Q120" s="74"/>
      <c r="R120" s="86"/>
      <c r="S120" s="46">
        <v>1</v>
      </c>
      <c r="T120" s="46">
        <v>0</v>
      </c>
      <c r="U120" s="47">
        <v>0</v>
      </c>
      <c r="V120" s="47">
        <v>0.003854</v>
      </c>
      <c r="W120" s="47">
        <v>0</v>
      </c>
      <c r="X120" s="47">
        <v>0.002694</v>
      </c>
      <c r="Y120" s="47">
        <v>0</v>
      </c>
      <c r="Z120" s="47">
        <v>0</v>
      </c>
      <c r="AA120" s="69">
        <v>120</v>
      </c>
      <c r="AB120" s="69"/>
      <c r="AC120" s="70"/>
      <c r="AD120" s="76" t="s">
        <v>5986</v>
      </c>
      <c r="AE120" s="83" t="s">
        <v>5731</v>
      </c>
      <c r="AF120" s="76">
        <v>31</v>
      </c>
      <c r="AG120" s="76">
        <v>80</v>
      </c>
      <c r="AH120" s="76">
        <v>4084</v>
      </c>
      <c r="AI120" s="76">
        <v>0</v>
      </c>
      <c r="AJ120" s="76">
        <v>5073</v>
      </c>
      <c r="AK120" s="76">
        <v>603</v>
      </c>
      <c r="AL120" s="76" t="b">
        <v>0</v>
      </c>
      <c r="AM120" s="78">
        <v>44563.78114583333</v>
      </c>
      <c r="AN120" s="76"/>
      <c r="AO120" s="76" t="s">
        <v>6742</v>
      </c>
      <c r="AP120" s="76"/>
      <c r="AQ120" s="76"/>
      <c r="AR120" s="76"/>
      <c r="AS120" s="76"/>
      <c r="AT120" s="76"/>
      <c r="AU120" s="76"/>
      <c r="AV120" s="76"/>
      <c r="AW120" s="76"/>
      <c r="AX120" s="76" t="b">
        <v>0</v>
      </c>
      <c r="AY120" s="76"/>
      <c r="AZ120" s="76"/>
      <c r="BA120" s="76" t="b">
        <v>0</v>
      </c>
      <c r="BB120" s="76" t="b">
        <v>0</v>
      </c>
      <c r="BC120" s="76" t="b">
        <v>1</v>
      </c>
      <c r="BD120" s="76" t="b">
        <v>0</v>
      </c>
      <c r="BE120" s="76" t="b">
        <v>1</v>
      </c>
      <c r="BF120" s="76" t="b">
        <v>0</v>
      </c>
      <c r="BG120" s="76" t="b">
        <v>0</v>
      </c>
      <c r="BH120" s="76"/>
      <c r="BI120" s="76"/>
      <c r="BJ120" s="76" t="s">
        <v>7188</v>
      </c>
      <c r="BK120" s="76" t="b">
        <v>0</v>
      </c>
      <c r="BL120" s="76"/>
      <c r="BM120" s="76" t="s">
        <v>65</v>
      </c>
      <c r="BN120" s="76" t="s">
        <v>7190</v>
      </c>
      <c r="BO120" s="82" t="str">
        <f>HYPERLINK("https://twitter.com/pquestiono")</f>
        <v>https://twitter.com/pquestiono</v>
      </c>
      <c r="BP120" s="46"/>
      <c r="BQ120" s="46"/>
      <c r="BR120" s="46"/>
      <c r="BS120" s="46"/>
      <c r="BT120" s="46"/>
      <c r="BU120" s="46"/>
      <c r="BV120" s="46"/>
      <c r="BW120" s="46"/>
      <c r="BX120" s="46"/>
      <c r="BY120" s="46"/>
      <c r="BZ120" s="2"/>
    </row>
    <row r="121" spans="1:78" ht="15">
      <c r="A121" s="62" t="s">
        <v>292</v>
      </c>
      <c r="B121" s="63"/>
      <c r="C121" s="63"/>
      <c r="D121" s="64"/>
      <c r="E121" s="66"/>
      <c r="F121" s="100" t="str">
        <f>HYPERLINK("https://pbs.twimg.com/profile_images/3640349827/1c1131ab84b6f7edefe15a53468abf06_normal.jpeg")</f>
        <v>https://pbs.twimg.com/profile_images/3640349827/1c1131ab84b6f7edefe15a53468abf06_normal.jpeg</v>
      </c>
      <c r="G121" s="63"/>
      <c r="H121" s="67"/>
      <c r="I121" s="68"/>
      <c r="J121" s="68"/>
      <c r="K121" s="67" t="s">
        <v>7308</v>
      </c>
      <c r="L121" s="71"/>
      <c r="M121" s="72">
        <v>3494.34716796875</v>
      </c>
      <c r="N121" s="72">
        <v>757.9854736328125</v>
      </c>
      <c r="O121" s="73"/>
      <c r="P121" s="74"/>
      <c r="Q121" s="74"/>
      <c r="R121" s="86"/>
      <c r="S121" s="46">
        <v>1</v>
      </c>
      <c r="T121" s="46">
        <v>1</v>
      </c>
      <c r="U121" s="47">
        <v>0</v>
      </c>
      <c r="V121" s="47">
        <v>0</v>
      </c>
      <c r="W121" s="47">
        <v>0</v>
      </c>
      <c r="X121" s="47">
        <v>0.002882</v>
      </c>
      <c r="Y121" s="47">
        <v>0</v>
      </c>
      <c r="Z121" s="47">
        <v>0</v>
      </c>
      <c r="AA121" s="69">
        <v>121</v>
      </c>
      <c r="AB121" s="69"/>
      <c r="AC121" s="70"/>
      <c r="AD121" s="76" t="s">
        <v>5987</v>
      </c>
      <c r="AE121" s="83" t="s">
        <v>6289</v>
      </c>
      <c r="AF121" s="76">
        <v>963</v>
      </c>
      <c r="AG121" s="76">
        <v>794</v>
      </c>
      <c r="AH121" s="76">
        <v>19744</v>
      </c>
      <c r="AI121" s="76">
        <v>0</v>
      </c>
      <c r="AJ121" s="76">
        <v>43</v>
      </c>
      <c r="AK121" s="76">
        <v>6</v>
      </c>
      <c r="AL121" s="76" t="b">
        <v>0</v>
      </c>
      <c r="AM121" s="78">
        <v>39862.214212962965</v>
      </c>
      <c r="AN121" s="76" t="s">
        <v>3910</v>
      </c>
      <c r="AO121" s="76"/>
      <c r="AP121" s="82" t="str">
        <f>HYPERLINK("https://t.co/8wSNPWxhXD")</f>
        <v>https://t.co/8wSNPWxhXD</v>
      </c>
      <c r="AQ121" s="82" t="str">
        <f>HYPERLINK("http://www.edugear.in")</f>
        <v>http://www.edugear.in</v>
      </c>
      <c r="AR121" s="76" t="s">
        <v>7007</v>
      </c>
      <c r="AS121" s="76"/>
      <c r="AT121" s="76"/>
      <c r="AU121" s="76"/>
      <c r="AV121" s="76">
        <v>1.59741718195157E+18</v>
      </c>
      <c r="AW121" s="82" t="str">
        <f>HYPERLINK("https://t.co/8wSNPWxhXD")</f>
        <v>https://t.co/8wSNPWxhXD</v>
      </c>
      <c r="AX121" s="76" t="b">
        <v>0</v>
      </c>
      <c r="AY121" s="76"/>
      <c r="AZ121" s="76"/>
      <c r="BA121" s="76" t="b">
        <v>0</v>
      </c>
      <c r="BB121" s="76" t="b">
        <v>1</v>
      </c>
      <c r="BC121" s="76" t="b">
        <v>1</v>
      </c>
      <c r="BD121" s="76" t="b">
        <v>0</v>
      </c>
      <c r="BE121" s="76" t="b">
        <v>0</v>
      </c>
      <c r="BF121" s="76" t="b">
        <v>0</v>
      </c>
      <c r="BG121" s="76" t="b">
        <v>0</v>
      </c>
      <c r="BH121" s="76"/>
      <c r="BI121" s="76"/>
      <c r="BJ121" s="76" t="s">
        <v>7188</v>
      </c>
      <c r="BK121" s="76" t="b">
        <v>0</v>
      </c>
      <c r="BL121" s="76"/>
      <c r="BM121" s="76" t="s">
        <v>66</v>
      </c>
      <c r="BN121" s="76" t="s">
        <v>7190</v>
      </c>
      <c r="BO121" s="82" t="str">
        <f>HYPERLINK("https://twitter.com/mpchekuri")</f>
        <v>https://twitter.com/mpchekuri</v>
      </c>
      <c r="BP121" s="46" t="s">
        <v>7627</v>
      </c>
      <c r="BQ121" s="46" t="s">
        <v>7627</v>
      </c>
      <c r="BR121" s="46" t="s">
        <v>1984</v>
      </c>
      <c r="BS121" s="46" t="s">
        <v>1984</v>
      </c>
      <c r="BT121" s="46"/>
      <c r="BU121" s="46"/>
      <c r="BV121" s="105" t="s">
        <v>7851</v>
      </c>
      <c r="BW121" s="105" t="s">
        <v>7851</v>
      </c>
      <c r="BX121" s="105" t="s">
        <v>8082</v>
      </c>
      <c r="BY121" s="105" t="s">
        <v>8082</v>
      </c>
      <c r="BZ121" s="2"/>
    </row>
    <row r="122" spans="1:78" ht="15">
      <c r="A122" s="62" t="s">
        <v>293</v>
      </c>
      <c r="B122" s="63"/>
      <c r="C122" s="63"/>
      <c r="D122" s="64"/>
      <c r="E122" s="66"/>
      <c r="F122" s="100" t="str">
        <f>HYPERLINK("https://pbs.twimg.com/profile_images/930046786521137152/zfBILylG_normal.jpg")</f>
        <v>https://pbs.twimg.com/profile_images/930046786521137152/zfBILylG_normal.jpg</v>
      </c>
      <c r="G122" s="63"/>
      <c r="H122" s="67"/>
      <c r="I122" s="68"/>
      <c r="J122" s="68"/>
      <c r="K122" s="67" t="s">
        <v>7309</v>
      </c>
      <c r="L122" s="71"/>
      <c r="M122" s="72">
        <v>3520.9873046875</v>
      </c>
      <c r="N122" s="72">
        <v>684.40087890625</v>
      </c>
      <c r="O122" s="73"/>
      <c r="P122" s="74"/>
      <c r="Q122" s="74"/>
      <c r="R122" s="86"/>
      <c r="S122" s="46">
        <v>0</v>
      </c>
      <c r="T122" s="46">
        <v>3</v>
      </c>
      <c r="U122" s="47">
        <v>698</v>
      </c>
      <c r="V122" s="47">
        <v>0.21677</v>
      </c>
      <c r="W122" s="47">
        <v>0.063014</v>
      </c>
      <c r="X122" s="47">
        <v>0.003283</v>
      </c>
      <c r="Y122" s="47">
        <v>0</v>
      </c>
      <c r="Z122" s="47">
        <v>0</v>
      </c>
      <c r="AA122" s="69">
        <v>122</v>
      </c>
      <c r="AB122" s="69"/>
      <c r="AC122" s="70"/>
      <c r="AD122" s="76" t="s">
        <v>5988</v>
      </c>
      <c r="AE122" s="83" t="s">
        <v>6290</v>
      </c>
      <c r="AF122" s="76">
        <v>6001</v>
      </c>
      <c r="AG122" s="76">
        <v>6120</v>
      </c>
      <c r="AH122" s="76">
        <v>26967</v>
      </c>
      <c r="AI122" s="76">
        <v>336</v>
      </c>
      <c r="AJ122" s="76">
        <v>36418</v>
      </c>
      <c r="AK122" s="76">
        <v>9844</v>
      </c>
      <c r="AL122" s="76" t="b">
        <v>0</v>
      </c>
      <c r="AM122" s="78">
        <v>42079.73489583333</v>
      </c>
      <c r="AN122" s="76" t="s">
        <v>6524</v>
      </c>
      <c r="AO122" s="76" t="s">
        <v>6743</v>
      </c>
      <c r="AP122" s="82" t="str">
        <f>HYPERLINK("https://t.co/7DZmdqo0JW")</f>
        <v>https://t.co/7DZmdqo0JW</v>
      </c>
      <c r="AQ122" s="82" t="str">
        <f>HYPERLINK("http://jetruby.com/?rs=twitter-profile")</f>
        <v>http://jetruby.com/?rs=twitter-profile</v>
      </c>
      <c r="AR122" s="76" t="s">
        <v>7008</v>
      </c>
      <c r="AS122" s="82" t="str">
        <f>HYPERLINK("https://t.co/NE8E1rsE50")</f>
        <v>https://t.co/NE8E1rsE50</v>
      </c>
      <c r="AT122" s="82" t="str">
        <f>HYPERLINK("http://bit.ly/2fsOQVW")</f>
        <v>http://bit.ly/2fsOQVW</v>
      </c>
      <c r="AU122" s="76" t="s">
        <v>7171</v>
      </c>
      <c r="AV122" s="76">
        <v>1.2173663949265E+18</v>
      </c>
      <c r="AW122" s="82" t="str">
        <f>HYPERLINK("https://t.co/7DZmdqo0JW")</f>
        <v>https://t.co/7DZmdqo0JW</v>
      </c>
      <c r="AX122" s="76" t="b">
        <v>0</v>
      </c>
      <c r="AY122" s="76"/>
      <c r="AZ122" s="76"/>
      <c r="BA122" s="76" t="b">
        <v>1</v>
      </c>
      <c r="BB122" s="76" t="b">
        <v>1</v>
      </c>
      <c r="BC122" s="76" t="b">
        <v>0</v>
      </c>
      <c r="BD122" s="76" t="b">
        <v>0</v>
      </c>
      <c r="BE122" s="76" t="b">
        <v>1</v>
      </c>
      <c r="BF122" s="76" t="b">
        <v>0</v>
      </c>
      <c r="BG122" s="76" t="b">
        <v>0</v>
      </c>
      <c r="BH122" s="82" t="str">
        <f>HYPERLINK("https://pbs.twimg.com/profile_banners/3092433987/1677077068")</f>
        <v>https://pbs.twimg.com/profile_banners/3092433987/1677077068</v>
      </c>
      <c r="BI122" s="76"/>
      <c r="BJ122" s="76" t="s">
        <v>7188</v>
      </c>
      <c r="BK122" s="76" t="b">
        <v>0</v>
      </c>
      <c r="BL122" s="76"/>
      <c r="BM122" s="76" t="s">
        <v>66</v>
      </c>
      <c r="BN122" s="76" t="s">
        <v>7190</v>
      </c>
      <c r="BO122" s="82" t="str">
        <f>HYPERLINK("https://twitter.com/jetrubyagency")</f>
        <v>https://twitter.com/jetrubyagency</v>
      </c>
      <c r="BP122" s="46"/>
      <c r="BQ122" s="46"/>
      <c r="BR122" s="46"/>
      <c r="BS122" s="46"/>
      <c r="BT122" s="46"/>
      <c r="BU122" s="46"/>
      <c r="BV122" s="105" t="s">
        <v>7852</v>
      </c>
      <c r="BW122" s="105" t="s">
        <v>7852</v>
      </c>
      <c r="BX122" s="105" t="s">
        <v>8083</v>
      </c>
      <c r="BY122" s="105" t="s">
        <v>8083</v>
      </c>
      <c r="BZ122" s="2"/>
    </row>
    <row r="123" spans="1:78" ht="15">
      <c r="A123" s="62" t="s">
        <v>466</v>
      </c>
      <c r="B123" s="63"/>
      <c r="C123" s="63"/>
      <c r="D123" s="64"/>
      <c r="E123" s="66"/>
      <c r="F123" s="100" t="str">
        <f>HYPERLINK("https://pbs.twimg.com/profile_images/1020108877638094853/7St9UJfM_normal.jpg")</f>
        <v>https://pbs.twimg.com/profile_images/1020108877638094853/7St9UJfM_normal.jpg</v>
      </c>
      <c r="G123" s="63"/>
      <c r="H123" s="67"/>
      <c r="I123" s="68"/>
      <c r="J123" s="68"/>
      <c r="K123" s="67" t="s">
        <v>7310</v>
      </c>
      <c r="L123" s="71"/>
      <c r="M123" s="72">
        <v>3547.626708984375</v>
      </c>
      <c r="N123" s="72">
        <v>616.4104614257812</v>
      </c>
      <c r="O123" s="73"/>
      <c r="P123" s="74"/>
      <c r="Q123" s="74"/>
      <c r="R123" s="86"/>
      <c r="S123" s="46">
        <v>1</v>
      </c>
      <c r="T123" s="46">
        <v>0</v>
      </c>
      <c r="U123" s="47">
        <v>0</v>
      </c>
      <c r="V123" s="47">
        <v>0.152255</v>
      </c>
      <c r="W123" s="47">
        <v>0.005579</v>
      </c>
      <c r="X123" s="47">
        <v>0.002614</v>
      </c>
      <c r="Y123" s="47">
        <v>0</v>
      </c>
      <c r="Z123" s="47">
        <v>0</v>
      </c>
      <c r="AA123" s="69">
        <v>123</v>
      </c>
      <c r="AB123" s="69"/>
      <c r="AC123" s="70"/>
      <c r="AD123" s="76" t="s">
        <v>5989</v>
      </c>
      <c r="AE123" s="83" t="s">
        <v>6291</v>
      </c>
      <c r="AF123" s="76">
        <v>5386</v>
      </c>
      <c r="AG123" s="76">
        <v>2062</v>
      </c>
      <c r="AH123" s="76">
        <v>4096</v>
      </c>
      <c r="AI123" s="76">
        <v>103</v>
      </c>
      <c r="AJ123" s="76">
        <v>196</v>
      </c>
      <c r="AK123" s="76">
        <v>587</v>
      </c>
      <c r="AL123" s="76" t="b">
        <v>0</v>
      </c>
      <c r="AM123" s="78">
        <v>39674.78456018519</v>
      </c>
      <c r="AN123" s="76" t="s">
        <v>6525</v>
      </c>
      <c r="AO123" s="76" t="s">
        <v>6744</v>
      </c>
      <c r="AP123" s="82" t="str">
        <f>HYPERLINK("https://t.co/AcMaJawcRz")</f>
        <v>https://t.co/AcMaJawcRz</v>
      </c>
      <c r="AQ123" s="82" t="str">
        <f>HYPERLINK("http://www.skotwaldron.com")</f>
        <v>http://www.skotwaldron.com</v>
      </c>
      <c r="AR123" s="76" t="s">
        <v>7009</v>
      </c>
      <c r="AS123" s="76"/>
      <c r="AT123" s="76"/>
      <c r="AU123" s="76"/>
      <c r="AV123" s="76"/>
      <c r="AW123" s="82" t="str">
        <f>HYPERLINK("https://t.co/AcMaJawcRz")</f>
        <v>https://t.co/AcMaJawcRz</v>
      </c>
      <c r="AX123" s="76" t="b">
        <v>0</v>
      </c>
      <c r="AY123" s="76"/>
      <c r="AZ123" s="76"/>
      <c r="BA123" s="76" t="b">
        <v>0</v>
      </c>
      <c r="BB123" s="76" t="b">
        <v>1</v>
      </c>
      <c r="BC123" s="76" t="b">
        <v>0</v>
      </c>
      <c r="BD123" s="76" t="b">
        <v>0</v>
      </c>
      <c r="BE123" s="76" t="b">
        <v>0</v>
      </c>
      <c r="BF123" s="76" t="b">
        <v>0</v>
      </c>
      <c r="BG123" s="76" t="b">
        <v>0</v>
      </c>
      <c r="BH123" s="76"/>
      <c r="BI123" s="76"/>
      <c r="BJ123" s="76" t="s">
        <v>7188</v>
      </c>
      <c r="BK123" s="76" t="b">
        <v>0</v>
      </c>
      <c r="BL123" s="76"/>
      <c r="BM123" s="76" t="s">
        <v>65</v>
      </c>
      <c r="BN123" s="76" t="s">
        <v>7190</v>
      </c>
      <c r="BO123" s="82" t="str">
        <f>HYPERLINK("https://twitter.com/skotwaldron")</f>
        <v>https://twitter.com/skotwaldron</v>
      </c>
      <c r="BP123" s="46"/>
      <c r="BQ123" s="46"/>
      <c r="BR123" s="46"/>
      <c r="BS123" s="46"/>
      <c r="BT123" s="46"/>
      <c r="BU123" s="46"/>
      <c r="BV123" s="46"/>
      <c r="BW123" s="46"/>
      <c r="BX123" s="46"/>
      <c r="BY123" s="46"/>
      <c r="BZ123" s="2"/>
    </row>
    <row r="124" spans="1:78" ht="15">
      <c r="A124" s="62" t="s">
        <v>467</v>
      </c>
      <c r="B124" s="63"/>
      <c r="C124" s="63"/>
      <c r="D124" s="64"/>
      <c r="E124" s="66"/>
      <c r="F124" s="100" t="str">
        <f>HYPERLINK("https://pbs.twimg.com/profile_images/868577100873289728/A8z-n6Jl_normal.jpg")</f>
        <v>https://pbs.twimg.com/profile_images/868577100873289728/A8z-n6Jl_normal.jpg</v>
      </c>
      <c r="G124" s="63"/>
      <c r="H124" s="67"/>
      <c r="I124" s="68"/>
      <c r="J124" s="68"/>
      <c r="K124" s="67" t="s">
        <v>7311</v>
      </c>
      <c r="L124" s="71"/>
      <c r="M124" s="72">
        <v>3574.266845703125</v>
      </c>
      <c r="N124" s="72">
        <v>554.1018676757812</v>
      </c>
      <c r="O124" s="73"/>
      <c r="P124" s="74"/>
      <c r="Q124" s="74"/>
      <c r="R124" s="86"/>
      <c r="S124" s="46">
        <v>1</v>
      </c>
      <c r="T124" s="46">
        <v>0</v>
      </c>
      <c r="U124" s="47">
        <v>0</v>
      </c>
      <c r="V124" s="47">
        <v>0.152255</v>
      </c>
      <c r="W124" s="47">
        <v>0.005579</v>
      </c>
      <c r="X124" s="47">
        <v>0.002614</v>
      </c>
      <c r="Y124" s="47">
        <v>0</v>
      </c>
      <c r="Z124" s="47">
        <v>0</v>
      </c>
      <c r="AA124" s="69">
        <v>124</v>
      </c>
      <c r="AB124" s="69"/>
      <c r="AC124" s="70"/>
      <c r="AD124" s="76" t="s">
        <v>5990</v>
      </c>
      <c r="AE124" s="83" t="s">
        <v>5732</v>
      </c>
      <c r="AF124" s="76">
        <v>2568</v>
      </c>
      <c r="AG124" s="76">
        <v>1551</v>
      </c>
      <c r="AH124" s="76">
        <v>36291</v>
      </c>
      <c r="AI124" s="76">
        <v>70</v>
      </c>
      <c r="AJ124" s="76">
        <v>39720</v>
      </c>
      <c r="AK124" s="76">
        <v>77</v>
      </c>
      <c r="AL124" s="76" t="b">
        <v>0</v>
      </c>
      <c r="AM124" s="78">
        <v>42873.03246527778</v>
      </c>
      <c r="AN124" s="76" t="s">
        <v>6526</v>
      </c>
      <c r="AO124" s="76" t="s">
        <v>6745</v>
      </c>
      <c r="AP124" s="82" t="str">
        <f>HYPERLINK("https://t.co/3gjYwsUSNZ")</f>
        <v>https://t.co/3gjYwsUSNZ</v>
      </c>
      <c r="AQ124" s="82" t="str">
        <f>HYPERLINK("https://toprankvisibility.com")</f>
        <v>https://toprankvisibility.com</v>
      </c>
      <c r="AR124" s="76" t="s">
        <v>7010</v>
      </c>
      <c r="AS124" s="76"/>
      <c r="AT124" s="76"/>
      <c r="AU124" s="76"/>
      <c r="AV124" s="76">
        <v>9.86046136170369E+17</v>
      </c>
      <c r="AW124" s="82" t="str">
        <f>HYPERLINK("https://t.co/3gjYwsUSNZ")</f>
        <v>https://t.co/3gjYwsUSNZ</v>
      </c>
      <c r="AX124" s="76" t="b">
        <v>0</v>
      </c>
      <c r="AY124" s="76"/>
      <c r="AZ124" s="76"/>
      <c r="BA124" s="76" t="b">
        <v>0</v>
      </c>
      <c r="BB124" s="76" t="b">
        <v>1</v>
      </c>
      <c r="BC124" s="76" t="b">
        <v>1</v>
      </c>
      <c r="BD124" s="76" t="b">
        <v>0</v>
      </c>
      <c r="BE124" s="76" t="b">
        <v>1</v>
      </c>
      <c r="BF124" s="76" t="b">
        <v>0</v>
      </c>
      <c r="BG124" s="76" t="b">
        <v>0</v>
      </c>
      <c r="BH124" s="82" t="str">
        <f>HYPERLINK("https://pbs.twimg.com/profile_banners/865005703550844928/1495919768")</f>
        <v>https://pbs.twimg.com/profile_banners/865005703550844928/1495919768</v>
      </c>
      <c r="BI124" s="76"/>
      <c r="BJ124" s="76" t="s">
        <v>7188</v>
      </c>
      <c r="BK124" s="76" t="b">
        <v>0</v>
      </c>
      <c r="BL124" s="76"/>
      <c r="BM124" s="76" t="s">
        <v>65</v>
      </c>
      <c r="BN124" s="76" t="s">
        <v>7190</v>
      </c>
      <c r="BO124" s="82" t="str">
        <f>HYPERLINK("https://twitter.com/rankvisibility")</f>
        <v>https://twitter.com/rankvisibility</v>
      </c>
      <c r="BP124" s="46"/>
      <c r="BQ124" s="46"/>
      <c r="BR124" s="46"/>
      <c r="BS124" s="46"/>
      <c r="BT124" s="46"/>
      <c r="BU124" s="46"/>
      <c r="BV124" s="46"/>
      <c r="BW124" s="46"/>
      <c r="BX124" s="46"/>
      <c r="BY124" s="46"/>
      <c r="BZ124" s="2"/>
    </row>
    <row r="125" spans="1:78" ht="15">
      <c r="A125" s="62" t="s">
        <v>294</v>
      </c>
      <c r="B125" s="63"/>
      <c r="C125" s="63"/>
      <c r="D125" s="64"/>
      <c r="E125" s="66"/>
      <c r="F125" s="100" t="str">
        <f>HYPERLINK("https://pbs.twimg.com/profile_images/1333885239/Sachin-Tendulkar1_normal.jpg")</f>
        <v>https://pbs.twimg.com/profile_images/1333885239/Sachin-Tendulkar1_normal.jpg</v>
      </c>
      <c r="G125" s="63"/>
      <c r="H125" s="67"/>
      <c r="I125" s="68"/>
      <c r="J125" s="68"/>
      <c r="K125" s="67" t="s">
        <v>7312</v>
      </c>
      <c r="L125" s="71"/>
      <c r="M125" s="72">
        <v>3600.906494140625</v>
      </c>
      <c r="N125" s="72">
        <v>497.55572509765625</v>
      </c>
      <c r="O125" s="73"/>
      <c r="P125" s="74"/>
      <c r="Q125" s="74"/>
      <c r="R125" s="86"/>
      <c r="S125" s="46">
        <v>1</v>
      </c>
      <c r="T125" s="46">
        <v>1</v>
      </c>
      <c r="U125" s="47">
        <v>0</v>
      </c>
      <c r="V125" s="47">
        <v>0</v>
      </c>
      <c r="W125" s="47">
        <v>0</v>
      </c>
      <c r="X125" s="47">
        <v>0.002882</v>
      </c>
      <c r="Y125" s="47">
        <v>0</v>
      </c>
      <c r="Z125" s="47">
        <v>0</v>
      </c>
      <c r="AA125" s="69">
        <v>125</v>
      </c>
      <c r="AB125" s="69"/>
      <c r="AC125" s="70"/>
      <c r="AD125" s="76" t="s">
        <v>5991</v>
      </c>
      <c r="AE125" s="83" t="s">
        <v>6292</v>
      </c>
      <c r="AF125" s="76">
        <v>154</v>
      </c>
      <c r="AG125" s="76">
        <v>603</v>
      </c>
      <c r="AH125" s="76">
        <v>9650</v>
      </c>
      <c r="AI125" s="76">
        <v>1</v>
      </c>
      <c r="AJ125" s="76">
        <v>1</v>
      </c>
      <c r="AK125" s="76">
        <v>77</v>
      </c>
      <c r="AL125" s="76" t="b">
        <v>0</v>
      </c>
      <c r="AM125" s="78">
        <v>40409.54649305555</v>
      </c>
      <c r="AN125" s="76"/>
      <c r="AO125" s="76"/>
      <c r="AP125" s="82" t="str">
        <f>HYPERLINK("http://t.co/PpTbcSl9")</f>
        <v>http://t.co/PpTbcSl9</v>
      </c>
      <c r="AQ125" s="82" t="str">
        <f>HYPERLINK("http://www.fresheritjobz.blogspot.com")</f>
        <v>http://www.fresheritjobz.blogspot.com</v>
      </c>
      <c r="AR125" s="76" t="s">
        <v>7011</v>
      </c>
      <c r="AS125" s="76"/>
      <c r="AT125" s="76"/>
      <c r="AU125" s="76"/>
      <c r="AV125" s="76"/>
      <c r="AW125" s="82" t="str">
        <f>HYPERLINK("http://t.co/PpTbcSl9")</f>
        <v>http://t.co/PpTbcSl9</v>
      </c>
      <c r="AX125" s="76" t="b">
        <v>0</v>
      </c>
      <c r="AY125" s="76"/>
      <c r="AZ125" s="76"/>
      <c r="BA125" s="76" t="b">
        <v>0</v>
      </c>
      <c r="BB125" s="76" t="b">
        <v>1</v>
      </c>
      <c r="BC125" s="76" t="b">
        <v>0</v>
      </c>
      <c r="BD125" s="76" t="b">
        <v>0</v>
      </c>
      <c r="BE125" s="76" t="b">
        <v>0</v>
      </c>
      <c r="BF125" s="76" t="b">
        <v>0</v>
      </c>
      <c r="BG125" s="76" t="b">
        <v>0</v>
      </c>
      <c r="BH125" s="76"/>
      <c r="BI125" s="76"/>
      <c r="BJ125" s="76" t="s">
        <v>7188</v>
      </c>
      <c r="BK125" s="76" t="b">
        <v>0</v>
      </c>
      <c r="BL125" s="76"/>
      <c r="BM125" s="76" t="s">
        <v>66</v>
      </c>
      <c r="BN125" s="76" t="s">
        <v>7190</v>
      </c>
      <c r="BO125" s="82" t="str">
        <f>HYPERLINK("https://twitter.com/sravanthiboyapa")</f>
        <v>https://twitter.com/sravanthiboyapa</v>
      </c>
      <c r="BP125" s="46"/>
      <c r="BQ125" s="46"/>
      <c r="BR125" s="46"/>
      <c r="BS125" s="46"/>
      <c r="BT125" s="46"/>
      <c r="BU125" s="46"/>
      <c r="BV125" s="105" t="s">
        <v>7853</v>
      </c>
      <c r="BW125" s="105" t="s">
        <v>7988</v>
      </c>
      <c r="BX125" s="105" t="s">
        <v>8084</v>
      </c>
      <c r="BY125" s="105" t="s">
        <v>8213</v>
      </c>
      <c r="BZ125" s="2"/>
    </row>
    <row r="126" spans="1:78" ht="15">
      <c r="A126" s="62" t="s">
        <v>295</v>
      </c>
      <c r="B126" s="63"/>
      <c r="C126" s="63"/>
      <c r="D126" s="64"/>
      <c r="E126" s="66"/>
      <c r="F126" s="100" t="str">
        <f>HYPERLINK("https://pbs.twimg.com/profile_images/473472383635193856/x4dTQSYL_normal.jpeg")</f>
        <v>https://pbs.twimg.com/profile_images/473472383635193856/x4dTQSYL_normal.jpeg</v>
      </c>
      <c r="G126" s="63"/>
      <c r="H126" s="67"/>
      <c r="I126" s="68"/>
      <c r="J126" s="68"/>
      <c r="K126" s="67" t="s">
        <v>7313</v>
      </c>
      <c r="L126" s="71"/>
      <c r="M126" s="72">
        <v>3627.54638671875</v>
      </c>
      <c r="N126" s="72">
        <v>446.8465881347656</v>
      </c>
      <c r="O126" s="73"/>
      <c r="P126" s="74"/>
      <c r="Q126" s="74"/>
      <c r="R126" s="86"/>
      <c r="S126" s="46">
        <v>1</v>
      </c>
      <c r="T126" s="46">
        <v>1</v>
      </c>
      <c r="U126" s="47">
        <v>0</v>
      </c>
      <c r="V126" s="47">
        <v>0</v>
      </c>
      <c r="W126" s="47">
        <v>0</v>
      </c>
      <c r="X126" s="47">
        <v>0.002882</v>
      </c>
      <c r="Y126" s="47">
        <v>0</v>
      </c>
      <c r="Z126" s="47">
        <v>0</v>
      </c>
      <c r="AA126" s="69">
        <v>126</v>
      </c>
      <c r="AB126" s="69"/>
      <c r="AC126" s="70"/>
      <c r="AD126" s="76" t="s">
        <v>5992</v>
      </c>
      <c r="AE126" s="83" t="s">
        <v>6293</v>
      </c>
      <c r="AF126" s="76">
        <v>8</v>
      </c>
      <c r="AG126" s="76">
        <v>9</v>
      </c>
      <c r="AH126" s="76">
        <v>20</v>
      </c>
      <c r="AI126" s="76">
        <v>0</v>
      </c>
      <c r="AJ126" s="76">
        <v>113</v>
      </c>
      <c r="AK126" s="76">
        <v>0</v>
      </c>
      <c r="AL126" s="76" t="b">
        <v>0</v>
      </c>
      <c r="AM126" s="78">
        <v>41787.60417824074</v>
      </c>
      <c r="AN126" s="76"/>
      <c r="AO126" s="76"/>
      <c r="AP126" s="76"/>
      <c r="AQ126" s="76"/>
      <c r="AR126" s="76"/>
      <c r="AS126" s="76"/>
      <c r="AT126" s="76"/>
      <c r="AU126" s="76"/>
      <c r="AV126" s="76"/>
      <c r="AW126" s="76"/>
      <c r="AX126" s="76" t="b">
        <v>0</v>
      </c>
      <c r="AY126" s="76"/>
      <c r="AZ126" s="76"/>
      <c r="BA126" s="76" t="b">
        <v>0</v>
      </c>
      <c r="BB126" s="76" t="b">
        <v>1</v>
      </c>
      <c r="BC126" s="76" t="b">
        <v>1</v>
      </c>
      <c r="BD126" s="76" t="b">
        <v>0</v>
      </c>
      <c r="BE126" s="76" t="b">
        <v>0</v>
      </c>
      <c r="BF126" s="76" t="b">
        <v>0</v>
      </c>
      <c r="BG126" s="76" t="b">
        <v>0</v>
      </c>
      <c r="BH126" s="76"/>
      <c r="BI126" s="76"/>
      <c r="BJ126" s="76" t="s">
        <v>7188</v>
      </c>
      <c r="BK126" s="76" t="b">
        <v>0</v>
      </c>
      <c r="BL126" s="76"/>
      <c r="BM126" s="76" t="s">
        <v>66</v>
      </c>
      <c r="BN126" s="76" t="s">
        <v>7190</v>
      </c>
      <c r="BO126" s="82" t="str">
        <f>HYPERLINK("https://twitter.com/naziyamalik22")</f>
        <v>https://twitter.com/naziyamalik22</v>
      </c>
      <c r="BP126" s="46"/>
      <c r="BQ126" s="46"/>
      <c r="BR126" s="46"/>
      <c r="BS126" s="46"/>
      <c r="BT126" s="46"/>
      <c r="BU126" s="46"/>
      <c r="BV126" s="105" t="s">
        <v>7854</v>
      </c>
      <c r="BW126" s="105" t="s">
        <v>7854</v>
      </c>
      <c r="BX126" s="105" t="s">
        <v>8085</v>
      </c>
      <c r="BY126" s="105" t="s">
        <v>8085</v>
      </c>
      <c r="BZ126" s="2"/>
    </row>
    <row r="127" spans="1:78" ht="15">
      <c r="A127" s="62" t="s">
        <v>296</v>
      </c>
      <c r="B127" s="63"/>
      <c r="C127" s="63"/>
      <c r="D127" s="64"/>
      <c r="E127" s="66"/>
      <c r="F127" s="100" t="str">
        <f>HYPERLINK("https://pbs.twimg.com/profile_images/1658504223544209412/3Bg1iNdT_normal.jpg")</f>
        <v>https://pbs.twimg.com/profile_images/1658504223544209412/3Bg1iNdT_normal.jpg</v>
      </c>
      <c r="G127" s="63"/>
      <c r="H127" s="67"/>
      <c r="I127" s="68"/>
      <c r="J127" s="68"/>
      <c r="K127" s="67" t="s">
        <v>7314</v>
      </c>
      <c r="L127" s="71"/>
      <c r="M127" s="72">
        <v>3654.1865234375</v>
      </c>
      <c r="N127" s="72">
        <v>402.0386962890625</v>
      </c>
      <c r="O127" s="73"/>
      <c r="P127" s="74"/>
      <c r="Q127" s="74"/>
      <c r="R127" s="86"/>
      <c r="S127" s="46">
        <v>1</v>
      </c>
      <c r="T127" s="46">
        <v>1</v>
      </c>
      <c r="U127" s="47">
        <v>0</v>
      </c>
      <c r="V127" s="47">
        <v>0</v>
      </c>
      <c r="W127" s="47">
        <v>0</v>
      </c>
      <c r="X127" s="47">
        <v>0.002882</v>
      </c>
      <c r="Y127" s="47">
        <v>0</v>
      </c>
      <c r="Z127" s="47">
        <v>0</v>
      </c>
      <c r="AA127" s="69">
        <v>127</v>
      </c>
      <c r="AB127" s="69"/>
      <c r="AC127" s="70"/>
      <c r="AD127" s="76" t="s">
        <v>5993</v>
      </c>
      <c r="AE127" s="83" t="s">
        <v>6294</v>
      </c>
      <c r="AF127" s="76">
        <v>548</v>
      </c>
      <c r="AG127" s="76">
        <v>767</v>
      </c>
      <c r="AH127" s="76">
        <v>26411</v>
      </c>
      <c r="AI127" s="76">
        <v>61</v>
      </c>
      <c r="AJ127" s="76">
        <v>236</v>
      </c>
      <c r="AK127" s="76">
        <v>19882</v>
      </c>
      <c r="AL127" s="76" t="b">
        <v>0</v>
      </c>
      <c r="AM127" s="78">
        <v>41723.80185185185</v>
      </c>
      <c r="AN127" s="76" t="s">
        <v>6527</v>
      </c>
      <c r="AO127" s="76" t="s">
        <v>6746</v>
      </c>
      <c r="AP127" s="82" t="str">
        <f>HYPERLINK("https://t.co/BYpE7tJ2pX")</f>
        <v>https://t.co/BYpE7tJ2pX</v>
      </c>
      <c r="AQ127" s="82" t="str">
        <f>HYPERLINK("https://www.iriscrm.com")</f>
        <v>https://www.iriscrm.com</v>
      </c>
      <c r="AR127" s="76" t="s">
        <v>7012</v>
      </c>
      <c r="AS127" s="76"/>
      <c r="AT127" s="76"/>
      <c r="AU127" s="76"/>
      <c r="AV127" s="76">
        <v>1.4885015095496E+18</v>
      </c>
      <c r="AW127" s="82" t="str">
        <f>HYPERLINK("https://t.co/BYpE7tJ2pX")</f>
        <v>https://t.co/BYpE7tJ2pX</v>
      </c>
      <c r="AX127" s="76" t="b">
        <v>0</v>
      </c>
      <c r="AY127" s="76"/>
      <c r="AZ127" s="76"/>
      <c r="BA127" s="76" t="b">
        <v>0</v>
      </c>
      <c r="BB127" s="76" t="b">
        <v>1</v>
      </c>
      <c r="BC127" s="76" t="b">
        <v>1</v>
      </c>
      <c r="BD127" s="76" t="b">
        <v>0</v>
      </c>
      <c r="BE127" s="76" t="b">
        <v>0</v>
      </c>
      <c r="BF127" s="76" t="b">
        <v>0</v>
      </c>
      <c r="BG127" s="76" t="b">
        <v>0</v>
      </c>
      <c r="BH127" s="82" t="str">
        <f>HYPERLINK("https://pbs.twimg.com/profile_banners/2411431393/1684253197")</f>
        <v>https://pbs.twimg.com/profile_banners/2411431393/1684253197</v>
      </c>
      <c r="BI127" s="76"/>
      <c r="BJ127" s="76" t="s">
        <v>7188</v>
      </c>
      <c r="BK127" s="76" t="b">
        <v>0</v>
      </c>
      <c r="BL127" s="76"/>
      <c r="BM127" s="76" t="s">
        <v>66</v>
      </c>
      <c r="BN127" s="76" t="s">
        <v>7190</v>
      </c>
      <c r="BO127" s="82" t="str">
        <f>HYPERLINK("https://twitter.com/iris_crm")</f>
        <v>https://twitter.com/iris_crm</v>
      </c>
      <c r="BP127" s="46" t="s">
        <v>7628</v>
      </c>
      <c r="BQ127" s="46" t="s">
        <v>7628</v>
      </c>
      <c r="BR127" s="46" t="s">
        <v>1974</v>
      </c>
      <c r="BS127" s="46" t="s">
        <v>1974</v>
      </c>
      <c r="BT127" s="46" t="s">
        <v>1768</v>
      </c>
      <c r="BU127" s="46" t="s">
        <v>7759</v>
      </c>
      <c r="BV127" s="105" t="s">
        <v>7855</v>
      </c>
      <c r="BW127" s="105" t="s">
        <v>7855</v>
      </c>
      <c r="BX127" s="105" t="s">
        <v>8086</v>
      </c>
      <c r="BY127" s="105" t="s">
        <v>8086</v>
      </c>
      <c r="BZ127" s="2"/>
    </row>
    <row r="128" spans="1:78" ht="15">
      <c r="A128" s="62" t="s">
        <v>297</v>
      </c>
      <c r="B128" s="63"/>
      <c r="C128" s="63"/>
      <c r="D128" s="64"/>
      <c r="E128" s="66"/>
      <c r="F128" s="100" t="str">
        <f>HYPERLINK("https://pbs.twimg.com/profile_images/1253174458535182336/-WUSoSB6_normal.jpg")</f>
        <v>https://pbs.twimg.com/profile_images/1253174458535182336/-WUSoSB6_normal.jpg</v>
      </c>
      <c r="G128" s="63"/>
      <c r="H128" s="67"/>
      <c r="I128" s="68"/>
      <c r="J128" s="68"/>
      <c r="K128" s="67" t="s">
        <v>7315</v>
      </c>
      <c r="L128" s="71"/>
      <c r="M128" s="72">
        <v>3680.826416015625</v>
      </c>
      <c r="N128" s="72">
        <v>363.1903076171875</v>
      </c>
      <c r="O128" s="73"/>
      <c r="P128" s="74"/>
      <c r="Q128" s="74"/>
      <c r="R128" s="86"/>
      <c r="S128" s="46">
        <v>1</v>
      </c>
      <c r="T128" s="46">
        <v>1</v>
      </c>
      <c r="U128" s="47">
        <v>0</v>
      </c>
      <c r="V128" s="47">
        <v>0</v>
      </c>
      <c r="W128" s="47">
        <v>0</v>
      </c>
      <c r="X128" s="47">
        <v>0.002882</v>
      </c>
      <c r="Y128" s="47">
        <v>0</v>
      </c>
      <c r="Z128" s="47">
        <v>0</v>
      </c>
      <c r="AA128" s="69">
        <v>128</v>
      </c>
      <c r="AB128" s="69"/>
      <c r="AC128" s="70"/>
      <c r="AD128" s="76" t="s">
        <v>5994</v>
      </c>
      <c r="AE128" s="83" t="s">
        <v>5733</v>
      </c>
      <c r="AF128" s="76">
        <v>8714</v>
      </c>
      <c r="AG128" s="76">
        <v>2604</v>
      </c>
      <c r="AH128" s="76">
        <v>31327</v>
      </c>
      <c r="AI128" s="76">
        <v>89</v>
      </c>
      <c r="AJ128" s="76">
        <v>186904</v>
      </c>
      <c r="AK128" s="76">
        <v>1025</v>
      </c>
      <c r="AL128" s="76" t="b">
        <v>0</v>
      </c>
      <c r="AM128" s="78">
        <v>41088.06070601852</v>
      </c>
      <c r="AN128" s="76" t="s">
        <v>6528</v>
      </c>
      <c r="AO128" s="76" t="s">
        <v>6747</v>
      </c>
      <c r="AP128" s="82" t="str">
        <f>HYPERLINK("https://t.co/1WDykMNn5k")</f>
        <v>https://t.co/1WDykMNn5k</v>
      </c>
      <c r="AQ128" s="82" t="str">
        <f>HYPERLINK("https://ko-fi.com/dreamsofskies")</f>
        <v>https://ko-fi.com/dreamsofskies</v>
      </c>
      <c r="AR128" s="76" t="s">
        <v>7013</v>
      </c>
      <c r="AS128" s="76"/>
      <c r="AT128" s="76"/>
      <c r="AU128" s="76"/>
      <c r="AV128" s="76">
        <v>1.7223956744641E+18</v>
      </c>
      <c r="AW128" s="82" t="str">
        <f>HYPERLINK("https://t.co/1WDykMNn5k")</f>
        <v>https://t.co/1WDykMNn5k</v>
      </c>
      <c r="AX128" s="76" t="b">
        <v>0</v>
      </c>
      <c r="AY128" s="76"/>
      <c r="AZ128" s="76"/>
      <c r="BA128" s="76" t="b">
        <v>1</v>
      </c>
      <c r="BB128" s="76" t="b">
        <v>0</v>
      </c>
      <c r="BC128" s="76" t="b">
        <v>0</v>
      </c>
      <c r="BD128" s="76" t="b">
        <v>0</v>
      </c>
      <c r="BE128" s="76" t="b">
        <v>1</v>
      </c>
      <c r="BF128" s="76" t="b">
        <v>0</v>
      </c>
      <c r="BG128" s="76" t="b">
        <v>0</v>
      </c>
      <c r="BH128" s="82" t="str">
        <f>HYPERLINK("https://pbs.twimg.com/profile_banners/620594826/1617143803")</f>
        <v>https://pbs.twimg.com/profile_banners/620594826/1617143803</v>
      </c>
      <c r="BI128" s="76"/>
      <c r="BJ128" s="76" t="s">
        <v>7188</v>
      </c>
      <c r="BK128" s="76" t="b">
        <v>0</v>
      </c>
      <c r="BL128" s="76"/>
      <c r="BM128" s="76" t="s">
        <v>66</v>
      </c>
      <c r="BN128" s="76" t="s">
        <v>7190</v>
      </c>
      <c r="BO128" s="82" t="str">
        <f>HYPERLINK("https://twitter.com/dreamsofskies")</f>
        <v>https://twitter.com/dreamsofskies</v>
      </c>
      <c r="BP128" s="46"/>
      <c r="BQ128" s="46"/>
      <c r="BR128" s="46"/>
      <c r="BS128" s="46"/>
      <c r="BT128" s="46"/>
      <c r="BU128" s="46"/>
      <c r="BV128" s="105" t="s">
        <v>7856</v>
      </c>
      <c r="BW128" s="105" t="s">
        <v>7856</v>
      </c>
      <c r="BX128" s="105" t="s">
        <v>8087</v>
      </c>
      <c r="BY128" s="105" t="s">
        <v>8087</v>
      </c>
      <c r="BZ128" s="2"/>
    </row>
    <row r="129" spans="1:78" ht="15">
      <c r="A129" s="62" t="s">
        <v>298</v>
      </c>
      <c r="B129" s="63"/>
      <c r="C129" s="63"/>
      <c r="D129" s="64"/>
      <c r="E129" s="66"/>
      <c r="F129" s="100" t="str">
        <f>HYPERLINK("https://pbs.twimg.com/profile_images/1898119365/WritingJobsLogo_normal.jpg")</f>
        <v>https://pbs.twimg.com/profile_images/1898119365/WritingJobsLogo_normal.jpg</v>
      </c>
      <c r="G129" s="63"/>
      <c r="H129" s="67"/>
      <c r="I129" s="68"/>
      <c r="J129" s="68"/>
      <c r="K129" s="67" t="s">
        <v>7316</v>
      </c>
      <c r="L129" s="71"/>
      <c r="M129" s="72">
        <v>3707.466064453125</v>
      </c>
      <c r="N129" s="72">
        <v>363.13397216796875</v>
      </c>
      <c r="O129" s="73"/>
      <c r="P129" s="74"/>
      <c r="Q129" s="74"/>
      <c r="R129" s="86"/>
      <c r="S129" s="46">
        <v>1</v>
      </c>
      <c r="T129" s="46">
        <v>1</v>
      </c>
      <c r="U129" s="47">
        <v>0</v>
      </c>
      <c r="V129" s="47">
        <v>0</v>
      </c>
      <c r="W129" s="47">
        <v>0</v>
      </c>
      <c r="X129" s="47">
        <v>0.002882</v>
      </c>
      <c r="Y129" s="47">
        <v>0</v>
      </c>
      <c r="Z129" s="47">
        <v>0</v>
      </c>
      <c r="AA129" s="69">
        <v>129</v>
      </c>
      <c r="AB129" s="69"/>
      <c r="AC129" s="70"/>
      <c r="AD129" s="76" t="s">
        <v>5995</v>
      </c>
      <c r="AE129" s="83" t="s">
        <v>6295</v>
      </c>
      <c r="AF129" s="76">
        <v>698</v>
      </c>
      <c r="AG129" s="76">
        <v>0</v>
      </c>
      <c r="AH129" s="76">
        <v>75256</v>
      </c>
      <c r="AI129" s="76">
        <v>17</v>
      </c>
      <c r="AJ129" s="76">
        <v>0</v>
      </c>
      <c r="AK129" s="76">
        <v>3</v>
      </c>
      <c r="AL129" s="76" t="b">
        <v>0</v>
      </c>
      <c r="AM129" s="78">
        <v>40580.553136574075</v>
      </c>
      <c r="AN129" s="76"/>
      <c r="AO129" s="76"/>
      <c r="AP129" s="76"/>
      <c r="AQ129" s="76"/>
      <c r="AR129" s="76"/>
      <c r="AS129" s="76"/>
      <c r="AT129" s="76"/>
      <c r="AU129" s="76"/>
      <c r="AV129" s="76"/>
      <c r="AW129" s="76"/>
      <c r="AX129" s="76" t="b">
        <v>0</v>
      </c>
      <c r="AY129" s="76"/>
      <c r="AZ129" s="76"/>
      <c r="BA129" s="76" t="b">
        <v>0</v>
      </c>
      <c r="BB129" s="76" t="b">
        <v>1</v>
      </c>
      <c r="BC129" s="76" t="b">
        <v>1</v>
      </c>
      <c r="BD129" s="76" t="b">
        <v>0</v>
      </c>
      <c r="BE129" s="76" t="b">
        <v>0</v>
      </c>
      <c r="BF129" s="76" t="b">
        <v>0</v>
      </c>
      <c r="BG129" s="76" t="b">
        <v>0</v>
      </c>
      <c r="BH129" s="76"/>
      <c r="BI129" s="76"/>
      <c r="BJ129" s="76" t="s">
        <v>7188</v>
      </c>
      <c r="BK129" s="76" t="b">
        <v>0</v>
      </c>
      <c r="BL129" s="76"/>
      <c r="BM129" s="76" t="s">
        <v>66</v>
      </c>
      <c r="BN129" s="76" t="s">
        <v>7190</v>
      </c>
      <c r="BO129" s="82" t="str">
        <f>HYPERLINK("https://twitter.com/writingjobs_in")</f>
        <v>https://twitter.com/writingjobs_in</v>
      </c>
      <c r="BP129" s="46" t="s">
        <v>7629</v>
      </c>
      <c r="BQ129" s="46" t="s">
        <v>7629</v>
      </c>
      <c r="BR129" s="46" t="s">
        <v>1984</v>
      </c>
      <c r="BS129" s="46" t="s">
        <v>1984</v>
      </c>
      <c r="BT129" s="46" t="s">
        <v>1769</v>
      </c>
      <c r="BU129" s="46" t="s">
        <v>7760</v>
      </c>
      <c r="BV129" s="105" t="s">
        <v>7857</v>
      </c>
      <c r="BW129" s="105" t="s">
        <v>7989</v>
      </c>
      <c r="BX129" s="105" t="s">
        <v>8088</v>
      </c>
      <c r="BY129" s="105" t="s">
        <v>8214</v>
      </c>
      <c r="BZ129" s="2"/>
    </row>
    <row r="130" spans="1:78" ht="15">
      <c r="A130" s="62" t="s">
        <v>468</v>
      </c>
      <c r="B130" s="63"/>
      <c r="C130" s="63"/>
      <c r="D130" s="64"/>
      <c r="E130" s="66"/>
      <c r="F130" s="100" t="str">
        <f>HYPERLINK("https://pbs.twimg.com/profile_images/1427985325972885511/53FnFsIi_normal.jpg")</f>
        <v>https://pbs.twimg.com/profile_images/1427985325972885511/53FnFsIi_normal.jpg</v>
      </c>
      <c r="G130" s="63"/>
      <c r="H130" s="67"/>
      <c r="I130" s="68"/>
      <c r="J130" s="68"/>
      <c r="K130" s="67" t="s">
        <v>7317</v>
      </c>
      <c r="L130" s="71"/>
      <c r="M130" s="72">
        <v>3734.10595703125</v>
      </c>
      <c r="N130" s="72">
        <v>363.13397216796875</v>
      </c>
      <c r="O130" s="73"/>
      <c r="P130" s="74"/>
      <c r="Q130" s="74"/>
      <c r="R130" s="86"/>
      <c r="S130" s="46">
        <v>1</v>
      </c>
      <c r="T130" s="46">
        <v>0</v>
      </c>
      <c r="U130" s="47">
        <v>0</v>
      </c>
      <c r="V130" s="47">
        <v>0.214691</v>
      </c>
      <c r="W130" s="47">
        <v>0.062026</v>
      </c>
      <c r="X130" s="47">
        <v>0.002499</v>
      </c>
      <c r="Y130" s="47">
        <v>0</v>
      </c>
      <c r="Z130" s="47">
        <v>0</v>
      </c>
      <c r="AA130" s="69">
        <v>130</v>
      </c>
      <c r="AB130" s="69"/>
      <c r="AC130" s="70"/>
      <c r="AD130" s="76" t="s">
        <v>5996</v>
      </c>
      <c r="AE130" s="83" t="s">
        <v>6296</v>
      </c>
      <c r="AF130" s="76">
        <v>2239480</v>
      </c>
      <c r="AG130" s="76">
        <v>347</v>
      </c>
      <c r="AH130" s="76">
        <v>11582</v>
      </c>
      <c r="AI130" s="76">
        <v>14736</v>
      </c>
      <c r="AJ130" s="76">
        <v>6959</v>
      </c>
      <c r="AK130" s="76">
        <v>3327</v>
      </c>
      <c r="AL130" s="76" t="b">
        <v>0</v>
      </c>
      <c r="AM130" s="78">
        <v>40198.886041666665</v>
      </c>
      <c r="AN130" s="76" t="s">
        <v>6524</v>
      </c>
      <c r="AO130" s="76" t="s">
        <v>6748</v>
      </c>
      <c r="AP130" s="82" t="str">
        <f>HYPERLINK("https://t.co/cLFak61FrF")</f>
        <v>https://t.co/cLFak61FrF</v>
      </c>
      <c r="AQ130" s="82" t="str">
        <f>HYPERLINK("https://www.pinterest.com/")</f>
        <v>https://www.pinterest.com/</v>
      </c>
      <c r="AR130" s="76" t="s">
        <v>2002</v>
      </c>
      <c r="AS130" s="76"/>
      <c r="AT130" s="76"/>
      <c r="AU130" s="76"/>
      <c r="AV130" s="76"/>
      <c r="AW130" s="82" t="str">
        <f>HYPERLINK("https://t.co/cLFak61FrF")</f>
        <v>https://t.co/cLFak61FrF</v>
      </c>
      <c r="AX130" s="76" t="b">
        <v>1</v>
      </c>
      <c r="AY130" s="76"/>
      <c r="AZ130" s="76"/>
      <c r="BA130" s="76" t="b">
        <v>0</v>
      </c>
      <c r="BB130" s="76" t="b">
        <v>0</v>
      </c>
      <c r="BC130" s="76" t="b">
        <v>0</v>
      </c>
      <c r="BD130" s="76" t="b">
        <v>0</v>
      </c>
      <c r="BE130" s="76" t="b">
        <v>1</v>
      </c>
      <c r="BF130" s="76" t="b">
        <v>0</v>
      </c>
      <c r="BG130" s="76" t="b">
        <v>0</v>
      </c>
      <c r="BH130" s="82" t="str">
        <f>HYPERLINK("https://pbs.twimg.com/profile_banners/106837463/1689189077")</f>
        <v>https://pbs.twimg.com/profile_banners/106837463/1689189077</v>
      </c>
      <c r="BI130" s="76"/>
      <c r="BJ130" s="76" t="s">
        <v>7189</v>
      </c>
      <c r="BK130" s="76" t="b">
        <v>0</v>
      </c>
      <c r="BL130" s="76"/>
      <c r="BM130" s="76" t="s">
        <v>65</v>
      </c>
      <c r="BN130" s="76" t="s">
        <v>7190</v>
      </c>
      <c r="BO130" s="82" t="str">
        <f>HYPERLINK("https://twitter.com/pinterest")</f>
        <v>https://twitter.com/pinterest</v>
      </c>
      <c r="BP130" s="46"/>
      <c r="BQ130" s="46"/>
      <c r="BR130" s="46"/>
      <c r="BS130" s="46"/>
      <c r="BT130" s="46"/>
      <c r="BU130" s="46"/>
      <c r="BV130" s="46"/>
      <c r="BW130" s="46"/>
      <c r="BX130" s="46"/>
      <c r="BY130" s="46"/>
      <c r="BZ130" s="2"/>
    </row>
    <row r="131" spans="1:78" ht="15">
      <c r="A131" s="62" t="s">
        <v>469</v>
      </c>
      <c r="B131" s="63"/>
      <c r="C131" s="63"/>
      <c r="D131" s="64"/>
      <c r="E131" s="66"/>
      <c r="F131" s="100" t="str">
        <f>HYPERLINK("https://abs.twimg.com/sticky/default_profile_images/default_profile_normal.png")</f>
        <v>https://abs.twimg.com/sticky/default_profile_images/default_profile_normal.png</v>
      </c>
      <c r="G131" s="63"/>
      <c r="H131" s="67"/>
      <c r="I131" s="68"/>
      <c r="J131" s="68"/>
      <c r="K131" s="67" t="s">
        <v>7318</v>
      </c>
      <c r="L131" s="71"/>
      <c r="M131" s="72">
        <v>3760.74609375</v>
      </c>
      <c r="N131" s="72">
        <v>363.13397216796875</v>
      </c>
      <c r="O131" s="73"/>
      <c r="P131" s="74"/>
      <c r="Q131" s="74"/>
      <c r="R131" s="86"/>
      <c r="S131" s="46">
        <v>1</v>
      </c>
      <c r="T131" s="46">
        <v>0</v>
      </c>
      <c r="U131" s="47">
        <v>0</v>
      </c>
      <c r="V131" s="47">
        <v>0.214691</v>
      </c>
      <c r="W131" s="47">
        <v>0.062026</v>
      </c>
      <c r="X131" s="47">
        <v>0.002499</v>
      </c>
      <c r="Y131" s="47">
        <v>0</v>
      </c>
      <c r="Z131" s="47">
        <v>0</v>
      </c>
      <c r="AA131" s="69">
        <v>131</v>
      </c>
      <c r="AB131" s="69"/>
      <c r="AC131" s="70"/>
      <c r="AD131" s="76" t="s">
        <v>469</v>
      </c>
      <c r="AE131" s="83" t="s">
        <v>6297</v>
      </c>
      <c r="AF131" s="76">
        <v>946</v>
      </c>
      <c r="AG131" s="76">
        <v>0</v>
      </c>
      <c r="AH131" s="76">
        <v>2</v>
      </c>
      <c r="AI131" s="76">
        <v>3</v>
      </c>
      <c r="AJ131" s="76">
        <v>0</v>
      </c>
      <c r="AK131" s="76">
        <v>0</v>
      </c>
      <c r="AL131" s="76" t="b">
        <v>0</v>
      </c>
      <c r="AM131" s="78">
        <v>39743.92533564815</v>
      </c>
      <c r="AN131" s="76"/>
      <c r="AO131" s="76"/>
      <c r="AP131" s="76"/>
      <c r="AQ131" s="76"/>
      <c r="AR131" s="76"/>
      <c r="AS131" s="76"/>
      <c r="AT131" s="76"/>
      <c r="AU131" s="76"/>
      <c r="AV131" s="76"/>
      <c r="AW131" s="76"/>
      <c r="AX131" s="76" t="b">
        <v>0</v>
      </c>
      <c r="AY131" s="76"/>
      <c r="AZ131" s="76"/>
      <c r="BA131" s="76" t="b">
        <v>0</v>
      </c>
      <c r="BB131" s="76" t="b">
        <v>1</v>
      </c>
      <c r="BC131" s="76" t="b">
        <v>1</v>
      </c>
      <c r="BD131" s="76" t="b">
        <v>1</v>
      </c>
      <c r="BE131" s="76" t="b">
        <v>0</v>
      </c>
      <c r="BF131" s="76" t="b">
        <v>0</v>
      </c>
      <c r="BG131" s="76" t="b">
        <v>0</v>
      </c>
      <c r="BH131" s="76"/>
      <c r="BI131" s="76"/>
      <c r="BJ131" s="76" t="s">
        <v>7188</v>
      </c>
      <c r="BK131" s="76" t="b">
        <v>0</v>
      </c>
      <c r="BL131" s="76"/>
      <c r="BM131" s="76" t="s">
        <v>65</v>
      </c>
      <c r="BN131" s="76" t="s">
        <v>7190</v>
      </c>
      <c r="BO131" s="82" t="str">
        <f>HYPERLINK("https://twitter.com/eenadu")</f>
        <v>https://twitter.com/eenadu</v>
      </c>
      <c r="BP131" s="46"/>
      <c r="BQ131" s="46"/>
      <c r="BR131" s="46"/>
      <c r="BS131" s="46"/>
      <c r="BT131" s="46"/>
      <c r="BU131" s="46"/>
      <c r="BV131" s="46"/>
      <c r="BW131" s="46"/>
      <c r="BX131" s="46"/>
      <c r="BY131" s="46"/>
      <c r="BZ131" s="2"/>
    </row>
    <row r="132" spans="1:78" ht="15">
      <c r="A132" s="62" t="s">
        <v>470</v>
      </c>
      <c r="B132" s="63"/>
      <c r="C132" s="63"/>
      <c r="D132" s="64"/>
      <c r="E132" s="66"/>
      <c r="F132" s="100" t="str">
        <f>HYPERLINK("https://pbs.twimg.com/profile_images/1380078947803619328/4QLOQBCr_normal.jpg")</f>
        <v>https://pbs.twimg.com/profile_images/1380078947803619328/4QLOQBCr_normal.jpg</v>
      </c>
      <c r="G132" s="63"/>
      <c r="H132" s="67"/>
      <c r="I132" s="68"/>
      <c r="J132" s="68"/>
      <c r="K132" s="67" t="s">
        <v>7319</v>
      </c>
      <c r="L132" s="71"/>
      <c r="M132" s="72">
        <v>3787.385986328125</v>
      </c>
      <c r="N132" s="72">
        <v>363.13397216796875</v>
      </c>
      <c r="O132" s="73"/>
      <c r="P132" s="74"/>
      <c r="Q132" s="74"/>
      <c r="R132" s="86"/>
      <c r="S132" s="46">
        <v>1</v>
      </c>
      <c r="T132" s="46">
        <v>0</v>
      </c>
      <c r="U132" s="47">
        <v>0</v>
      </c>
      <c r="V132" s="47">
        <v>0.214691</v>
      </c>
      <c r="W132" s="47">
        <v>0.062026</v>
      </c>
      <c r="X132" s="47">
        <v>0.002499</v>
      </c>
      <c r="Y132" s="47">
        <v>0</v>
      </c>
      <c r="Z132" s="47">
        <v>0</v>
      </c>
      <c r="AA132" s="69">
        <v>132</v>
      </c>
      <c r="AB132" s="69"/>
      <c r="AC132" s="70"/>
      <c r="AD132" s="76" t="s">
        <v>5997</v>
      </c>
      <c r="AE132" s="83" t="s">
        <v>5734</v>
      </c>
      <c r="AF132" s="76">
        <v>590851</v>
      </c>
      <c r="AG132" s="76">
        <v>138</v>
      </c>
      <c r="AH132" s="76">
        <v>40539</v>
      </c>
      <c r="AI132" s="76">
        <v>6005</v>
      </c>
      <c r="AJ132" s="76">
        <v>146234</v>
      </c>
      <c r="AK132" s="76">
        <v>2401</v>
      </c>
      <c r="AL132" s="76" t="b">
        <v>0</v>
      </c>
      <c r="AM132" s="78">
        <v>44173.15201388889</v>
      </c>
      <c r="AN132" s="76" t="s">
        <v>6529</v>
      </c>
      <c r="AO132" s="76" t="s">
        <v>6749</v>
      </c>
      <c r="AP132" s="82" t="str">
        <f>HYPERLINK("https://t.co/57VkCUVEGh")</f>
        <v>https://t.co/57VkCUVEGh</v>
      </c>
      <c r="AQ132" s="82" t="str">
        <f>HYPERLINK("https://linktr.ee/Upskillyourlife01")</f>
        <v>https://linktr.ee/Upskillyourlife01</v>
      </c>
      <c r="AR132" s="76" t="s">
        <v>7014</v>
      </c>
      <c r="AS132" s="76"/>
      <c r="AT132" s="76"/>
      <c r="AU132" s="76"/>
      <c r="AV132" s="76">
        <v>1.73782566171965E+18</v>
      </c>
      <c r="AW132" s="82" t="str">
        <f>HYPERLINK("https://t.co/57VkCUVEGh")</f>
        <v>https://t.co/57VkCUVEGh</v>
      </c>
      <c r="AX132" s="76" t="b">
        <v>1</v>
      </c>
      <c r="AY132" s="76"/>
      <c r="AZ132" s="76"/>
      <c r="BA132" s="76" t="b">
        <v>1</v>
      </c>
      <c r="BB132" s="76" t="b">
        <v>1</v>
      </c>
      <c r="BC132" s="76" t="b">
        <v>1</v>
      </c>
      <c r="BD132" s="76" t="b">
        <v>0</v>
      </c>
      <c r="BE132" s="76" t="b">
        <v>1</v>
      </c>
      <c r="BF132" s="76" t="b">
        <v>0</v>
      </c>
      <c r="BG132" s="76" t="b">
        <v>0</v>
      </c>
      <c r="BH132" s="82" t="str">
        <f>HYPERLINK("https://pbs.twimg.com/profile_banners/1336153209358848000/1617685984")</f>
        <v>https://pbs.twimg.com/profile_banners/1336153209358848000/1617685984</v>
      </c>
      <c r="BI132" s="76"/>
      <c r="BJ132" s="76" t="s">
        <v>7188</v>
      </c>
      <c r="BK132" s="76" t="b">
        <v>0</v>
      </c>
      <c r="BL132" s="76"/>
      <c r="BM132" s="76" t="s">
        <v>65</v>
      </c>
      <c r="BN132" s="76" t="s">
        <v>7190</v>
      </c>
      <c r="BO132" s="82" t="str">
        <f>HYPERLINK("https://twitter.com/upskillyourlife")</f>
        <v>https://twitter.com/upskillyourlife</v>
      </c>
      <c r="BP132" s="46"/>
      <c r="BQ132" s="46"/>
      <c r="BR132" s="46"/>
      <c r="BS132" s="46"/>
      <c r="BT132" s="46"/>
      <c r="BU132" s="46"/>
      <c r="BV132" s="46"/>
      <c r="BW132" s="46"/>
      <c r="BX132" s="46"/>
      <c r="BY132" s="46"/>
      <c r="BZ132" s="2"/>
    </row>
    <row r="133" spans="1:78" ht="15">
      <c r="A133" s="62" t="s">
        <v>471</v>
      </c>
      <c r="B133" s="63"/>
      <c r="C133" s="63"/>
      <c r="D133" s="64"/>
      <c r="E133" s="66"/>
      <c r="F133" s="100" t="str">
        <f>HYPERLINK("https://pbs.twimg.com/profile_images/1545630500148023298/k2-dzbHc_normal.jpg")</f>
        <v>https://pbs.twimg.com/profile_images/1545630500148023298/k2-dzbHc_normal.jpg</v>
      </c>
      <c r="G133" s="63"/>
      <c r="H133" s="67"/>
      <c r="I133" s="68"/>
      <c r="J133" s="68"/>
      <c r="K133" s="67" t="s">
        <v>7320</v>
      </c>
      <c r="L133" s="71"/>
      <c r="M133" s="72">
        <v>3814.02587890625</v>
      </c>
      <c r="N133" s="72">
        <v>363.13397216796875</v>
      </c>
      <c r="O133" s="73"/>
      <c r="P133" s="74"/>
      <c r="Q133" s="74"/>
      <c r="R133" s="86"/>
      <c r="S133" s="46">
        <v>1</v>
      </c>
      <c r="T133" s="46">
        <v>0</v>
      </c>
      <c r="U133" s="47">
        <v>0</v>
      </c>
      <c r="V133" s="47">
        <v>0.214691</v>
      </c>
      <c r="W133" s="47">
        <v>0.062026</v>
      </c>
      <c r="X133" s="47">
        <v>0.002499</v>
      </c>
      <c r="Y133" s="47">
        <v>0</v>
      </c>
      <c r="Z133" s="47">
        <v>0</v>
      </c>
      <c r="AA133" s="69">
        <v>133</v>
      </c>
      <c r="AB133" s="69"/>
      <c r="AC133" s="70"/>
      <c r="AD133" s="76" t="s">
        <v>5998</v>
      </c>
      <c r="AE133" s="83" t="s">
        <v>5735</v>
      </c>
      <c r="AF133" s="76">
        <v>218940</v>
      </c>
      <c r="AG133" s="76">
        <v>973</v>
      </c>
      <c r="AH133" s="76">
        <v>36921</v>
      </c>
      <c r="AI133" s="76">
        <v>199</v>
      </c>
      <c r="AJ133" s="76">
        <v>33808</v>
      </c>
      <c r="AK133" s="76">
        <v>4559</v>
      </c>
      <c r="AL133" s="76" t="b">
        <v>0</v>
      </c>
      <c r="AM133" s="78">
        <v>40935.328993055555</v>
      </c>
      <c r="AN133" s="76" t="s">
        <v>6472</v>
      </c>
      <c r="AO133" s="76" t="s">
        <v>6750</v>
      </c>
      <c r="AP133" s="76"/>
      <c r="AQ133" s="76"/>
      <c r="AR133" s="76"/>
      <c r="AS133" s="76"/>
      <c r="AT133" s="76"/>
      <c r="AU133" s="76"/>
      <c r="AV133" s="76">
        <v>1.54552418122332E+18</v>
      </c>
      <c r="AW133" s="76"/>
      <c r="AX133" s="76" t="b">
        <v>1</v>
      </c>
      <c r="AY133" s="76"/>
      <c r="AZ133" s="76"/>
      <c r="BA133" s="76" t="b">
        <v>0</v>
      </c>
      <c r="BB133" s="76" t="b">
        <v>1</v>
      </c>
      <c r="BC133" s="76" t="b">
        <v>1</v>
      </c>
      <c r="BD133" s="76" t="b">
        <v>0</v>
      </c>
      <c r="BE133" s="76" t="b">
        <v>0</v>
      </c>
      <c r="BF133" s="76" t="b">
        <v>0</v>
      </c>
      <c r="BG133" s="76" t="b">
        <v>0</v>
      </c>
      <c r="BH133" s="82" t="str">
        <f>HYPERLINK("https://pbs.twimg.com/profile_banners/475618166/1657342625")</f>
        <v>https://pbs.twimg.com/profile_banners/475618166/1657342625</v>
      </c>
      <c r="BI133" s="76"/>
      <c r="BJ133" s="76" t="s">
        <v>7188</v>
      </c>
      <c r="BK133" s="76" t="b">
        <v>0</v>
      </c>
      <c r="BL133" s="76"/>
      <c r="BM133" s="76" t="s">
        <v>65</v>
      </c>
      <c r="BN133" s="76" t="s">
        <v>7190</v>
      </c>
      <c r="BO133" s="82" t="str">
        <f>HYPERLINK("https://twitter.com/aadeshrawal")</f>
        <v>https://twitter.com/aadeshrawal</v>
      </c>
      <c r="BP133" s="46"/>
      <c r="BQ133" s="46"/>
      <c r="BR133" s="46"/>
      <c r="BS133" s="46"/>
      <c r="BT133" s="46"/>
      <c r="BU133" s="46"/>
      <c r="BV133" s="46"/>
      <c r="BW133" s="46"/>
      <c r="BX133" s="46"/>
      <c r="BY133" s="46"/>
      <c r="BZ133" s="2"/>
    </row>
    <row r="134" spans="1:78" ht="15">
      <c r="A134" s="62" t="s">
        <v>472</v>
      </c>
      <c r="B134" s="63"/>
      <c r="C134" s="63"/>
      <c r="D134" s="64"/>
      <c r="E134" s="66"/>
      <c r="F134" s="100" t="str">
        <f>HYPERLINK("https://pbs.twimg.com/profile_images/1648315397022572544/2fCMWlPw_normal.jpg")</f>
        <v>https://pbs.twimg.com/profile_images/1648315397022572544/2fCMWlPw_normal.jpg</v>
      </c>
      <c r="G134" s="63"/>
      <c r="H134" s="67"/>
      <c r="I134" s="68"/>
      <c r="J134" s="68"/>
      <c r="K134" s="67" t="s">
        <v>7321</v>
      </c>
      <c r="L134" s="71"/>
      <c r="M134" s="72">
        <v>3840.665283203125</v>
      </c>
      <c r="N134" s="72">
        <v>363.13397216796875</v>
      </c>
      <c r="O134" s="73"/>
      <c r="P134" s="74"/>
      <c r="Q134" s="74"/>
      <c r="R134" s="86"/>
      <c r="S134" s="46">
        <v>1</v>
      </c>
      <c r="T134" s="46">
        <v>0</v>
      </c>
      <c r="U134" s="47">
        <v>0</v>
      </c>
      <c r="V134" s="47">
        <v>0.214691</v>
      </c>
      <c r="W134" s="47">
        <v>0.062026</v>
      </c>
      <c r="X134" s="47">
        <v>0.002499</v>
      </c>
      <c r="Y134" s="47">
        <v>0</v>
      </c>
      <c r="Z134" s="47">
        <v>0</v>
      </c>
      <c r="AA134" s="69">
        <v>134</v>
      </c>
      <c r="AB134" s="69"/>
      <c r="AC134" s="70"/>
      <c r="AD134" s="76" t="s">
        <v>5999</v>
      </c>
      <c r="AE134" s="83" t="s">
        <v>5736</v>
      </c>
      <c r="AF134" s="76">
        <v>464381</v>
      </c>
      <c r="AG134" s="76">
        <v>949</v>
      </c>
      <c r="AH134" s="76">
        <v>16786</v>
      </c>
      <c r="AI134" s="76">
        <v>5647</v>
      </c>
      <c r="AJ134" s="76">
        <v>16654</v>
      </c>
      <c r="AK134" s="76">
        <v>2224</v>
      </c>
      <c r="AL134" s="76" t="b">
        <v>0</v>
      </c>
      <c r="AM134" s="78">
        <v>40601.921944444446</v>
      </c>
      <c r="AN134" s="76" t="s">
        <v>6530</v>
      </c>
      <c r="AO134" s="76" t="s">
        <v>6751</v>
      </c>
      <c r="AP134" s="82" t="str">
        <f>HYPERLINK("https://t.co/F9sknyO8Ts")</f>
        <v>https://t.co/F9sknyO8Ts</v>
      </c>
      <c r="AQ134" s="82" t="str">
        <f>HYPERLINK("https://contrarianthinking.biz/tw")</f>
        <v>https://contrarianthinking.biz/tw</v>
      </c>
      <c r="AR134" s="76" t="s">
        <v>7015</v>
      </c>
      <c r="AS134" s="76"/>
      <c r="AT134" s="76"/>
      <c r="AU134" s="76"/>
      <c r="AV134" s="76">
        <v>1.47583121046309E+18</v>
      </c>
      <c r="AW134" s="82" t="str">
        <f>HYPERLINK("https://t.co/F9sknyO8Ts")</f>
        <v>https://t.co/F9sknyO8Ts</v>
      </c>
      <c r="AX134" s="76" t="b">
        <v>1</v>
      </c>
      <c r="AY134" s="76"/>
      <c r="AZ134" s="76" t="b">
        <v>1</v>
      </c>
      <c r="BA134" s="76" t="b">
        <v>1</v>
      </c>
      <c r="BB134" s="76" t="b">
        <v>1</v>
      </c>
      <c r="BC134" s="76" t="b">
        <v>0</v>
      </c>
      <c r="BD134" s="76" t="b">
        <v>0</v>
      </c>
      <c r="BE134" s="76" t="b">
        <v>1</v>
      </c>
      <c r="BF134" s="76" t="b">
        <v>0</v>
      </c>
      <c r="BG134" s="76" t="b">
        <v>0</v>
      </c>
      <c r="BH134" s="82" t="str">
        <f>HYPERLINK("https://pbs.twimg.com/profile_banners/258512916/1694734353")</f>
        <v>https://pbs.twimg.com/profile_banners/258512916/1694734353</v>
      </c>
      <c r="BI134" s="76"/>
      <c r="BJ134" s="76" t="s">
        <v>7188</v>
      </c>
      <c r="BK134" s="76" t="b">
        <v>1</v>
      </c>
      <c r="BL134" s="76"/>
      <c r="BM134" s="76" t="s">
        <v>65</v>
      </c>
      <c r="BN134" s="76" t="s">
        <v>7190</v>
      </c>
      <c r="BO134" s="82" t="str">
        <f>HYPERLINK("https://twitter.com/codie_sanchez")</f>
        <v>https://twitter.com/codie_sanchez</v>
      </c>
      <c r="BP134" s="46"/>
      <c r="BQ134" s="46"/>
      <c r="BR134" s="46"/>
      <c r="BS134" s="46"/>
      <c r="BT134" s="46"/>
      <c r="BU134" s="46"/>
      <c r="BV134" s="46"/>
      <c r="BW134" s="46"/>
      <c r="BX134" s="46"/>
      <c r="BY134" s="46"/>
      <c r="BZ134" s="2"/>
    </row>
    <row r="135" spans="1:78" ht="15">
      <c r="A135" s="62" t="s">
        <v>473</v>
      </c>
      <c r="B135" s="63"/>
      <c r="C135" s="63"/>
      <c r="D135" s="64"/>
      <c r="E135" s="66"/>
      <c r="F135" s="100" t="str">
        <f>HYPERLINK("https://pbs.twimg.com/profile_images/1736533545500225536/-GmyOVFt_normal.jpg")</f>
        <v>https://pbs.twimg.com/profile_images/1736533545500225536/-GmyOVFt_normal.jpg</v>
      </c>
      <c r="G135" s="63"/>
      <c r="H135" s="67"/>
      <c r="I135" s="68"/>
      <c r="J135" s="68"/>
      <c r="K135" s="67" t="s">
        <v>7322</v>
      </c>
      <c r="L135" s="71"/>
      <c r="M135" s="72">
        <v>3867.30517578125</v>
      </c>
      <c r="N135" s="72">
        <v>363.13397216796875</v>
      </c>
      <c r="O135" s="73"/>
      <c r="P135" s="74"/>
      <c r="Q135" s="74"/>
      <c r="R135" s="86"/>
      <c r="S135" s="46">
        <v>1</v>
      </c>
      <c r="T135" s="46">
        <v>0</v>
      </c>
      <c r="U135" s="47">
        <v>0</v>
      </c>
      <c r="V135" s="47">
        <v>0.214691</v>
      </c>
      <c r="W135" s="47">
        <v>0.062026</v>
      </c>
      <c r="X135" s="47">
        <v>0.002499</v>
      </c>
      <c r="Y135" s="47">
        <v>0</v>
      </c>
      <c r="Z135" s="47">
        <v>0</v>
      </c>
      <c r="AA135" s="69">
        <v>135</v>
      </c>
      <c r="AB135" s="69"/>
      <c r="AC135" s="70"/>
      <c r="AD135" s="76" t="s">
        <v>6000</v>
      </c>
      <c r="AE135" s="83" t="s">
        <v>5737</v>
      </c>
      <c r="AF135" s="76">
        <v>7359</v>
      </c>
      <c r="AG135" s="76">
        <v>3189</v>
      </c>
      <c r="AH135" s="76">
        <v>5896</v>
      </c>
      <c r="AI135" s="76">
        <v>73</v>
      </c>
      <c r="AJ135" s="76">
        <v>6348</v>
      </c>
      <c r="AK135" s="76">
        <v>272</v>
      </c>
      <c r="AL135" s="76" t="b">
        <v>0</v>
      </c>
      <c r="AM135" s="78">
        <v>43725.17215277778</v>
      </c>
      <c r="AN135" s="76" t="s">
        <v>6531</v>
      </c>
      <c r="AO135" s="76" t="s">
        <v>6752</v>
      </c>
      <c r="AP135" s="82" t="str">
        <f>HYPERLINK("https://t.co/13JdEvWPIG")</f>
        <v>https://t.co/13JdEvWPIG</v>
      </c>
      <c r="AQ135" s="82" t="str">
        <f>HYPERLINK("https://www.paradigm.xyz/2023/12/joining-paradigm-20")</f>
        <v>https://www.paradigm.xyz/2023/12/joining-paradigm-20</v>
      </c>
      <c r="AR135" s="76" t="s">
        <v>7016</v>
      </c>
      <c r="AS135" s="76"/>
      <c r="AT135" s="76"/>
      <c r="AU135" s="76"/>
      <c r="AV135" s="76">
        <v>1.73531596291879E+18</v>
      </c>
      <c r="AW135" s="82" t="str">
        <f>HYPERLINK("https://t.co/13JdEvWPIG")</f>
        <v>https://t.co/13JdEvWPIG</v>
      </c>
      <c r="AX135" s="76" t="b">
        <v>1</v>
      </c>
      <c r="AY135" s="76"/>
      <c r="AZ135" s="76"/>
      <c r="BA135" s="76" t="b">
        <v>1</v>
      </c>
      <c r="BB135" s="76" t="b">
        <v>0</v>
      </c>
      <c r="BC135" s="76" t="b">
        <v>1</v>
      </c>
      <c r="BD135" s="76" t="b">
        <v>0</v>
      </c>
      <c r="BE135" s="76" t="b">
        <v>1</v>
      </c>
      <c r="BF135" s="76" t="b">
        <v>0</v>
      </c>
      <c r="BG135" s="76" t="b">
        <v>0</v>
      </c>
      <c r="BH135" s="82" t="str">
        <f>HYPERLINK("https://pbs.twimg.com/profile_banners/1173810743654932480/1696967977")</f>
        <v>https://pbs.twimg.com/profile_banners/1173810743654932480/1696967977</v>
      </c>
      <c r="BI135" s="76"/>
      <c r="BJ135" s="76" t="s">
        <v>7188</v>
      </c>
      <c r="BK135" s="76" t="b">
        <v>0</v>
      </c>
      <c r="BL135" s="76"/>
      <c r="BM135" s="76" t="s">
        <v>65</v>
      </c>
      <c r="BN135" s="76" t="s">
        <v>7190</v>
      </c>
      <c r="BO135" s="82" t="str">
        <f>HYPERLINK("https://twitter.com/joshqharris")</f>
        <v>https://twitter.com/joshqharris</v>
      </c>
      <c r="BP135" s="46"/>
      <c r="BQ135" s="46"/>
      <c r="BR135" s="46"/>
      <c r="BS135" s="46"/>
      <c r="BT135" s="46"/>
      <c r="BU135" s="46"/>
      <c r="BV135" s="46"/>
      <c r="BW135" s="46"/>
      <c r="BX135" s="46"/>
      <c r="BY135" s="46"/>
      <c r="BZ135" s="2"/>
    </row>
    <row r="136" spans="1:78" ht="15">
      <c r="A136" s="62" t="s">
        <v>474</v>
      </c>
      <c r="B136" s="63"/>
      <c r="C136" s="63"/>
      <c r="D136" s="64"/>
      <c r="E136" s="66"/>
      <c r="F136" s="100" t="str">
        <f>HYPERLINK("https://pbs.twimg.com/profile_images/1586524456062578688/LNymOqBw_normal.jpg")</f>
        <v>https://pbs.twimg.com/profile_images/1586524456062578688/LNymOqBw_normal.jpg</v>
      </c>
      <c r="G136" s="63"/>
      <c r="H136" s="67"/>
      <c r="I136" s="68"/>
      <c r="J136" s="68"/>
      <c r="K136" s="67" t="s">
        <v>7323</v>
      </c>
      <c r="L136" s="71"/>
      <c r="M136" s="72">
        <v>3893.945068359375</v>
      </c>
      <c r="N136" s="72">
        <v>363.13397216796875</v>
      </c>
      <c r="O136" s="73"/>
      <c r="P136" s="74"/>
      <c r="Q136" s="74"/>
      <c r="R136" s="86"/>
      <c r="S136" s="46">
        <v>1</v>
      </c>
      <c r="T136" s="46">
        <v>0</v>
      </c>
      <c r="U136" s="47">
        <v>0</v>
      </c>
      <c r="V136" s="47">
        <v>0.214691</v>
      </c>
      <c r="W136" s="47">
        <v>0.062026</v>
      </c>
      <c r="X136" s="47">
        <v>0.002499</v>
      </c>
      <c r="Y136" s="47">
        <v>0</v>
      </c>
      <c r="Z136" s="47">
        <v>0</v>
      </c>
      <c r="AA136" s="69">
        <v>136</v>
      </c>
      <c r="AB136" s="69"/>
      <c r="AC136" s="70"/>
      <c r="AD136" s="76" t="s">
        <v>6001</v>
      </c>
      <c r="AE136" s="83" t="s">
        <v>6298</v>
      </c>
      <c r="AF136" s="76">
        <v>304670</v>
      </c>
      <c r="AG136" s="76">
        <v>54</v>
      </c>
      <c r="AH136" s="76">
        <v>14874</v>
      </c>
      <c r="AI136" s="76">
        <v>147</v>
      </c>
      <c r="AJ136" s="76">
        <v>2312</v>
      </c>
      <c r="AK136" s="76">
        <v>1720</v>
      </c>
      <c r="AL136" s="76" t="b">
        <v>0</v>
      </c>
      <c r="AM136" s="78">
        <v>43801.28402777778</v>
      </c>
      <c r="AN136" s="76" t="s">
        <v>6532</v>
      </c>
      <c r="AO136" s="76" t="s">
        <v>6753</v>
      </c>
      <c r="AP136" s="82" t="str">
        <f>HYPERLINK("https://t.co/KOuUbqLWZK")</f>
        <v>https://t.co/KOuUbqLWZK</v>
      </c>
      <c r="AQ136" s="82" t="str">
        <f>HYPERLINK("https://www.tspolice.gov.in/")</f>
        <v>https://www.tspolice.gov.in/</v>
      </c>
      <c r="AR136" s="76" t="s">
        <v>7017</v>
      </c>
      <c r="AS136" s="82" t="str">
        <f>HYPERLINK("https://t.co/Pkmv02sMhH")</f>
        <v>https://t.co/Pkmv02sMhH</v>
      </c>
      <c r="AT136" s="82" t="str">
        <f>HYPERLINK("http://t.me/TelanganaState")</f>
        <v>http://t.me/TelanganaState</v>
      </c>
      <c r="AU136" s="76" t="s">
        <v>7172</v>
      </c>
      <c r="AV136" s="76"/>
      <c r="AW136" s="82" t="str">
        <f>HYPERLINK("https://t.co/KOuUbqLWZK")</f>
        <v>https://t.co/KOuUbqLWZK</v>
      </c>
      <c r="AX136" s="76" t="b">
        <v>0</v>
      </c>
      <c r="AY136" s="76"/>
      <c r="AZ136" s="76" t="b">
        <v>1</v>
      </c>
      <c r="BA136" s="76" t="b">
        <v>0</v>
      </c>
      <c r="BB136" s="76" t="b">
        <v>1</v>
      </c>
      <c r="BC136" s="76" t="b">
        <v>1</v>
      </c>
      <c r="BD136" s="76" t="b">
        <v>0</v>
      </c>
      <c r="BE136" s="76" t="b">
        <v>1</v>
      </c>
      <c r="BF136" s="76" t="b">
        <v>0</v>
      </c>
      <c r="BG136" s="76" t="b">
        <v>0</v>
      </c>
      <c r="BH136" s="82" t="str">
        <f>HYPERLINK("https://pbs.twimg.com/profile_banners/1201391378074222592/1672213612")</f>
        <v>https://pbs.twimg.com/profile_banners/1201391378074222592/1672213612</v>
      </c>
      <c r="BI136" s="76"/>
      <c r="BJ136" s="76" t="s">
        <v>7188</v>
      </c>
      <c r="BK136" s="76" t="b">
        <v>1</v>
      </c>
      <c r="BL136" s="76"/>
      <c r="BM136" s="76" t="s">
        <v>65</v>
      </c>
      <c r="BN136" s="76" t="s">
        <v>7190</v>
      </c>
      <c r="BO136" s="82" t="str">
        <f>HYPERLINK("https://twitter.com/telanganacops")</f>
        <v>https://twitter.com/telanganacops</v>
      </c>
      <c r="BP136" s="46"/>
      <c r="BQ136" s="46"/>
      <c r="BR136" s="46"/>
      <c r="BS136" s="46"/>
      <c r="BT136" s="46"/>
      <c r="BU136" s="46"/>
      <c r="BV136" s="46"/>
      <c r="BW136" s="46"/>
      <c r="BX136" s="46"/>
      <c r="BY136" s="46"/>
      <c r="BZ136" s="2"/>
    </row>
    <row r="137" spans="1:78" ht="15">
      <c r="A137" s="62" t="s">
        <v>475</v>
      </c>
      <c r="B137" s="63"/>
      <c r="C137" s="63"/>
      <c r="D137" s="64"/>
      <c r="E137" s="66"/>
      <c r="F137" s="100" t="str">
        <f>HYPERLINK("https://pbs.twimg.com/profile_images/1312954930953506816/cfCFonGH_normal.jpg")</f>
        <v>https://pbs.twimg.com/profile_images/1312954930953506816/cfCFonGH_normal.jpg</v>
      </c>
      <c r="G137" s="63"/>
      <c r="H137" s="67"/>
      <c r="I137" s="68"/>
      <c r="J137" s="68"/>
      <c r="K137" s="67" t="s">
        <v>7324</v>
      </c>
      <c r="L137" s="71"/>
      <c r="M137" s="72">
        <v>3920.584716796875</v>
      </c>
      <c r="N137" s="72">
        <v>363.13397216796875</v>
      </c>
      <c r="O137" s="73"/>
      <c r="P137" s="74"/>
      <c r="Q137" s="74"/>
      <c r="R137" s="86"/>
      <c r="S137" s="46">
        <v>1</v>
      </c>
      <c r="T137" s="46">
        <v>0</v>
      </c>
      <c r="U137" s="47">
        <v>0</v>
      </c>
      <c r="V137" s="47">
        <v>0.214691</v>
      </c>
      <c r="W137" s="47">
        <v>0.062026</v>
      </c>
      <c r="X137" s="47">
        <v>0.002499</v>
      </c>
      <c r="Y137" s="47">
        <v>0</v>
      </c>
      <c r="Z137" s="47">
        <v>0</v>
      </c>
      <c r="AA137" s="69">
        <v>137</v>
      </c>
      <c r="AB137" s="69"/>
      <c r="AC137" s="70"/>
      <c r="AD137" s="76" t="s">
        <v>6002</v>
      </c>
      <c r="AE137" s="83" t="s">
        <v>6299</v>
      </c>
      <c r="AF137" s="76">
        <v>48597</v>
      </c>
      <c r="AG137" s="76">
        <v>479</v>
      </c>
      <c r="AH137" s="76">
        <v>4104</v>
      </c>
      <c r="AI137" s="76">
        <v>33</v>
      </c>
      <c r="AJ137" s="76">
        <v>502</v>
      </c>
      <c r="AK137" s="76">
        <v>1923</v>
      </c>
      <c r="AL137" s="76" t="b">
        <v>0</v>
      </c>
      <c r="AM137" s="78">
        <v>43787.06998842592</v>
      </c>
      <c r="AN137" s="76" t="s">
        <v>6472</v>
      </c>
      <c r="AO137" s="76" t="s">
        <v>6754</v>
      </c>
      <c r="AP137" s="82" t="str">
        <f>HYPERLINK("https://t.co/xPwlNqWyyR")</f>
        <v>https://t.co/xPwlNqWyyR</v>
      </c>
      <c r="AQ137" s="82" t="str">
        <f>HYPERLINK("http://indianewsnetwork.com")</f>
        <v>http://indianewsnetwork.com</v>
      </c>
      <c r="AR137" s="76" t="s">
        <v>7018</v>
      </c>
      <c r="AS137" s="76"/>
      <c r="AT137" s="76"/>
      <c r="AU137" s="76"/>
      <c r="AV137" s="76">
        <v>1.73056466184483E+18</v>
      </c>
      <c r="AW137" s="82" t="str">
        <f>HYPERLINK("https://t.co/xPwlNqWyyR")</f>
        <v>https://t.co/xPwlNqWyyR</v>
      </c>
      <c r="AX137" s="76" t="b">
        <v>1</v>
      </c>
      <c r="AY137" s="76"/>
      <c r="AZ137" s="76"/>
      <c r="BA137" s="76" t="b">
        <v>0</v>
      </c>
      <c r="BB137" s="76" t="b">
        <v>1</v>
      </c>
      <c r="BC137" s="76" t="b">
        <v>1</v>
      </c>
      <c r="BD137" s="76" t="b">
        <v>0</v>
      </c>
      <c r="BE137" s="76" t="b">
        <v>1</v>
      </c>
      <c r="BF137" s="76" t="b">
        <v>0</v>
      </c>
      <c r="BG137" s="76" t="b">
        <v>0</v>
      </c>
      <c r="BH137" s="82" t="str">
        <f>HYPERLINK("https://pbs.twimg.com/profile_banners/1196241773757992960/1683547583")</f>
        <v>https://pbs.twimg.com/profile_banners/1196241773757992960/1683547583</v>
      </c>
      <c r="BI137" s="76"/>
      <c r="BJ137" s="76" t="s">
        <v>7188</v>
      </c>
      <c r="BK137" s="76" t="b">
        <v>0</v>
      </c>
      <c r="BL137" s="76"/>
      <c r="BM137" s="76" t="s">
        <v>65</v>
      </c>
      <c r="BN137" s="76" t="s">
        <v>7190</v>
      </c>
      <c r="BO137" s="82" t="str">
        <f>HYPERLINK("https://twitter.com/indianewsnetwk")</f>
        <v>https://twitter.com/indianewsnetwk</v>
      </c>
      <c r="BP137" s="46"/>
      <c r="BQ137" s="46"/>
      <c r="BR137" s="46"/>
      <c r="BS137" s="46"/>
      <c r="BT137" s="46"/>
      <c r="BU137" s="46"/>
      <c r="BV137" s="46"/>
      <c r="BW137" s="46"/>
      <c r="BX137" s="46"/>
      <c r="BY137" s="46"/>
      <c r="BZ137" s="2"/>
    </row>
    <row r="138" spans="1:78" ht="15">
      <c r="A138" s="62" t="s">
        <v>300</v>
      </c>
      <c r="B138" s="63"/>
      <c r="C138" s="63"/>
      <c r="D138" s="64"/>
      <c r="E138" s="66"/>
      <c r="F138" s="100" t="str">
        <f>HYPERLINK("https://pbs.twimg.com/profile_images/956110760505106432/16Pa3js-_normal.jpg")</f>
        <v>https://pbs.twimg.com/profile_images/956110760505106432/16Pa3js-_normal.jpg</v>
      </c>
      <c r="G138" s="63"/>
      <c r="H138" s="67"/>
      <c r="I138" s="68"/>
      <c r="J138" s="68"/>
      <c r="K138" s="67" t="s">
        <v>7325</v>
      </c>
      <c r="L138" s="71"/>
      <c r="M138" s="72">
        <v>3947.22509765625</v>
      </c>
      <c r="N138" s="72">
        <v>363.13397216796875</v>
      </c>
      <c r="O138" s="73"/>
      <c r="P138" s="74"/>
      <c r="Q138" s="74"/>
      <c r="R138" s="86"/>
      <c r="S138" s="46">
        <v>1</v>
      </c>
      <c r="T138" s="46">
        <v>1</v>
      </c>
      <c r="U138" s="47">
        <v>0</v>
      </c>
      <c r="V138" s="47">
        <v>0.214691</v>
      </c>
      <c r="W138" s="47">
        <v>0.062026</v>
      </c>
      <c r="X138" s="47">
        <v>0.002499</v>
      </c>
      <c r="Y138" s="47">
        <v>0</v>
      </c>
      <c r="Z138" s="47">
        <v>1</v>
      </c>
      <c r="AA138" s="69">
        <v>138</v>
      </c>
      <c r="AB138" s="69"/>
      <c r="AC138" s="70"/>
      <c r="AD138" s="76" t="s">
        <v>6003</v>
      </c>
      <c r="AE138" s="83" t="s">
        <v>5739</v>
      </c>
      <c r="AF138" s="76">
        <v>126</v>
      </c>
      <c r="AG138" s="76">
        <v>318</v>
      </c>
      <c r="AH138" s="76">
        <v>739</v>
      </c>
      <c r="AI138" s="76">
        <v>0</v>
      </c>
      <c r="AJ138" s="76">
        <v>35</v>
      </c>
      <c r="AK138" s="76">
        <v>67</v>
      </c>
      <c r="AL138" s="76" t="b">
        <v>0</v>
      </c>
      <c r="AM138" s="78">
        <v>39882.652291666665</v>
      </c>
      <c r="AN138" s="76" t="s">
        <v>6533</v>
      </c>
      <c r="AO138" s="76" t="s">
        <v>6755</v>
      </c>
      <c r="AP138" s="82" t="str">
        <f>HYPERLINK("https://t.co/sUgBA1HyzP")</f>
        <v>https://t.co/sUgBA1HyzP</v>
      </c>
      <c r="AQ138" s="82" t="str">
        <f>HYPERLINK("http://facebook.com/oviedo.jc")</f>
        <v>http://facebook.com/oviedo.jc</v>
      </c>
      <c r="AR138" s="76" t="s">
        <v>7019</v>
      </c>
      <c r="AS138" s="76"/>
      <c r="AT138" s="76"/>
      <c r="AU138" s="76"/>
      <c r="AV138" s="76"/>
      <c r="AW138" s="82" t="str">
        <f>HYPERLINK("https://t.co/sUgBA1HyzP")</f>
        <v>https://t.co/sUgBA1HyzP</v>
      </c>
      <c r="AX138" s="76" t="b">
        <v>0</v>
      </c>
      <c r="AY138" s="76" t="b">
        <v>1</v>
      </c>
      <c r="AZ138" s="76"/>
      <c r="BA138" s="76" t="b">
        <v>1</v>
      </c>
      <c r="BB138" s="76" t="b">
        <v>1</v>
      </c>
      <c r="BC138" s="76" t="b">
        <v>0</v>
      </c>
      <c r="BD138" s="76" t="b">
        <v>0</v>
      </c>
      <c r="BE138" s="76" t="b">
        <v>0</v>
      </c>
      <c r="BF138" s="76" t="b">
        <v>0</v>
      </c>
      <c r="BG138" s="76" t="b">
        <v>0</v>
      </c>
      <c r="BH138" s="82" t="str">
        <f>HYPERLINK("https://pbs.twimg.com/profile_banners/23606131/1516789563")</f>
        <v>https://pbs.twimg.com/profile_banners/23606131/1516789563</v>
      </c>
      <c r="BI138" s="76"/>
      <c r="BJ138" s="76" t="s">
        <v>7188</v>
      </c>
      <c r="BK138" s="76" t="b">
        <v>0</v>
      </c>
      <c r="BL138" s="76"/>
      <c r="BM138" s="76" t="s">
        <v>66</v>
      </c>
      <c r="BN138" s="76" t="s">
        <v>7190</v>
      </c>
      <c r="BO138" s="82" t="str">
        <f>HYPERLINK("https://twitter.com/oviedojc")</f>
        <v>https://twitter.com/oviedojc</v>
      </c>
      <c r="BP138" s="46"/>
      <c r="BQ138" s="46"/>
      <c r="BR138" s="46"/>
      <c r="BS138" s="46"/>
      <c r="BT138" s="46"/>
      <c r="BU138" s="46"/>
      <c r="BV138" s="105" t="s">
        <v>7858</v>
      </c>
      <c r="BW138" s="105" t="s">
        <v>7858</v>
      </c>
      <c r="BX138" s="105" t="s">
        <v>8089</v>
      </c>
      <c r="BY138" s="105" t="s">
        <v>8089</v>
      </c>
      <c r="BZ138" s="2"/>
    </row>
    <row r="139" spans="1:78" ht="15">
      <c r="A139" s="62" t="s">
        <v>476</v>
      </c>
      <c r="B139" s="63"/>
      <c r="C139" s="63"/>
      <c r="D139" s="64"/>
      <c r="E139" s="66"/>
      <c r="F139" s="100" t="str">
        <f>HYPERLINK("https://pbs.twimg.com/profile_images/1674926582698242050/lSxXf3Me_normal.jpg")</f>
        <v>https://pbs.twimg.com/profile_images/1674926582698242050/lSxXf3Me_normal.jpg</v>
      </c>
      <c r="G139" s="63"/>
      <c r="H139" s="67"/>
      <c r="I139" s="68"/>
      <c r="J139" s="68"/>
      <c r="K139" s="67" t="s">
        <v>7326</v>
      </c>
      <c r="L139" s="71"/>
      <c r="M139" s="72">
        <v>3973.86474609375</v>
      </c>
      <c r="N139" s="72">
        <v>363.13397216796875</v>
      </c>
      <c r="O139" s="73"/>
      <c r="P139" s="74"/>
      <c r="Q139" s="74"/>
      <c r="R139" s="86"/>
      <c r="S139" s="46">
        <v>1</v>
      </c>
      <c r="T139" s="46">
        <v>0</v>
      </c>
      <c r="U139" s="47">
        <v>0</v>
      </c>
      <c r="V139" s="47">
        <v>0.214691</v>
      </c>
      <c r="W139" s="47">
        <v>0.062026</v>
      </c>
      <c r="X139" s="47">
        <v>0.002499</v>
      </c>
      <c r="Y139" s="47">
        <v>0</v>
      </c>
      <c r="Z139" s="47">
        <v>0</v>
      </c>
      <c r="AA139" s="69">
        <v>139</v>
      </c>
      <c r="AB139" s="69"/>
      <c r="AC139" s="70"/>
      <c r="AD139" s="76" t="s">
        <v>6004</v>
      </c>
      <c r="AE139" s="83" t="s">
        <v>6300</v>
      </c>
      <c r="AF139" s="76">
        <v>9116547</v>
      </c>
      <c r="AG139" s="76">
        <v>2651</v>
      </c>
      <c r="AH139" s="76">
        <v>528237</v>
      </c>
      <c r="AI139" s="76">
        <v>112020</v>
      </c>
      <c r="AJ139" s="76">
        <v>2093</v>
      </c>
      <c r="AK139" s="76">
        <v>289172</v>
      </c>
      <c r="AL139" s="76" t="b">
        <v>0</v>
      </c>
      <c r="AM139" s="78">
        <v>39153.06112268518</v>
      </c>
      <c r="AN139" s="76"/>
      <c r="AO139" s="76" t="s">
        <v>6756</v>
      </c>
      <c r="AP139" s="82" t="str">
        <f>HYPERLINK("https://t.co/UHvY1cm4BL")</f>
        <v>https://t.co/UHvY1cm4BL</v>
      </c>
      <c r="AQ139" s="82" t="str">
        <f>HYPERLINK("http://mashable.com")</f>
        <v>http://mashable.com</v>
      </c>
      <c r="AR139" s="76" t="s">
        <v>7020</v>
      </c>
      <c r="AS139" s="76"/>
      <c r="AT139" s="76"/>
      <c r="AU139" s="76"/>
      <c r="AV139" s="76"/>
      <c r="AW139" s="82" t="str">
        <f>HYPERLINK("https://t.co/UHvY1cm4BL")</f>
        <v>https://t.co/UHvY1cm4BL</v>
      </c>
      <c r="AX139" s="76" t="b">
        <v>1</v>
      </c>
      <c r="AY139" s="76"/>
      <c r="AZ139" s="76"/>
      <c r="BA139" s="76" t="b">
        <v>0</v>
      </c>
      <c r="BB139" s="76" t="b">
        <v>1</v>
      </c>
      <c r="BC139" s="76" t="b">
        <v>0</v>
      </c>
      <c r="BD139" s="76" t="b">
        <v>0</v>
      </c>
      <c r="BE139" s="76" t="b">
        <v>1</v>
      </c>
      <c r="BF139" s="76" t="b">
        <v>0</v>
      </c>
      <c r="BG139" s="76" t="b">
        <v>0</v>
      </c>
      <c r="BH139" s="82" t="str">
        <f>HYPERLINK("https://pbs.twimg.com/profile_banners/972651/1624464401")</f>
        <v>https://pbs.twimg.com/profile_banners/972651/1624464401</v>
      </c>
      <c r="BI139" s="76"/>
      <c r="BJ139" s="76" t="s">
        <v>7188</v>
      </c>
      <c r="BK139" s="76" t="b">
        <v>0</v>
      </c>
      <c r="BL139" s="76"/>
      <c r="BM139" s="76" t="s">
        <v>65</v>
      </c>
      <c r="BN139" s="76" t="s">
        <v>7190</v>
      </c>
      <c r="BO139" s="82" t="str">
        <f>HYPERLINK("https://twitter.com/mashable")</f>
        <v>https://twitter.com/mashable</v>
      </c>
      <c r="BP139" s="46"/>
      <c r="BQ139" s="46"/>
      <c r="BR139" s="46"/>
      <c r="BS139" s="46"/>
      <c r="BT139" s="46"/>
      <c r="BU139" s="46"/>
      <c r="BV139" s="46"/>
      <c r="BW139" s="46"/>
      <c r="BX139" s="46"/>
      <c r="BY139" s="46"/>
      <c r="BZ139" s="2"/>
    </row>
    <row r="140" spans="1:78" ht="15">
      <c r="A140" s="62" t="s">
        <v>477</v>
      </c>
      <c r="B140" s="63"/>
      <c r="C140" s="63"/>
      <c r="D140" s="64"/>
      <c r="E140" s="66"/>
      <c r="F140" s="100" t="str">
        <f>HYPERLINK("https://pbs.twimg.com/profile_images/486667574/development_normal.png")</f>
        <v>https://pbs.twimg.com/profile_images/486667574/development_normal.png</v>
      </c>
      <c r="G140" s="63"/>
      <c r="H140" s="67"/>
      <c r="I140" s="68"/>
      <c r="J140" s="68"/>
      <c r="K140" s="67" t="s">
        <v>7327</v>
      </c>
      <c r="L140" s="71"/>
      <c r="M140" s="72">
        <v>4000.504638671875</v>
      </c>
      <c r="N140" s="72">
        <v>372.3407287597656</v>
      </c>
      <c r="O140" s="73"/>
      <c r="P140" s="74"/>
      <c r="Q140" s="74"/>
      <c r="R140" s="86"/>
      <c r="S140" s="46">
        <v>1</v>
      </c>
      <c r="T140" s="46">
        <v>0</v>
      </c>
      <c r="U140" s="47">
        <v>0</v>
      </c>
      <c r="V140" s="47">
        <v>0.214691</v>
      </c>
      <c r="W140" s="47">
        <v>0.062026</v>
      </c>
      <c r="X140" s="47">
        <v>0.002499</v>
      </c>
      <c r="Y140" s="47">
        <v>0</v>
      </c>
      <c r="Z140" s="47">
        <v>0</v>
      </c>
      <c r="AA140" s="69">
        <v>140</v>
      </c>
      <c r="AB140" s="69"/>
      <c r="AC140" s="70"/>
      <c r="AD140" s="76" t="s">
        <v>6005</v>
      </c>
      <c r="AE140" s="83" t="s">
        <v>6301</v>
      </c>
      <c r="AF140" s="76">
        <v>8575</v>
      </c>
      <c r="AG140" s="76">
        <v>1035</v>
      </c>
      <c r="AH140" s="76">
        <v>1410</v>
      </c>
      <c r="AI140" s="76">
        <v>97</v>
      </c>
      <c r="AJ140" s="76">
        <v>0</v>
      </c>
      <c r="AK140" s="76">
        <v>0</v>
      </c>
      <c r="AL140" s="76" t="b">
        <v>0</v>
      </c>
      <c r="AM140" s="78">
        <v>40109.85451388889</v>
      </c>
      <c r="AN140" s="76" t="s">
        <v>6534</v>
      </c>
      <c r="AO140" s="76" t="s">
        <v>6757</v>
      </c>
      <c r="AP140" s="76"/>
      <c r="AQ140" s="76"/>
      <c r="AR140" s="76"/>
      <c r="AS140" s="76"/>
      <c r="AT140" s="76"/>
      <c r="AU140" s="76"/>
      <c r="AV140" s="76"/>
      <c r="AW140" s="76"/>
      <c r="AX140" s="76" t="b">
        <v>0</v>
      </c>
      <c r="AY140" s="76"/>
      <c r="AZ140" s="76"/>
      <c r="BA140" s="76" t="b">
        <v>0</v>
      </c>
      <c r="BB140" s="76" t="b">
        <v>1</v>
      </c>
      <c r="BC140" s="76" t="b">
        <v>0</v>
      </c>
      <c r="BD140" s="76" t="b">
        <v>0</v>
      </c>
      <c r="BE140" s="76" t="b">
        <v>0</v>
      </c>
      <c r="BF140" s="76" t="b">
        <v>0</v>
      </c>
      <c r="BG140" s="76" t="b">
        <v>0</v>
      </c>
      <c r="BH140" s="76"/>
      <c r="BI140" s="76"/>
      <c r="BJ140" s="76" t="s">
        <v>7188</v>
      </c>
      <c r="BK140" s="76" t="b">
        <v>0</v>
      </c>
      <c r="BL140" s="76"/>
      <c r="BM140" s="76" t="s">
        <v>65</v>
      </c>
      <c r="BN140" s="76" t="s">
        <v>7190</v>
      </c>
      <c r="BO140" s="82" t="str">
        <f>HYPERLINK("https://twitter.com/development_web")</f>
        <v>https://twitter.com/development_web</v>
      </c>
      <c r="BP140" s="46"/>
      <c r="BQ140" s="46"/>
      <c r="BR140" s="46"/>
      <c r="BS140" s="46"/>
      <c r="BT140" s="46"/>
      <c r="BU140" s="46"/>
      <c r="BV140" s="46"/>
      <c r="BW140" s="46"/>
      <c r="BX140" s="46"/>
      <c r="BY140" s="46"/>
      <c r="BZ140" s="2"/>
    </row>
    <row r="141" spans="1:78" ht="15">
      <c r="A141" s="62" t="s">
        <v>478</v>
      </c>
      <c r="B141" s="63"/>
      <c r="C141" s="63"/>
      <c r="D141" s="64"/>
      <c r="E141" s="66"/>
      <c r="F141" s="100" t="str">
        <f>HYPERLINK("https://pbs.twimg.com/profile_images/1707763817957007360/7Iqiqmvd_normal.png")</f>
        <v>https://pbs.twimg.com/profile_images/1707763817957007360/7Iqiqmvd_normal.png</v>
      </c>
      <c r="G141" s="63"/>
      <c r="H141" s="67"/>
      <c r="I141" s="68"/>
      <c r="J141" s="68"/>
      <c r="K141" s="67" t="s">
        <v>7328</v>
      </c>
      <c r="L141" s="71"/>
      <c r="M141" s="72">
        <v>4027.144775390625</v>
      </c>
      <c r="N141" s="72">
        <v>412.6834411621094</v>
      </c>
      <c r="O141" s="73"/>
      <c r="P141" s="74"/>
      <c r="Q141" s="74"/>
      <c r="R141" s="86"/>
      <c r="S141" s="46">
        <v>1</v>
      </c>
      <c r="T141" s="46">
        <v>0</v>
      </c>
      <c r="U141" s="47">
        <v>0</v>
      </c>
      <c r="V141" s="47">
        <v>0.214691</v>
      </c>
      <c r="W141" s="47">
        <v>0.062026</v>
      </c>
      <c r="X141" s="47">
        <v>0.002499</v>
      </c>
      <c r="Y141" s="47">
        <v>0</v>
      </c>
      <c r="Z141" s="47">
        <v>0</v>
      </c>
      <c r="AA141" s="69">
        <v>141</v>
      </c>
      <c r="AB141" s="69"/>
      <c r="AC141" s="70"/>
      <c r="AD141" s="76" t="s">
        <v>6006</v>
      </c>
      <c r="AE141" s="83" t="s">
        <v>5740</v>
      </c>
      <c r="AF141" s="76">
        <v>1040</v>
      </c>
      <c r="AG141" s="76">
        <v>135</v>
      </c>
      <c r="AH141" s="76">
        <v>4950</v>
      </c>
      <c r="AI141" s="76">
        <v>18</v>
      </c>
      <c r="AJ141" s="76">
        <v>23607</v>
      </c>
      <c r="AK141" s="76">
        <v>205</v>
      </c>
      <c r="AL141" s="76" t="b">
        <v>0</v>
      </c>
      <c r="AM141" s="78">
        <v>44604.65734953704</v>
      </c>
      <c r="AN141" s="76"/>
      <c r="AO141" s="76" t="s">
        <v>6758</v>
      </c>
      <c r="AP141" s="76"/>
      <c r="AQ141" s="76"/>
      <c r="AR141" s="76"/>
      <c r="AS141" s="76"/>
      <c r="AT141" s="76"/>
      <c r="AU141" s="76"/>
      <c r="AV141" s="76">
        <v>1.73671020714779E+18</v>
      </c>
      <c r="AW141" s="76"/>
      <c r="AX141" s="76" t="b">
        <v>0</v>
      </c>
      <c r="AY141" s="76"/>
      <c r="AZ141" s="76"/>
      <c r="BA141" s="76" t="b">
        <v>1</v>
      </c>
      <c r="BB141" s="76" t="b">
        <v>1</v>
      </c>
      <c r="BC141" s="76" t="b">
        <v>1</v>
      </c>
      <c r="BD141" s="76" t="b">
        <v>0</v>
      </c>
      <c r="BE141" s="76" t="b">
        <v>0</v>
      </c>
      <c r="BF141" s="76" t="b">
        <v>0</v>
      </c>
      <c r="BG141" s="76" t="b">
        <v>0</v>
      </c>
      <c r="BH141" s="82" t="str">
        <f>HYPERLINK("https://pbs.twimg.com/profile_banners/1492525372499537934/1700385865")</f>
        <v>https://pbs.twimg.com/profile_banners/1492525372499537934/1700385865</v>
      </c>
      <c r="BI141" s="76"/>
      <c r="BJ141" s="76" t="s">
        <v>7188</v>
      </c>
      <c r="BK141" s="76" t="b">
        <v>0</v>
      </c>
      <c r="BL141" s="76"/>
      <c r="BM141" s="76" t="s">
        <v>65</v>
      </c>
      <c r="BN141" s="76" t="s">
        <v>7190</v>
      </c>
      <c r="BO141" s="82" t="str">
        <f>HYPERLINK("https://twitter.com/iamjordan")</f>
        <v>https://twitter.com/iamjordan</v>
      </c>
      <c r="BP141" s="46"/>
      <c r="BQ141" s="46"/>
      <c r="BR141" s="46"/>
      <c r="BS141" s="46"/>
      <c r="BT141" s="46"/>
      <c r="BU141" s="46"/>
      <c r="BV141" s="46"/>
      <c r="BW141" s="46"/>
      <c r="BX141" s="46"/>
      <c r="BY141" s="46"/>
      <c r="BZ141" s="2"/>
    </row>
    <row r="142" spans="1:78" ht="15">
      <c r="A142" s="62" t="s">
        <v>479</v>
      </c>
      <c r="B142" s="63"/>
      <c r="C142" s="63"/>
      <c r="D142" s="64"/>
      <c r="E142" s="66"/>
      <c r="F142" s="100" t="str">
        <f>HYPERLINK("https://pbs.twimg.com/profile_images/1699537184020189185/K2AtIXyP_normal.jpg")</f>
        <v>https://pbs.twimg.com/profile_images/1699537184020189185/K2AtIXyP_normal.jpg</v>
      </c>
      <c r="G142" s="63"/>
      <c r="H142" s="67"/>
      <c r="I142" s="68"/>
      <c r="J142" s="68"/>
      <c r="K142" s="67" t="s">
        <v>7329</v>
      </c>
      <c r="L142" s="71"/>
      <c r="M142" s="72">
        <v>4053.784423828125</v>
      </c>
      <c r="N142" s="72">
        <v>458.9725341796875</v>
      </c>
      <c r="O142" s="73"/>
      <c r="P142" s="74"/>
      <c r="Q142" s="74"/>
      <c r="R142" s="86"/>
      <c r="S142" s="46">
        <v>1</v>
      </c>
      <c r="T142" s="46">
        <v>0</v>
      </c>
      <c r="U142" s="47">
        <v>0</v>
      </c>
      <c r="V142" s="47">
        <v>0.214691</v>
      </c>
      <c r="W142" s="47">
        <v>0.062026</v>
      </c>
      <c r="X142" s="47">
        <v>0.002499</v>
      </c>
      <c r="Y142" s="47">
        <v>0</v>
      </c>
      <c r="Z142" s="47">
        <v>0</v>
      </c>
      <c r="AA142" s="69">
        <v>142</v>
      </c>
      <c r="AB142" s="69"/>
      <c r="AC142" s="70"/>
      <c r="AD142" s="76" t="s">
        <v>6007</v>
      </c>
      <c r="AE142" s="83" t="s">
        <v>6302</v>
      </c>
      <c r="AF142" s="76">
        <v>29714</v>
      </c>
      <c r="AG142" s="76">
        <v>7720</v>
      </c>
      <c r="AH142" s="76">
        <v>27203</v>
      </c>
      <c r="AI142" s="76">
        <v>727</v>
      </c>
      <c r="AJ142" s="76">
        <v>9468</v>
      </c>
      <c r="AK142" s="76">
        <v>1052</v>
      </c>
      <c r="AL142" s="76" t="b">
        <v>0</v>
      </c>
      <c r="AM142" s="78">
        <v>40509.76399305555</v>
      </c>
      <c r="AN142" s="76" t="s">
        <v>6535</v>
      </c>
      <c r="AO142" s="76" t="s">
        <v>6759</v>
      </c>
      <c r="AP142" s="82" t="str">
        <f>HYPERLINK("https://t.co/1UqOGHHjpS")</f>
        <v>https://t.co/1UqOGHHjpS</v>
      </c>
      <c r="AQ142" s="82" t="str">
        <f>HYPERLINK("http://www.cnn.com/profiles/zachary-cohen-profile")</f>
        <v>http://www.cnn.com/profiles/zachary-cohen-profile</v>
      </c>
      <c r="AR142" s="76" t="s">
        <v>7021</v>
      </c>
      <c r="AS142" s="76"/>
      <c r="AT142" s="76"/>
      <c r="AU142" s="76"/>
      <c r="AV142" s="76">
        <v>1.73564903384931E+18</v>
      </c>
      <c r="AW142" s="82" t="str">
        <f>HYPERLINK("https://t.co/1UqOGHHjpS")</f>
        <v>https://t.co/1UqOGHHjpS</v>
      </c>
      <c r="AX142" s="76" t="b">
        <v>0</v>
      </c>
      <c r="AY142" s="76"/>
      <c r="AZ142" s="76"/>
      <c r="BA142" s="76" t="b">
        <v>1</v>
      </c>
      <c r="BB142" s="76" t="b">
        <v>1</v>
      </c>
      <c r="BC142" s="76" t="b">
        <v>0</v>
      </c>
      <c r="BD142" s="76" t="b">
        <v>0</v>
      </c>
      <c r="BE142" s="76" t="b">
        <v>1</v>
      </c>
      <c r="BF142" s="76" t="b">
        <v>0</v>
      </c>
      <c r="BG142" s="76" t="b">
        <v>0</v>
      </c>
      <c r="BH142" s="82" t="str">
        <f>HYPERLINK("https://pbs.twimg.com/profile_banners/220412723/1694055770")</f>
        <v>https://pbs.twimg.com/profile_banners/220412723/1694055770</v>
      </c>
      <c r="BI142" s="76"/>
      <c r="BJ142" s="76" t="s">
        <v>7188</v>
      </c>
      <c r="BK142" s="76" t="b">
        <v>0</v>
      </c>
      <c r="BL142" s="76"/>
      <c r="BM142" s="76" t="s">
        <v>65</v>
      </c>
      <c r="BN142" s="76" t="s">
        <v>7190</v>
      </c>
      <c r="BO142" s="82" t="str">
        <f>HYPERLINK("https://twitter.com/zcohencnn")</f>
        <v>https://twitter.com/zcohencnn</v>
      </c>
      <c r="BP142" s="46"/>
      <c r="BQ142" s="46"/>
      <c r="BR142" s="46"/>
      <c r="BS142" s="46"/>
      <c r="BT142" s="46"/>
      <c r="BU142" s="46"/>
      <c r="BV142" s="46"/>
      <c r="BW142" s="46"/>
      <c r="BX142" s="46"/>
      <c r="BY142" s="46"/>
      <c r="BZ142" s="2"/>
    </row>
    <row r="143" spans="1:78" ht="15">
      <c r="A143" s="62" t="s">
        <v>480</v>
      </c>
      <c r="B143" s="63"/>
      <c r="C143" s="63"/>
      <c r="D143" s="64"/>
      <c r="E143" s="66"/>
      <c r="F143" s="100" t="str">
        <f>HYPERLINK("https://pbs.twimg.com/profile_images/1068621443003498496/93cYja7I_normal.jpg")</f>
        <v>https://pbs.twimg.com/profile_images/1068621443003498496/93cYja7I_normal.jpg</v>
      </c>
      <c r="G143" s="63"/>
      <c r="H143" s="67"/>
      <c r="I143" s="68"/>
      <c r="J143" s="68"/>
      <c r="K143" s="67" t="s">
        <v>7330</v>
      </c>
      <c r="L143" s="71"/>
      <c r="M143" s="72">
        <v>4080.42431640625</v>
      </c>
      <c r="N143" s="72">
        <v>511.1484375</v>
      </c>
      <c r="O143" s="73"/>
      <c r="P143" s="74"/>
      <c r="Q143" s="74"/>
      <c r="R143" s="86"/>
      <c r="S143" s="46">
        <v>1</v>
      </c>
      <c r="T143" s="46">
        <v>0</v>
      </c>
      <c r="U143" s="47">
        <v>0</v>
      </c>
      <c r="V143" s="47">
        <v>0.214691</v>
      </c>
      <c r="W143" s="47">
        <v>0.062026</v>
      </c>
      <c r="X143" s="47">
        <v>0.002499</v>
      </c>
      <c r="Y143" s="47">
        <v>0</v>
      </c>
      <c r="Z143" s="47">
        <v>0</v>
      </c>
      <c r="AA143" s="69">
        <v>143</v>
      </c>
      <c r="AB143" s="69"/>
      <c r="AC143" s="70"/>
      <c r="AD143" s="76" t="s">
        <v>6008</v>
      </c>
      <c r="AE143" s="83" t="s">
        <v>6303</v>
      </c>
      <c r="AF143" s="76">
        <v>66408</v>
      </c>
      <c r="AG143" s="76">
        <v>2309</v>
      </c>
      <c r="AH143" s="76">
        <v>30348</v>
      </c>
      <c r="AI143" s="76">
        <v>1017</v>
      </c>
      <c r="AJ143" s="76">
        <v>17547</v>
      </c>
      <c r="AK143" s="76">
        <v>725</v>
      </c>
      <c r="AL143" s="76" t="b">
        <v>0</v>
      </c>
      <c r="AM143" s="78">
        <v>40142.64356481482</v>
      </c>
      <c r="AN143" s="76" t="s">
        <v>6536</v>
      </c>
      <c r="AO143" s="76" t="s">
        <v>6760</v>
      </c>
      <c r="AP143" s="82" t="str">
        <f>HYPERLINK("https://t.co/IXkJlrmeDA")</f>
        <v>https://t.co/IXkJlrmeDA</v>
      </c>
      <c r="AQ143" s="82" t="str">
        <f>HYPERLINK("http://CNN.com")</f>
        <v>http://CNN.com</v>
      </c>
      <c r="AR143" s="76" t="s">
        <v>7022</v>
      </c>
      <c r="AS143" s="76"/>
      <c r="AT143" s="76"/>
      <c r="AU143" s="76"/>
      <c r="AV143" s="76"/>
      <c r="AW143" s="82" t="str">
        <f>HYPERLINK("https://t.co/IXkJlrmeDA")</f>
        <v>https://t.co/IXkJlrmeDA</v>
      </c>
      <c r="AX143" s="76" t="b">
        <v>0</v>
      </c>
      <c r="AY143" s="76"/>
      <c r="AZ143" s="76"/>
      <c r="BA143" s="76" t="b">
        <v>0</v>
      </c>
      <c r="BB143" s="76" t="b">
        <v>1</v>
      </c>
      <c r="BC143" s="76" t="b">
        <v>0</v>
      </c>
      <c r="BD143" s="76" t="b">
        <v>0</v>
      </c>
      <c r="BE143" s="76" t="b">
        <v>1</v>
      </c>
      <c r="BF143" s="76" t="b">
        <v>0</v>
      </c>
      <c r="BG143" s="76" t="b">
        <v>0</v>
      </c>
      <c r="BH143" s="82" t="str">
        <f>HYPERLINK("https://pbs.twimg.com/profile_banners/92544900/1374115996")</f>
        <v>https://pbs.twimg.com/profile_banners/92544900/1374115996</v>
      </c>
      <c r="BI143" s="76"/>
      <c r="BJ143" s="76" t="s">
        <v>7188</v>
      </c>
      <c r="BK143" s="76" t="b">
        <v>0</v>
      </c>
      <c r="BL143" s="76"/>
      <c r="BM143" s="76" t="s">
        <v>65</v>
      </c>
      <c r="BN143" s="76" t="s">
        <v>7190</v>
      </c>
      <c r="BO143" s="82" t="str">
        <f>HYPERLINK("https://twitter.com/evanperez")</f>
        <v>https://twitter.com/evanperez</v>
      </c>
      <c r="BP143" s="46"/>
      <c r="BQ143" s="46"/>
      <c r="BR143" s="46"/>
      <c r="BS143" s="46"/>
      <c r="BT143" s="46"/>
      <c r="BU143" s="46"/>
      <c r="BV143" s="46"/>
      <c r="BW143" s="46"/>
      <c r="BX143" s="46"/>
      <c r="BY143" s="46"/>
      <c r="BZ143" s="2"/>
    </row>
    <row r="144" spans="1:78" ht="15">
      <c r="A144" s="62" t="s">
        <v>481</v>
      </c>
      <c r="B144" s="63"/>
      <c r="C144" s="63"/>
      <c r="D144" s="64"/>
      <c r="E144" s="66"/>
      <c r="F144" s="100" t="str">
        <f>HYPERLINK("https://pbs.twimg.com/profile_images/1507284795486879753/uMQ_pbsq_normal.jpg")</f>
        <v>https://pbs.twimg.com/profile_images/1507284795486879753/uMQ_pbsq_normal.jpg</v>
      </c>
      <c r="G144" s="63"/>
      <c r="H144" s="67"/>
      <c r="I144" s="68"/>
      <c r="J144" s="68"/>
      <c r="K144" s="67" t="s">
        <v>7331</v>
      </c>
      <c r="L144" s="71"/>
      <c r="M144" s="72">
        <v>4107.064453125</v>
      </c>
      <c r="N144" s="72">
        <v>569.1417846679688</v>
      </c>
      <c r="O144" s="73"/>
      <c r="P144" s="74"/>
      <c r="Q144" s="74"/>
      <c r="R144" s="86"/>
      <c r="S144" s="46">
        <v>1</v>
      </c>
      <c r="T144" s="46">
        <v>0</v>
      </c>
      <c r="U144" s="47">
        <v>0</v>
      </c>
      <c r="V144" s="47">
        <v>0.214691</v>
      </c>
      <c r="W144" s="47">
        <v>0.062026</v>
      </c>
      <c r="X144" s="47">
        <v>0.002499</v>
      </c>
      <c r="Y144" s="47">
        <v>0</v>
      </c>
      <c r="Z144" s="47">
        <v>0</v>
      </c>
      <c r="AA144" s="69">
        <v>144</v>
      </c>
      <c r="AB144" s="69"/>
      <c r="AC144" s="70"/>
      <c r="AD144" s="76" t="s">
        <v>6009</v>
      </c>
      <c r="AE144" s="83" t="s">
        <v>6304</v>
      </c>
      <c r="AF144" s="76">
        <v>773204</v>
      </c>
      <c r="AG144" s="76">
        <v>6589</v>
      </c>
      <c r="AH144" s="76">
        <v>32353</v>
      </c>
      <c r="AI144" s="76">
        <v>8898</v>
      </c>
      <c r="AJ144" s="76">
        <v>37176</v>
      </c>
      <c r="AK144" s="76">
        <v>2425</v>
      </c>
      <c r="AL144" s="76" t="b">
        <v>0</v>
      </c>
      <c r="AM144" s="78">
        <v>40798.973078703704</v>
      </c>
      <c r="AN144" s="76" t="s">
        <v>6535</v>
      </c>
      <c r="AO144" s="76" t="s">
        <v>6761</v>
      </c>
      <c r="AP144" s="82" t="str">
        <f>HYPERLINK("https://t.co/JOmxXcguGR")</f>
        <v>https://t.co/JOmxXcguGR</v>
      </c>
      <c r="AQ144" s="82" t="str">
        <f>HYPERLINK("https://www.cnn.com/profiles/natasha-bertrand-profile")</f>
        <v>https://www.cnn.com/profiles/natasha-bertrand-profile</v>
      </c>
      <c r="AR144" s="76" t="s">
        <v>7023</v>
      </c>
      <c r="AS144" s="76"/>
      <c r="AT144" s="76"/>
      <c r="AU144" s="76"/>
      <c r="AV144" s="76"/>
      <c r="AW144" s="82" t="str">
        <f>HYPERLINK("https://t.co/JOmxXcguGR")</f>
        <v>https://t.co/JOmxXcguGR</v>
      </c>
      <c r="AX144" s="76" t="b">
        <v>0</v>
      </c>
      <c r="AY144" s="76"/>
      <c r="AZ144" s="76"/>
      <c r="BA144" s="76" t="b">
        <v>1</v>
      </c>
      <c r="BB144" s="76" t="b">
        <v>1</v>
      </c>
      <c r="BC144" s="76" t="b">
        <v>0</v>
      </c>
      <c r="BD144" s="76" t="b">
        <v>0</v>
      </c>
      <c r="BE144" s="76" t="b">
        <v>0</v>
      </c>
      <c r="BF144" s="76" t="b">
        <v>0</v>
      </c>
      <c r="BG144" s="76" t="b">
        <v>0</v>
      </c>
      <c r="BH144" s="82" t="str">
        <f>HYPERLINK("https://pbs.twimg.com/profile_banners/372536101/1689324268")</f>
        <v>https://pbs.twimg.com/profile_banners/372536101/1689324268</v>
      </c>
      <c r="BI144" s="76"/>
      <c r="BJ144" s="76" t="s">
        <v>7189</v>
      </c>
      <c r="BK144" s="76" t="b">
        <v>0</v>
      </c>
      <c r="BL144" s="76"/>
      <c r="BM144" s="76" t="s">
        <v>65</v>
      </c>
      <c r="BN144" s="76" t="s">
        <v>7190</v>
      </c>
      <c r="BO144" s="82" t="str">
        <f>HYPERLINK("https://twitter.com/natashabertrand")</f>
        <v>https://twitter.com/natashabertrand</v>
      </c>
      <c r="BP144" s="46"/>
      <c r="BQ144" s="46"/>
      <c r="BR144" s="46"/>
      <c r="BS144" s="46"/>
      <c r="BT144" s="46"/>
      <c r="BU144" s="46"/>
      <c r="BV144" s="46"/>
      <c r="BW144" s="46"/>
      <c r="BX144" s="46"/>
      <c r="BY144" s="46"/>
      <c r="BZ144" s="2"/>
    </row>
    <row r="145" spans="1:78" ht="15">
      <c r="A145" s="62" t="s">
        <v>482</v>
      </c>
      <c r="B145" s="63"/>
      <c r="C145" s="63"/>
      <c r="D145" s="64"/>
      <c r="E145" s="66"/>
      <c r="F145" s="100" t="str">
        <f>HYPERLINK("https://pbs.twimg.com/profile_images/1491108784319705091/MeqKyNcP_normal.jpg")</f>
        <v>https://pbs.twimg.com/profile_images/1491108784319705091/MeqKyNcP_normal.jpg</v>
      </c>
      <c r="G145" s="63"/>
      <c r="H145" s="67"/>
      <c r="I145" s="68"/>
      <c r="J145" s="68"/>
      <c r="K145" s="67" t="s">
        <v>7332</v>
      </c>
      <c r="L145" s="71"/>
      <c r="M145" s="72">
        <v>4133.7041015625</v>
      </c>
      <c r="N145" s="72">
        <v>632.8784790039062</v>
      </c>
      <c r="O145" s="73"/>
      <c r="P145" s="74"/>
      <c r="Q145" s="74"/>
      <c r="R145" s="86"/>
      <c r="S145" s="46">
        <v>1</v>
      </c>
      <c r="T145" s="46">
        <v>0</v>
      </c>
      <c r="U145" s="47">
        <v>0</v>
      </c>
      <c r="V145" s="47">
        <v>0.214691</v>
      </c>
      <c r="W145" s="47">
        <v>0.062026</v>
      </c>
      <c r="X145" s="47">
        <v>0.002499</v>
      </c>
      <c r="Y145" s="47">
        <v>0</v>
      </c>
      <c r="Z145" s="47">
        <v>0</v>
      </c>
      <c r="AA145" s="69">
        <v>145</v>
      </c>
      <c r="AB145" s="69"/>
      <c r="AC145" s="70"/>
      <c r="AD145" s="76" t="s">
        <v>6010</v>
      </c>
      <c r="AE145" s="83" t="s">
        <v>6305</v>
      </c>
      <c r="AF145" s="76">
        <v>28854</v>
      </c>
      <c r="AG145" s="76">
        <v>2774</v>
      </c>
      <c r="AH145" s="76">
        <v>22202</v>
      </c>
      <c r="AI145" s="76">
        <v>844</v>
      </c>
      <c r="AJ145" s="76">
        <v>13008</v>
      </c>
      <c r="AK145" s="76">
        <v>1256</v>
      </c>
      <c r="AL145" s="76" t="b">
        <v>0</v>
      </c>
      <c r="AM145" s="78">
        <v>41704.66675925926</v>
      </c>
      <c r="AN145" s="76" t="s">
        <v>6537</v>
      </c>
      <c r="AO145" s="76" t="s">
        <v>6762</v>
      </c>
      <c r="AP145" s="76"/>
      <c r="AQ145" s="76"/>
      <c r="AR145" s="76"/>
      <c r="AS145" s="76"/>
      <c r="AT145" s="76"/>
      <c r="AU145" s="76"/>
      <c r="AV145" s="76">
        <v>1.32229708268268E+18</v>
      </c>
      <c r="AW145" s="76"/>
      <c r="AX145" s="76" t="b">
        <v>0</v>
      </c>
      <c r="AY145" s="76"/>
      <c r="AZ145" s="76"/>
      <c r="BA145" s="76" t="b">
        <v>1</v>
      </c>
      <c r="BB145" s="76" t="b">
        <v>1</v>
      </c>
      <c r="BC145" s="76" t="b">
        <v>1</v>
      </c>
      <c r="BD145" s="76" t="b">
        <v>0</v>
      </c>
      <c r="BE145" s="76" t="b">
        <v>1</v>
      </c>
      <c r="BF145" s="76" t="b">
        <v>0</v>
      </c>
      <c r="BG145" s="76" t="b">
        <v>0</v>
      </c>
      <c r="BH145" s="82" t="str">
        <f>HYPERLINK("https://pbs.twimg.com/profile_banners/2375574151/1649341040")</f>
        <v>https://pbs.twimg.com/profile_banners/2375574151/1649341040</v>
      </c>
      <c r="BI145" s="76"/>
      <c r="BJ145" s="76" t="s">
        <v>7188</v>
      </c>
      <c r="BK145" s="76" t="b">
        <v>0</v>
      </c>
      <c r="BL145" s="76"/>
      <c r="BM145" s="76" t="s">
        <v>65</v>
      </c>
      <c r="BN145" s="76" t="s">
        <v>7190</v>
      </c>
      <c r="BO145" s="82" t="str">
        <f>HYPERLINK("https://twitter.com/katiebolillis")</f>
        <v>https://twitter.com/katiebolillis</v>
      </c>
      <c r="BP145" s="46"/>
      <c r="BQ145" s="46"/>
      <c r="BR145" s="46"/>
      <c r="BS145" s="46"/>
      <c r="BT145" s="46"/>
      <c r="BU145" s="46"/>
      <c r="BV145" s="46"/>
      <c r="BW145" s="46"/>
      <c r="BX145" s="46"/>
      <c r="BY145" s="46"/>
      <c r="BZ145" s="2"/>
    </row>
    <row r="146" spans="1:78" ht="15">
      <c r="A146" s="62" t="s">
        <v>483</v>
      </c>
      <c r="B146" s="63"/>
      <c r="C146" s="63"/>
      <c r="D146" s="64"/>
      <c r="E146" s="66"/>
      <c r="F146" s="100" t="str">
        <f>HYPERLINK("https://pbs.twimg.com/profile_images/765307987007340544/H1POgXxC_normal.jpg")</f>
        <v>https://pbs.twimg.com/profile_images/765307987007340544/H1POgXxC_normal.jpg</v>
      </c>
      <c r="G146" s="63"/>
      <c r="H146" s="67"/>
      <c r="I146" s="68"/>
      <c r="J146" s="68"/>
      <c r="K146" s="67" t="s">
        <v>7333</v>
      </c>
      <c r="L146" s="71"/>
      <c r="M146" s="72">
        <v>4160.34375</v>
      </c>
      <c r="N146" s="72">
        <v>702.2760620117188</v>
      </c>
      <c r="O146" s="73"/>
      <c r="P146" s="74"/>
      <c r="Q146" s="74"/>
      <c r="R146" s="86"/>
      <c r="S146" s="46">
        <v>1</v>
      </c>
      <c r="T146" s="46">
        <v>0</v>
      </c>
      <c r="U146" s="47">
        <v>0</v>
      </c>
      <c r="V146" s="47">
        <v>0.214691</v>
      </c>
      <c r="W146" s="47">
        <v>0.062026</v>
      </c>
      <c r="X146" s="47">
        <v>0.002499</v>
      </c>
      <c r="Y146" s="47">
        <v>0</v>
      </c>
      <c r="Z146" s="47">
        <v>0</v>
      </c>
      <c r="AA146" s="69">
        <v>146</v>
      </c>
      <c r="AB146" s="69"/>
      <c r="AC146" s="70"/>
      <c r="AD146" s="76" t="s">
        <v>6011</v>
      </c>
      <c r="AE146" s="83" t="s">
        <v>6306</v>
      </c>
      <c r="AF146" s="76">
        <v>34416</v>
      </c>
      <c r="AG146" s="76">
        <v>3354</v>
      </c>
      <c r="AH146" s="76">
        <v>22691</v>
      </c>
      <c r="AI146" s="76">
        <v>1142</v>
      </c>
      <c r="AJ146" s="76">
        <v>4173</v>
      </c>
      <c r="AK146" s="76">
        <v>1167</v>
      </c>
      <c r="AL146" s="76" t="b">
        <v>0</v>
      </c>
      <c r="AM146" s="78">
        <v>40330.638865740744</v>
      </c>
      <c r="AN146" s="76"/>
      <c r="AO146" s="76" t="s">
        <v>6763</v>
      </c>
      <c r="AP146" s="82" t="str">
        <f>HYPERLINK("https://t.co/KWFMkrEjdY")</f>
        <v>https://t.co/KWFMkrEjdY</v>
      </c>
      <c r="AQ146" s="82" t="str">
        <f>HYPERLINK("http://cnn.com/politics")</f>
        <v>http://cnn.com/politics</v>
      </c>
      <c r="AR146" s="76" t="s">
        <v>7024</v>
      </c>
      <c r="AS146" s="76"/>
      <c r="AT146" s="76"/>
      <c r="AU146" s="76"/>
      <c r="AV146" s="76">
        <v>9.54084360654917E+17</v>
      </c>
      <c r="AW146" s="82" t="str">
        <f>HYPERLINK("https://t.co/KWFMkrEjdY")</f>
        <v>https://t.co/KWFMkrEjdY</v>
      </c>
      <c r="AX146" s="76" t="b">
        <v>0</v>
      </c>
      <c r="AY146" s="76"/>
      <c r="AZ146" s="76"/>
      <c r="BA146" s="76" t="b">
        <v>1</v>
      </c>
      <c r="BB146" s="76" t="b">
        <v>1</v>
      </c>
      <c r="BC146" s="76" t="b">
        <v>1</v>
      </c>
      <c r="BD146" s="76" t="b">
        <v>0</v>
      </c>
      <c r="BE146" s="76" t="b">
        <v>0</v>
      </c>
      <c r="BF146" s="76" t="b">
        <v>0</v>
      </c>
      <c r="BG146" s="76" t="b">
        <v>0</v>
      </c>
      <c r="BH146" s="82" t="str">
        <f>HYPERLINK("https://pbs.twimg.com/profile_banners/150686538/1427739475")</f>
        <v>https://pbs.twimg.com/profile_banners/150686538/1427739475</v>
      </c>
      <c r="BI146" s="76"/>
      <c r="BJ146" s="76" t="s">
        <v>7188</v>
      </c>
      <c r="BK146" s="76" t="b">
        <v>0</v>
      </c>
      <c r="BL146" s="76"/>
      <c r="BM146" s="76" t="s">
        <v>65</v>
      </c>
      <c r="BN146" s="76" t="s">
        <v>7190</v>
      </c>
      <c r="BO146" s="82" t="str">
        <f>HYPERLINK("https://twitter.com/jeremyherb")</f>
        <v>https://twitter.com/jeremyherb</v>
      </c>
      <c r="BP146" s="46"/>
      <c r="BQ146" s="46"/>
      <c r="BR146" s="46"/>
      <c r="BS146" s="46"/>
      <c r="BT146" s="46"/>
      <c r="BU146" s="46"/>
      <c r="BV146" s="46"/>
      <c r="BW146" s="46"/>
      <c r="BX146" s="46"/>
      <c r="BY146" s="46"/>
      <c r="BZ146" s="2"/>
    </row>
    <row r="147" spans="1:78" ht="15">
      <c r="A147" s="62" t="s">
        <v>484</v>
      </c>
      <c r="B147" s="63"/>
      <c r="C147" s="63"/>
      <c r="D147" s="64"/>
      <c r="E147" s="66"/>
      <c r="F147" s="100" t="str">
        <f>HYPERLINK("https://pbs.twimg.com/profile_images/1689234500050468864/X6-h8Vyw_normal.jpg")</f>
        <v>https://pbs.twimg.com/profile_images/1689234500050468864/X6-h8Vyw_normal.jpg</v>
      </c>
      <c r="G147" s="63"/>
      <c r="H147" s="67"/>
      <c r="I147" s="68"/>
      <c r="J147" s="68"/>
      <c r="K147" s="67" t="s">
        <v>7334</v>
      </c>
      <c r="L147" s="71"/>
      <c r="M147" s="72">
        <v>4186.98388671875</v>
      </c>
      <c r="N147" s="72">
        <v>777.2443237304688</v>
      </c>
      <c r="O147" s="73"/>
      <c r="P147" s="74"/>
      <c r="Q147" s="74"/>
      <c r="R147" s="86"/>
      <c r="S147" s="46">
        <v>1</v>
      </c>
      <c r="T147" s="46">
        <v>0</v>
      </c>
      <c r="U147" s="47">
        <v>0</v>
      </c>
      <c r="V147" s="47">
        <v>0.214691</v>
      </c>
      <c r="W147" s="47">
        <v>0.062026</v>
      </c>
      <c r="X147" s="47">
        <v>0.002499</v>
      </c>
      <c r="Y147" s="47">
        <v>0</v>
      </c>
      <c r="Z147" s="47">
        <v>0</v>
      </c>
      <c r="AA147" s="69">
        <v>147</v>
      </c>
      <c r="AB147" s="69"/>
      <c r="AC147" s="70"/>
      <c r="AD147" s="76" t="s">
        <v>6012</v>
      </c>
      <c r="AE147" s="83" t="s">
        <v>5741</v>
      </c>
      <c r="AF147" s="76">
        <v>9502</v>
      </c>
      <c r="AG147" s="76">
        <v>570</v>
      </c>
      <c r="AH147" s="76">
        <v>12875</v>
      </c>
      <c r="AI147" s="76">
        <v>145</v>
      </c>
      <c r="AJ147" s="76">
        <v>19353</v>
      </c>
      <c r="AK147" s="76">
        <v>922</v>
      </c>
      <c r="AL147" s="76" t="b">
        <v>0</v>
      </c>
      <c r="AM147" s="78">
        <v>44946.32078703704</v>
      </c>
      <c r="AN147" s="76"/>
      <c r="AO147" s="76" t="s">
        <v>6764</v>
      </c>
      <c r="AP147" s="82" t="str">
        <f>HYPERLINK("https://t.co/VNuRDSegJ2")</f>
        <v>https://t.co/VNuRDSegJ2</v>
      </c>
      <c r="AQ147" s="82" t="str">
        <f>HYPERLINK("https://thesamurai.beehiiv.com/")</f>
        <v>https://thesamurai.beehiiv.com/</v>
      </c>
      <c r="AR147" s="76" t="s">
        <v>7025</v>
      </c>
      <c r="AS147" s="76"/>
      <c r="AT147" s="76"/>
      <c r="AU147" s="76"/>
      <c r="AV147" s="76">
        <v>1.7326536446113E+18</v>
      </c>
      <c r="AW147" s="82" t="str">
        <f>HYPERLINK("https://t.co/VNuRDSegJ2")</f>
        <v>https://t.co/VNuRDSegJ2</v>
      </c>
      <c r="AX147" s="76" t="b">
        <v>1</v>
      </c>
      <c r="AY147" s="76"/>
      <c r="AZ147" s="76"/>
      <c r="BA147" s="76" t="b">
        <v>1</v>
      </c>
      <c r="BB147" s="76" t="b">
        <v>1</v>
      </c>
      <c r="BC147" s="76" t="b">
        <v>1</v>
      </c>
      <c r="BD147" s="76" t="b">
        <v>0</v>
      </c>
      <c r="BE147" s="76" t="b">
        <v>1</v>
      </c>
      <c r="BF147" s="76" t="b">
        <v>0</v>
      </c>
      <c r="BG147" s="76" t="b">
        <v>0</v>
      </c>
      <c r="BH147" s="82" t="str">
        <f>HYPERLINK("https://pbs.twimg.com/profile_banners/1616340148223987712/1691582655")</f>
        <v>https://pbs.twimg.com/profile_banners/1616340148223987712/1691582655</v>
      </c>
      <c r="BI147" s="76"/>
      <c r="BJ147" s="76" t="s">
        <v>7188</v>
      </c>
      <c r="BK147" s="76" t="b">
        <v>0</v>
      </c>
      <c r="BL147" s="76"/>
      <c r="BM147" s="76" t="s">
        <v>65</v>
      </c>
      <c r="BN147" s="76" t="s">
        <v>7190</v>
      </c>
      <c r="BO147" s="82" t="str">
        <f>HYPERLINK("https://twitter.com/samuraipreneur")</f>
        <v>https://twitter.com/samuraipreneur</v>
      </c>
      <c r="BP147" s="46"/>
      <c r="BQ147" s="46"/>
      <c r="BR147" s="46"/>
      <c r="BS147" s="46"/>
      <c r="BT147" s="46"/>
      <c r="BU147" s="46"/>
      <c r="BV147" s="46"/>
      <c r="BW147" s="46"/>
      <c r="BX147" s="46"/>
      <c r="BY147" s="46"/>
      <c r="BZ147" s="2"/>
    </row>
    <row r="148" spans="1:78" ht="15">
      <c r="A148" s="62" t="s">
        <v>485</v>
      </c>
      <c r="B148" s="63"/>
      <c r="C148" s="63"/>
      <c r="D148" s="64"/>
      <c r="E148" s="66"/>
      <c r="F148" s="100" t="str">
        <f>HYPERLINK("https://pbs.twimg.com/profile_images/1582221323777908737/a-xxqrtZ_normal.png")</f>
        <v>https://pbs.twimg.com/profile_images/1582221323777908737/a-xxqrtZ_normal.png</v>
      </c>
      <c r="G148" s="63"/>
      <c r="H148" s="67"/>
      <c r="I148" s="68"/>
      <c r="J148" s="68"/>
      <c r="K148" s="67" t="s">
        <v>7335</v>
      </c>
      <c r="L148" s="71"/>
      <c r="M148" s="72">
        <v>4213.6240234375</v>
      </c>
      <c r="N148" s="72">
        <v>857.6860961914062</v>
      </c>
      <c r="O148" s="73"/>
      <c r="P148" s="74"/>
      <c r="Q148" s="74"/>
      <c r="R148" s="86"/>
      <c r="S148" s="46">
        <v>1</v>
      </c>
      <c r="T148" s="46">
        <v>0</v>
      </c>
      <c r="U148" s="47">
        <v>0</v>
      </c>
      <c r="V148" s="47">
        <v>0.214691</v>
      </c>
      <c r="W148" s="47">
        <v>0.062026</v>
      </c>
      <c r="X148" s="47">
        <v>0.002499</v>
      </c>
      <c r="Y148" s="47">
        <v>0</v>
      </c>
      <c r="Z148" s="47">
        <v>0</v>
      </c>
      <c r="AA148" s="69">
        <v>148</v>
      </c>
      <c r="AB148" s="69"/>
      <c r="AC148" s="70"/>
      <c r="AD148" s="76" t="s">
        <v>6013</v>
      </c>
      <c r="AE148" s="83" t="s">
        <v>5742</v>
      </c>
      <c r="AF148" s="76">
        <v>3488</v>
      </c>
      <c r="AG148" s="76">
        <v>144</v>
      </c>
      <c r="AH148" s="76">
        <v>8213</v>
      </c>
      <c r="AI148" s="76">
        <v>0</v>
      </c>
      <c r="AJ148" s="76">
        <v>88</v>
      </c>
      <c r="AK148" s="76">
        <v>6138</v>
      </c>
      <c r="AL148" s="76" t="b">
        <v>0</v>
      </c>
      <c r="AM148" s="78">
        <v>40939.921168981484</v>
      </c>
      <c r="AN148" s="76"/>
      <c r="AO148" s="76" t="s">
        <v>6765</v>
      </c>
      <c r="AP148" s="82" t="str">
        <f>HYPERLINK("https://t.co/CsEr3sxPDi")</f>
        <v>https://t.co/CsEr3sxPDi</v>
      </c>
      <c r="AQ148" s="82" t="str">
        <f>HYPERLINK("https://httpster.net")</f>
        <v>https://httpster.net</v>
      </c>
      <c r="AR148" s="76" t="s">
        <v>7026</v>
      </c>
      <c r="AS148" s="76"/>
      <c r="AT148" s="76"/>
      <c r="AU148" s="76"/>
      <c r="AV148" s="76">
        <v>1.61583050081556E+18</v>
      </c>
      <c r="AW148" s="82" t="str">
        <f>HYPERLINK("https://t.co/CsEr3sxPDi")</f>
        <v>https://t.co/CsEr3sxPDi</v>
      </c>
      <c r="AX148" s="76" t="b">
        <v>0</v>
      </c>
      <c r="AY148" s="76"/>
      <c r="AZ148" s="76"/>
      <c r="BA148" s="76" t="b">
        <v>1</v>
      </c>
      <c r="BB148" s="76" t="b">
        <v>1</v>
      </c>
      <c r="BC148" s="76" t="b">
        <v>0</v>
      </c>
      <c r="BD148" s="76" t="b">
        <v>0</v>
      </c>
      <c r="BE148" s="76" t="b">
        <v>1</v>
      </c>
      <c r="BF148" s="76" t="b">
        <v>0</v>
      </c>
      <c r="BG148" s="76" t="b">
        <v>0</v>
      </c>
      <c r="BH148" s="82" t="str">
        <f>HYPERLINK("https://pbs.twimg.com/profile_banners/479895402/1666065935")</f>
        <v>https://pbs.twimg.com/profile_banners/479895402/1666065935</v>
      </c>
      <c r="BI148" s="76"/>
      <c r="BJ148" s="76" t="s">
        <v>7188</v>
      </c>
      <c r="BK148" s="76" t="b">
        <v>0</v>
      </c>
      <c r="BL148" s="76"/>
      <c r="BM148" s="76" t="s">
        <v>65</v>
      </c>
      <c r="BN148" s="76" t="s">
        <v>7190</v>
      </c>
      <c r="BO148" s="82" t="str">
        <f>HYPERLINK("https://twitter.com/httpster_")</f>
        <v>https://twitter.com/httpster_</v>
      </c>
      <c r="BP148" s="46"/>
      <c r="BQ148" s="46"/>
      <c r="BR148" s="46"/>
      <c r="BS148" s="46"/>
      <c r="BT148" s="46"/>
      <c r="BU148" s="46"/>
      <c r="BV148" s="46"/>
      <c r="BW148" s="46"/>
      <c r="BX148" s="46"/>
      <c r="BY148" s="46"/>
      <c r="BZ148" s="2"/>
    </row>
    <row r="149" spans="1:78" ht="15">
      <c r="A149" s="62" t="s">
        <v>486</v>
      </c>
      <c r="B149" s="63"/>
      <c r="C149" s="63"/>
      <c r="D149" s="64"/>
      <c r="E149" s="66"/>
      <c r="F149" s="100" t="str">
        <f>HYPERLINK("https://pbs.twimg.com/profile_images/1639620268770598914/ObcdxwLO_normal.jpg")</f>
        <v>https://pbs.twimg.com/profile_images/1639620268770598914/ObcdxwLO_normal.jpg</v>
      </c>
      <c r="G149" s="63"/>
      <c r="H149" s="67"/>
      <c r="I149" s="68"/>
      <c r="J149" s="68"/>
      <c r="K149" s="67" t="s">
        <v>7336</v>
      </c>
      <c r="L149" s="71"/>
      <c r="M149" s="72">
        <v>4240.263671875</v>
      </c>
      <c r="N149" s="72">
        <v>943.4973754882812</v>
      </c>
      <c r="O149" s="73"/>
      <c r="P149" s="74"/>
      <c r="Q149" s="74"/>
      <c r="R149" s="86"/>
      <c r="S149" s="46">
        <v>1</v>
      </c>
      <c r="T149" s="46">
        <v>0</v>
      </c>
      <c r="U149" s="47">
        <v>0</v>
      </c>
      <c r="V149" s="47">
        <v>0.214691</v>
      </c>
      <c r="W149" s="47">
        <v>0.062026</v>
      </c>
      <c r="X149" s="47">
        <v>0.002499</v>
      </c>
      <c r="Y149" s="47">
        <v>0</v>
      </c>
      <c r="Z149" s="47">
        <v>0</v>
      </c>
      <c r="AA149" s="69">
        <v>149</v>
      </c>
      <c r="AB149" s="69"/>
      <c r="AC149" s="70"/>
      <c r="AD149" s="76" t="s">
        <v>6014</v>
      </c>
      <c r="AE149" s="83" t="s">
        <v>6307</v>
      </c>
      <c r="AF149" s="76">
        <v>21867</v>
      </c>
      <c r="AG149" s="76">
        <v>164</v>
      </c>
      <c r="AH149" s="76">
        <v>1349</v>
      </c>
      <c r="AI149" s="76">
        <v>10</v>
      </c>
      <c r="AJ149" s="76">
        <v>1257</v>
      </c>
      <c r="AK149" s="76">
        <v>1035</v>
      </c>
      <c r="AL149" s="76" t="b">
        <v>0</v>
      </c>
      <c r="AM149" s="78">
        <v>43500.39923611111</v>
      </c>
      <c r="AN149" s="76" t="s">
        <v>3895</v>
      </c>
      <c r="AO149" s="76" t="s">
        <v>6766</v>
      </c>
      <c r="AP149" s="76"/>
      <c r="AQ149" s="76"/>
      <c r="AR149" s="76"/>
      <c r="AS149" s="76"/>
      <c r="AT149" s="76"/>
      <c r="AU149" s="76"/>
      <c r="AV149" s="76">
        <v>1.73276641573049E+18</v>
      </c>
      <c r="AW149" s="76"/>
      <c r="AX149" s="76" t="b">
        <v>1</v>
      </c>
      <c r="AY149" s="76"/>
      <c r="AZ149" s="76" t="b">
        <v>1</v>
      </c>
      <c r="BA149" s="76" t="b">
        <v>0</v>
      </c>
      <c r="BB149" s="76" t="b">
        <v>0</v>
      </c>
      <c r="BC149" s="76" t="b">
        <v>1</v>
      </c>
      <c r="BD149" s="76" t="b">
        <v>0</v>
      </c>
      <c r="BE149" s="76" t="b">
        <v>1</v>
      </c>
      <c r="BF149" s="76" t="b">
        <v>0</v>
      </c>
      <c r="BG149" s="76" t="b">
        <v>0</v>
      </c>
      <c r="BH149" s="82" t="str">
        <f>HYPERLINK("https://pbs.twimg.com/profile_banners/1092355808891875328/1557465856")</f>
        <v>https://pbs.twimg.com/profile_banners/1092355808891875328/1557465856</v>
      </c>
      <c r="BI149" s="76"/>
      <c r="BJ149" s="76" t="s">
        <v>7188</v>
      </c>
      <c r="BK149" s="76" t="b">
        <v>1</v>
      </c>
      <c r="BL149" s="76"/>
      <c r="BM149" s="76" t="s">
        <v>65</v>
      </c>
      <c r="BN149" s="76" t="s">
        <v>7190</v>
      </c>
      <c r="BO149" s="82" t="str">
        <f>HYPERLINK("https://twitter.com/bhatticlp")</f>
        <v>https://twitter.com/bhatticlp</v>
      </c>
      <c r="BP149" s="46"/>
      <c r="BQ149" s="46"/>
      <c r="BR149" s="46"/>
      <c r="BS149" s="46"/>
      <c r="BT149" s="46"/>
      <c r="BU149" s="46"/>
      <c r="BV149" s="46"/>
      <c r="BW149" s="46"/>
      <c r="BX149" s="46"/>
      <c r="BY149" s="46"/>
      <c r="BZ149" s="2"/>
    </row>
    <row r="150" spans="1:78" ht="15">
      <c r="A150" s="62" t="s">
        <v>487</v>
      </c>
      <c r="B150" s="63"/>
      <c r="C150" s="63"/>
      <c r="D150" s="64"/>
      <c r="E150" s="66"/>
      <c r="F150" s="100" t="str">
        <f>HYPERLINK("https://pbs.twimg.com/profile_images/1591417088551571456/R3-aOZhl_normal.jpg")</f>
        <v>https://pbs.twimg.com/profile_images/1591417088551571456/R3-aOZhl_normal.jpg</v>
      </c>
      <c r="G150" s="63"/>
      <c r="H150" s="67"/>
      <c r="I150" s="68"/>
      <c r="J150" s="68"/>
      <c r="K150" s="67" t="s">
        <v>7337</v>
      </c>
      <c r="L150" s="71"/>
      <c r="M150" s="72">
        <v>4266.9033203125</v>
      </c>
      <c r="N150" s="72">
        <v>1034.566162109375</v>
      </c>
      <c r="O150" s="73"/>
      <c r="P150" s="74"/>
      <c r="Q150" s="74"/>
      <c r="R150" s="86"/>
      <c r="S150" s="46">
        <v>1</v>
      </c>
      <c r="T150" s="46">
        <v>0</v>
      </c>
      <c r="U150" s="47">
        <v>0</v>
      </c>
      <c r="V150" s="47">
        <v>0.214691</v>
      </c>
      <c r="W150" s="47">
        <v>0.062026</v>
      </c>
      <c r="X150" s="47">
        <v>0.002499</v>
      </c>
      <c r="Y150" s="47">
        <v>0</v>
      </c>
      <c r="Z150" s="47">
        <v>0</v>
      </c>
      <c r="AA150" s="69">
        <v>150</v>
      </c>
      <c r="AB150" s="69"/>
      <c r="AC150" s="70"/>
      <c r="AD150" s="76" t="s">
        <v>6015</v>
      </c>
      <c r="AE150" s="83" t="s">
        <v>6308</v>
      </c>
      <c r="AF150" s="76">
        <v>481491</v>
      </c>
      <c r="AG150" s="76">
        <v>88</v>
      </c>
      <c r="AH150" s="76">
        <v>5955</v>
      </c>
      <c r="AI150" s="76">
        <v>152</v>
      </c>
      <c r="AJ150" s="76">
        <v>20063</v>
      </c>
      <c r="AK150" s="76">
        <v>2579</v>
      </c>
      <c r="AL150" s="76" t="b">
        <v>0</v>
      </c>
      <c r="AM150" s="78">
        <v>42436.585231481484</v>
      </c>
      <c r="AN150" s="76" t="s">
        <v>6538</v>
      </c>
      <c r="AO150" s="76" t="s">
        <v>6767</v>
      </c>
      <c r="AP150" s="82" t="str">
        <f>HYPERLINK("https://t.co/toZTvP5vcC")</f>
        <v>https://t.co/toZTvP5vcC</v>
      </c>
      <c r="AQ150" s="82" t="str">
        <f>HYPERLINK("http://www.revanthreddy.com")</f>
        <v>http://www.revanthreddy.com</v>
      </c>
      <c r="AR150" s="76" t="s">
        <v>7027</v>
      </c>
      <c r="AS150" s="76"/>
      <c r="AT150" s="76"/>
      <c r="AU150" s="76"/>
      <c r="AV150" s="76">
        <v>1.73269766251492E+18</v>
      </c>
      <c r="AW150" s="82" t="str">
        <f>HYPERLINK("https://t.co/toZTvP5vcC")</f>
        <v>https://t.co/toZTvP5vcC</v>
      </c>
      <c r="AX150" s="76" t="b">
        <v>1</v>
      </c>
      <c r="AY150" s="76"/>
      <c r="AZ150" s="76" t="b">
        <v>1</v>
      </c>
      <c r="BA150" s="76" t="b">
        <v>1</v>
      </c>
      <c r="BB150" s="76" t="b">
        <v>0</v>
      </c>
      <c r="BC150" s="76" t="b">
        <v>0</v>
      </c>
      <c r="BD150" s="76" t="b">
        <v>0</v>
      </c>
      <c r="BE150" s="76" t="b">
        <v>0</v>
      </c>
      <c r="BF150" s="76" t="b">
        <v>0</v>
      </c>
      <c r="BG150" s="76" t="b">
        <v>0</v>
      </c>
      <c r="BH150" s="82" t="str">
        <f>HYPERLINK("https://pbs.twimg.com/profile_banners/706842521796632576/1630675112")</f>
        <v>https://pbs.twimg.com/profile_banners/706842521796632576/1630675112</v>
      </c>
      <c r="BI150" s="76"/>
      <c r="BJ150" s="76" t="s">
        <v>7188</v>
      </c>
      <c r="BK150" s="76" t="b">
        <v>1</v>
      </c>
      <c r="BL150" s="76"/>
      <c r="BM150" s="76" t="s">
        <v>65</v>
      </c>
      <c r="BN150" s="76" t="s">
        <v>7190</v>
      </c>
      <c r="BO150" s="82" t="str">
        <f>HYPERLINK("https://twitter.com/revanth_anumula")</f>
        <v>https://twitter.com/revanth_anumula</v>
      </c>
      <c r="BP150" s="46"/>
      <c r="BQ150" s="46"/>
      <c r="BR150" s="46"/>
      <c r="BS150" s="46"/>
      <c r="BT150" s="46"/>
      <c r="BU150" s="46"/>
      <c r="BV150" s="46"/>
      <c r="BW150" s="46"/>
      <c r="BX150" s="46"/>
      <c r="BY150" s="46"/>
      <c r="BZ150" s="2"/>
    </row>
    <row r="151" spans="1:78" ht="15">
      <c r="A151" s="62" t="s">
        <v>488</v>
      </c>
      <c r="B151" s="63"/>
      <c r="C151" s="63"/>
      <c r="D151" s="64"/>
      <c r="E151" s="66"/>
      <c r="F151" s="100" t="str">
        <f>HYPERLINK("https://pbs.twimg.com/profile_images/1685658187825811457/h9QgcNrM_normal.jpg")</f>
        <v>https://pbs.twimg.com/profile_images/1685658187825811457/h9QgcNrM_normal.jpg</v>
      </c>
      <c r="G151" s="63"/>
      <c r="H151" s="67"/>
      <c r="I151" s="68"/>
      <c r="J151" s="68"/>
      <c r="K151" s="67" t="s">
        <v>7338</v>
      </c>
      <c r="L151" s="71"/>
      <c r="M151" s="72">
        <v>4293.54296875</v>
      </c>
      <c r="N151" s="72">
        <v>1130.775390625</v>
      </c>
      <c r="O151" s="73"/>
      <c r="P151" s="74"/>
      <c r="Q151" s="74"/>
      <c r="R151" s="86"/>
      <c r="S151" s="46">
        <v>1</v>
      </c>
      <c r="T151" s="46">
        <v>0</v>
      </c>
      <c r="U151" s="47">
        <v>0</v>
      </c>
      <c r="V151" s="47">
        <v>0.214691</v>
      </c>
      <c r="W151" s="47">
        <v>0.062026</v>
      </c>
      <c r="X151" s="47">
        <v>0.002499</v>
      </c>
      <c r="Y151" s="47">
        <v>0</v>
      </c>
      <c r="Z151" s="47">
        <v>0</v>
      </c>
      <c r="AA151" s="69">
        <v>151</v>
      </c>
      <c r="AB151" s="69"/>
      <c r="AC151" s="70"/>
      <c r="AD151" s="76" t="s">
        <v>6016</v>
      </c>
      <c r="AE151" s="83" t="s">
        <v>5743</v>
      </c>
      <c r="AF151" s="76">
        <v>14816</v>
      </c>
      <c r="AG151" s="76">
        <v>460</v>
      </c>
      <c r="AH151" s="76">
        <v>25090</v>
      </c>
      <c r="AI151" s="76">
        <v>238</v>
      </c>
      <c r="AJ151" s="76">
        <v>22711</v>
      </c>
      <c r="AK151" s="76">
        <v>1931</v>
      </c>
      <c r="AL151" s="76" t="b">
        <v>0</v>
      </c>
      <c r="AM151" s="78">
        <v>40726.04112268519</v>
      </c>
      <c r="AN151" s="76" t="s">
        <v>6539</v>
      </c>
      <c r="AO151" s="76" t="s">
        <v>6768</v>
      </c>
      <c r="AP151" s="82" t="str">
        <f>HYPERLINK("https://t.co/AKWW11IhFZ")</f>
        <v>https://t.co/AKWW11IhFZ</v>
      </c>
      <c r="AQ151" s="82" t="str">
        <f>HYPERLINK("https://theaipromax.beehiiv.com/")</f>
        <v>https://theaipromax.beehiiv.com/</v>
      </c>
      <c r="AR151" s="76" t="s">
        <v>7028</v>
      </c>
      <c r="AS151" s="76"/>
      <c r="AT151" s="76"/>
      <c r="AU151" s="76"/>
      <c r="AV151" s="76">
        <v>1.72079485374995E+18</v>
      </c>
      <c r="AW151" s="82" t="str">
        <f>HYPERLINK("https://t.co/AKWW11IhFZ")</f>
        <v>https://t.co/AKWW11IhFZ</v>
      </c>
      <c r="AX151" s="76" t="b">
        <v>1</v>
      </c>
      <c r="AY151" s="76"/>
      <c r="AZ151" s="76"/>
      <c r="BA151" s="76" t="b">
        <v>1</v>
      </c>
      <c r="BB151" s="76" t="b">
        <v>1</v>
      </c>
      <c r="BC151" s="76" t="b">
        <v>0</v>
      </c>
      <c r="BD151" s="76" t="b">
        <v>0</v>
      </c>
      <c r="BE151" s="76" t="b">
        <v>0</v>
      </c>
      <c r="BF151" s="76" t="b">
        <v>0</v>
      </c>
      <c r="BG151" s="76" t="b">
        <v>0</v>
      </c>
      <c r="BH151" s="82" t="str">
        <f>HYPERLINK("https://pbs.twimg.com/profile_banners/327708566/1695114051")</f>
        <v>https://pbs.twimg.com/profile_banners/327708566/1695114051</v>
      </c>
      <c r="BI151" s="76"/>
      <c r="BJ151" s="76" t="s">
        <v>7188</v>
      </c>
      <c r="BK151" s="76" t="b">
        <v>0</v>
      </c>
      <c r="BL151" s="76"/>
      <c r="BM151" s="76" t="s">
        <v>65</v>
      </c>
      <c r="BN151" s="76" t="s">
        <v>7190</v>
      </c>
      <c r="BO151" s="82" t="str">
        <f>HYPERLINK("https://twitter.com/mhdfaran")</f>
        <v>https://twitter.com/mhdfaran</v>
      </c>
      <c r="BP151" s="46"/>
      <c r="BQ151" s="46"/>
      <c r="BR151" s="46"/>
      <c r="BS151" s="46"/>
      <c r="BT151" s="46"/>
      <c r="BU151" s="46"/>
      <c r="BV151" s="46"/>
      <c r="BW151" s="46"/>
      <c r="BX151" s="46"/>
      <c r="BY151" s="46"/>
      <c r="BZ151" s="2"/>
    </row>
    <row r="152" spans="1:78" ht="15">
      <c r="A152" s="62" t="s">
        <v>489</v>
      </c>
      <c r="B152" s="63"/>
      <c r="C152" s="63"/>
      <c r="D152" s="64"/>
      <c r="E152" s="66"/>
      <c r="F152" s="100" t="str">
        <f>HYPERLINK("https://pbs.twimg.com/profile_images/1621545925029281792/4F8vvby9_normal.jpg")</f>
        <v>https://pbs.twimg.com/profile_images/1621545925029281792/4F8vvby9_normal.jpg</v>
      </c>
      <c r="G152" s="63"/>
      <c r="H152" s="67"/>
      <c r="I152" s="68"/>
      <c r="J152" s="68"/>
      <c r="K152" s="67" t="s">
        <v>7339</v>
      </c>
      <c r="L152" s="71"/>
      <c r="M152" s="72">
        <v>4320.18310546875</v>
      </c>
      <c r="N152" s="72">
        <v>1231.999755859375</v>
      </c>
      <c r="O152" s="73"/>
      <c r="P152" s="74"/>
      <c r="Q152" s="74"/>
      <c r="R152" s="86"/>
      <c r="S152" s="46">
        <v>1</v>
      </c>
      <c r="T152" s="46">
        <v>0</v>
      </c>
      <c r="U152" s="47">
        <v>0</v>
      </c>
      <c r="V152" s="47">
        <v>0.214691</v>
      </c>
      <c r="W152" s="47">
        <v>0.062026</v>
      </c>
      <c r="X152" s="47">
        <v>0.002499</v>
      </c>
      <c r="Y152" s="47">
        <v>0</v>
      </c>
      <c r="Z152" s="47">
        <v>0</v>
      </c>
      <c r="AA152" s="69">
        <v>152</v>
      </c>
      <c r="AB152" s="69"/>
      <c r="AC152" s="70"/>
      <c r="AD152" s="76" t="s">
        <v>6017</v>
      </c>
      <c r="AE152" s="83" t="s">
        <v>5744</v>
      </c>
      <c r="AF152" s="76">
        <v>9405</v>
      </c>
      <c r="AG152" s="76">
        <v>67</v>
      </c>
      <c r="AH152" s="76">
        <v>6094</v>
      </c>
      <c r="AI152" s="76">
        <v>124</v>
      </c>
      <c r="AJ152" s="76">
        <v>15960</v>
      </c>
      <c r="AK152" s="76">
        <v>1216</v>
      </c>
      <c r="AL152" s="76" t="b">
        <v>0</v>
      </c>
      <c r="AM152" s="78">
        <v>41605.17024305555</v>
      </c>
      <c r="AN152" s="76" t="s">
        <v>6540</v>
      </c>
      <c r="AO152" s="76" t="s">
        <v>6769</v>
      </c>
      <c r="AP152" s="82" t="str">
        <f>HYPERLINK("https://t.co/iD5aoZYT84")</f>
        <v>https://t.co/iD5aoZYT84</v>
      </c>
      <c r="AQ152" s="82" t="str">
        <f>HYPERLINK("https://optimizimi.com/")</f>
        <v>https://optimizimi.com/</v>
      </c>
      <c r="AR152" s="76" t="s">
        <v>7029</v>
      </c>
      <c r="AS152" s="76"/>
      <c r="AT152" s="76"/>
      <c r="AU152" s="76"/>
      <c r="AV152" s="76">
        <v>1.69544009423532E+18</v>
      </c>
      <c r="AW152" s="82" t="str">
        <f>HYPERLINK("https://t.co/iD5aoZYT84")</f>
        <v>https://t.co/iD5aoZYT84</v>
      </c>
      <c r="AX152" s="76" t="b">
        <v>1</v>
      </c>
      <c r="AY152" s="76"/>
      <c r="AZ152" s="76"/>
      <c r="BA152" s="76" t="b">
        <v>1</v>
      </c>
      <c r="BB152" s="76" t="b">
        <v>0</v>
      </c>
      <c r="BC152" s="76" t="b">
        <v>1</v>
      </c>
      <c r="BD152" s="76" t="b">
        <v>0</v>
      </c>
      <c r="BE152" s="76" t="b">
        <v>1</v>
      </c>
      <c r="BF152" s="76" t="b">
        <v>0</v>
      </c>
      <c r="BG152" s="76" t="b">
        <v>0</v>
      </c>
      <c r="BH152" s="82" t="str">
        <f>HYPERLINK("https://pbs.twimg.com/profile_banners/2217132804/1676648241")</f>
        <v>https://pbs.twimg.com/profile_banners/2217132804/1676648241</v>
      </c>
      <c r="BI152" s="76"/>
      <c r="BJ152" s="76" t="s">
        <v>7188</v>
      </c>
      <c r="BK152" s="76" t="b">
        <v>0</v>
      </c>
      <c r="BL152" s="76"/>
      <c r="BM152" s="76" t="s">
        <v>65</v>
      </c>
      <c r="BN152" s="76" t="s">
        <v>7190</v>
      </c>
      <c r="BO152" s="82" t="str">
        <f>HYPERLINK("https://twitter.com/hridoyreh")</f>
        <v>https://twitter.com/hridoyreh</v>
      </c>
      <c r="BP152" s="46"/>
      <c r="BQ152" s="46"/>
      <c r="BR152" s="46"/>
      <c r="BS152" s="46"/>
      <c r="BT152" s="46"/>
      <c r="BU152" s="46"/>
      <c r="BV152" s="46"/>
      <c r="BW152" s="46"/>
      <c r="BX152" s="46"/>
      <c r="BY152" s="46"/>
      <c r="BZ152" s="2"/>
    </row>
    <row r="153" spans="1:78" ht="15">
      <c r="A153" s="62" t="s">
        <v>490</v>
      </c>
      <c r="B153" s="63"/>
      <c r="C153" s="63"/>
      <c r="D153" s="64"/>
      <c r="E153" s="66"/>
      <c r="F153" s="100" t="str">
        <f>HYPERLINK("https://pbs.twimg.com/profile_images/1374320555281764355/9IhOv5bg_normal.jpg")</f>
        <v>https://pbs.twimg.com/profile_images/1374320555281764355/9IhOv5bg_normal.jpg</v>
      </c>
      <c r="G153" s="63"/>
      <c r="H153" s="67"/>
      <c r="I153" s="68"/>
      <c r="J153" s="68"/>
      <c r="K153" s="67" t="s">
        <v>7340</v>
      </c>
      <c r="L153" s="71"/>
      <c r="M153" s="72">
        <v>4346.8232421875</v>
      </c>
      <c r="N153" s="72">
        <v>1338.1077880859375</v>
      </c>
      <c r="O153" s="73"/>
      <c r="P153" s="74"/>
      <c r="Q153" s="74"/>
      <c r="R153" s="86"/>
      <c r="S153" s="46">
        <v>1</v>
      </c>
      <c r="T153" s="46">
        <v>0</v>
      </c>
      <c r="U153" s="47">
        <v>0</v>
      </c>
      <c r="V153" s="47">
        <v>0.214691</v>
      </c>
      <c r="W153" s="47">
        <v>0.062026</v>
      </c>
      <c r="X153" s="47">
        <v>0.002499</v>
      </c>
      <c r="Y153" s="47">
        <v>0</v>
      </c>
      <c r="Z153" s="47">
        <v>0</v>
      </c>
      <c r="AA153" s="69">
        <v>153</v>
      </c>
      <c r="AB153" s="69"/>
      <c r="AC153" s="70"/>
      <c r="AD153" s="76" t="s">
        <v>6018</v>
      </c>
      <c r="AE153" s="83" t="s">
        <v>6309</v>
      </c>
      <c r="AF153" s="76">
        <v>40971</v>
      </c>
      <c r="AG153" s="76">
        <v>2381</v>
      </c>
      <c r="AH153" s="76">
        <v>65645</v>
      </c>
      <c r="AI153" s="76">
        <v>1102</v>
      </c>
      <c r="AJ153" s="76">
        <v>18687</v>
      </c>
      <c r="AK153" s="76">
        <v>2101</v>
      </c>
      <c r="AL153" s="76" t="b">
        <v>0</v>
      </c>
      <c r="AM153" s="78">
        <v>39409.76527777778</v>
      </c>
      <c r="AN153" s="76" t="s">
        <v>6541</v>
      </c>
      <c r="AO153" s="76" t="s">
        <v>6770</v>
      </c>
      <c r="AP153" s="82" t="str">
        <f>HYPERLINK("https://t.co/ACenwMmxIN")</f>
        <v>https://t.co/ACenwMmxIN</v>
      </c>
      <c r="AQ153" s="82" t="str">
        <f>HYPERLINK("http://www.shellypalmer.com")</f>
        <v>http://www.shellypalmer.com</v>
      </c>
      <c r="AR153" s="76" t="s">
        <v>7030</v>
      </c>
      <c r="AS153" s="76"/>
      <c r="AT153" s="76"/>
      <c r="AU153" s="76"/>
      <c r="AV153" s="76">
        <v>1.73499643368873E+18</v>
      </c>
      <c r="AW153" s="82" t="str">
        <f>HYPERLINK("https://t.co/ACenwMmxIN")</f>
        <v>https://t.co/ACenwMmxIN</v>
      </c>
      <c r="AX153" s="76" t="b">
        <v>1</v>
      </c>
      <c r="AY153" s="76"/>
      <c r="AZ153" s="76"/>
      <c r="BA153" s="76" t="b">
        <v>1</v>
      </c>
      <c r="BB153" s="76" t="b">
        <v>1</v>
      </c>
      <c r="BC153" s="76" t="b">
        <v>0</v>
      </c>
      <c r="BD153" s="76" t="b">
        <v>0</v>
      </c>
      <c r="BE153" s="76" t="b">
        <v>1</v>
      </c>
      <c r="BF153" s="76" t="b">
        <v>0</v>
      </c>
      <c r="BG153" s="76" t="b">
        <v>0</v>
      </c>
      <c r="BH153" s="82" t="str">
        <f>HYPERLINK("https://pbs.twimg.com/profile_banners/10498942/1683659382")</f>
        <v>https://pbs.twimg.com/profile_banners/10498942/1683659382</v>
      </c>
      <c r="BI153" s="76"/>
      <c r="BJ153" s="76" t="s">
        <v>7188</v>
      </c>
      <c r="BK153" s="76" t="b">
        <v>0</v>
      </c>
      <c r="BL153" s="76"/>
      <c r="BM153" s="76" t="s">
        <v>65</v>
      </c>
      <c r="BN153" s="76" t="s">
        <v>7190</v>
      </c>
      <c r="BO153" s="82" t="str">
        <f>HYPERLINK("https://twitter.com/shellypalmer")</f>
        <v>https://twitter.com/shellypalmer</v>
      </c>
      <c r="BP153" s="46"/>
      <c r="BQ153" s="46"/>
      <c r="BR153" s="46"/>
      <c r="BS153" s="46"/>
      <c r="BT153" s="46"/>
      <c r="BU153" s="46"/>
      <c r="BV153" s="46"/>
      <c r="BW153" s="46"/>
      <c r="BX153" s="46"/>
      <c r="BY153" s="46"/>
      <c r="BZ153" s="2"/>
    </row>
    <row r="154" spans="1:78" ht="15">
      <c r="A154" s="62" t="s">
        <v>491</v>
      </c>
      <c r="B154" s="63"/>
      <c r="C154" s="63"/>
      <c r="D154" s="64"/>
      <c r="E154" s="66"/>
      <c r="F154" s="100" t="str">
        <f>HYPERLINK("https://pbs.twimg.com/profile_images/1468882488931979264/513hbDvk_normal.jpg")</f>
        <v>https://pbs.twimg.com/profile_images/1468882488931979264/513hbDvk_normal.jpg</v>
      </c>
      <c r="G154" s="63"/>
      <c r="H154" s="67"/>
      <c r="I154" s="68"/>
      <c r="J154" s="68"/>
      <c r="K154" s="67" t="s">
        <v>7341</v>
      </c>
      <c r="L154" s="71"/>
      <c r="M154" s="72">
        <v>4373.462890625</v>
      </c>
      <c r="N154" s="72">
        <v>1448.9620361328125</v>
      </c>
      <c r="O154" s="73"/>
      <c r="P154" s="74"/>
      <c r="Q154" s="74"/>
      <c r="R154" s="86"/>
      <c r="S154" s="46">
        <v>1</v>
      </c>
      <c r="T154" s="46">
        <v>0</v>
      </c>
      <c r="U154" s="47">
        <v>0</v>
      </c>
      <c r="V154" s="47">
        <v>0.214691</v>
      </c>
      <c r="W154" s="47">
        <v>0.062026</v>
      </c>
      <c r="X154" s="47">
        <v>0.002499</v>
      </c>
      <c r="Y154" s="47">
        <v>0</v>
      </c>
      <c r="Z154" s="47">
        <v>0</v>
      </c>
      <c r="AA154" s="69">
        <v>154</v>
      </c>
      <c r="AB154" s="69"/>
      <c r="AC154" s="70"/>
      <c r="AD154" s="76" t="s">
        <v>6019</v>
      </c>
      <c r="AE154" s="83" t="s">
        <v>6310</v>
      </c>
      <c r="AF154" s="76">
        <v>279438</v>
      </c>
      <c r="AG154" s="76">
        <v>969</v>
      </c>
      <c r="AH154" s="76">
        <v>134328</v>
      </c>
      <c r="AI154" s="76">
        <v>3188</v>
      </c>
      <c r="AJ154" s="76">
        <v>34589</v>
      </c>
      <c r="AK154" s="76">
        <v>42344</v>
      </c>
      <c r="AL154" s="76" t="b">
        <v>0</v>
      </c>
      <c r="AM154" s="78">
        <v>39636.132106481484</v>
      </c>
      <c r="AN154" s="76" t="s">
        <v>3889</v>
      </c>
      <c r="AO154" s="76" t="s">
        <v>6771</v>
      </c>
      <c r="AP154" s="82" t="str">
        <f>HYPERLINK("https://t.co/d1KgBTOMh2")</f>
        <v>https://t.co/d1KgBTOMh2</v>
      </c>
      <c r="AQ154" s="82" t="str">
        <f>HYPERLINK("https://yourstory.com/")</f>
        <v>https://yourstory.com/</v>
      </c>
      <c r="AR154" s="76" t="s">
        <v>2005</v>
      </c>
      <c r="AS154" s="76"/>
      <c r="AT154" s="76"/>
      <c r="AU154" s="76"/>
      <c r="AV154" s="76">
        <v>1.73777685351412E+18</v>
      </c>
      <c r="AW154" s="82" t="str">
        <f>HYPERLINK("https://t.co/d1KgBTOMh2")</f>
        <v>https://t.co/d1KgBTOMh2</v>
      </c>
      <c r="AX154" s="76" t="b">
        <v>1</v>
      </c>
      <c r="AY154" s="76"/>
      <c r="AZ154" s="76"/>
      <c r="BA154" s="76" t="b">
        <v>1</v>
      </c>
      <c r="BB154" s="76" t="b">
        <v>1</v>
      </c>
      <c r="BC154" s="76" t="b">
        <v>0</v>
      </c>
      <c r="BD154" s="76" t="b">
        <v>0</v>
      </c>
      <c r="BE154" s="76" t="b">
        <v>1</v>
      </c>
      <c r="BF154" s="76" t="b">
        <v>0</v>
      </c>
      <c r="BG154" s="76" t="b">
        <v>0</v>
      </c>
      <c r="BH154" s="82" t="str">
        <f>HYPERLINK("https://pbs.twimg.com/profile_banners/15338256/1638367160")</f>
        <v>https://pbs.twimg.com/profile_banners/15338256/1638367160</v>
      </c>
      <c r="BI154" s="76"/>
      <c r="BJ154" s="76" t="s">
        <v>7188</v>
      </c>
      <c r="BK154" s="76" t="b">
        <v>0</v>
      </c>
      <c r="BL154" s="76"/>
      <c r="BM154" s="76" t="s">
        <v>65</v>
      </c>
      <c r="BN154" s="76" t="s">
        <v>7190</v>
      </c>
      <c r="BO154" s="82" t="str">
        <f>HYPERLINK("https://twitter.com/yourstoryco")</f>
        <v>https://twitter.com/yourstoryco</v>
      </c>
      <c r="BP154" s="46"/>
      <c r="BQ154" s="46"/>
      <c r="BR154" s="46"/>
      <c r="BS154" s="46"/>
      <c r="BT154" s="46"/>
      <c r="BU154" s="46"/>
      <c r="BV154" s="46"/>
      <c r="BW154" s="46"/>
      <c r="BX154" s="46"/>
      <c r="BY154" s="46"/>
      <c r="BZ154" s="2"/>
    </row>
    <row r="155" spans="1:78" ht="15">
      <c r="A155" s="62" t="s">
        <v>492</v>
      </c>
      <c r="B155" s="63"/>
      <c r="C155" s="63"/>
      <c r="D155" s="64"/>
      <c r="E155" s="66"/>
      <c r="F155" s="100" t="str">
        <f>HYPERLINK("https://pbs.twimg.com/profile_images/1661161645857710081/6WtDIesg_normal.png")</f>
        <v>https://pbs.twimg.com/profile_images/1661161645857710081/6WtDIesg_normal.png</v>
      </c>
      <c r="G155" s="63"/>
      <c r="H155" s="67"/>
      <c r="I155" s="68"/>
      <c r="J155" s="68"/>
      <c r="K155" s="67" t="s">
        <v>7342</v>
      </c>
      <c r="L155" s="71"/>
      <c r="M155" s="72">
        <v>4400.1025390625</v>
      </c>
      <c r="N155" s="72">
        <v>1564.4195556640625</v>
      </c>
      <c r="O155" s="73"/>
      <c r="P155" s="74"/>
      <c r="Q155" s="74"/>
      <c r="R155" s="86"/>
      <c r="S155" s="46">
        <v>1</v>
      </c>
      <c r="T155" s="46">
        <v>0</v>
      </c>
      <c r="U155" s="47">
        <v>0</v>
      </c>
      <c r="V155" s="47">
        <v>0.214691</v>
      </c>
      <c r="W155" s="47">
        <v>0.062026</v>
      </c>
      <c r="X155" s="47">
        <v>0.002499</v>
      </c>
      <c r="Y155" s="47">
        <v>0</v>
      </c>
      <c r="Z155" s="47">
        <v>0</v>
      </c>
      <c r="AA155" s="69">
        <v>155</v>
      </c>
      <c r="AB155" s="69"/>
      <c r="AC155" s="70"/>
      <c r="AD155" s="76" t="s">
        <v>2731</v>
      </c>
      <c r="AE155" s="83" t="s">
        <v>6311</v>
      </c>
      <c r="AF155" s="76">
        <v>1815800</v>
      </c>
      <c r="AG155" s="76">
        <v>26</v>
      </c>
      <c r="AH155" s="76">
        <v>20151</v>
      </c>
      <c r="AI155" s="76">
        <v>0</v>
      </c>
      <c r="AJ155" s="76">
        <v>7471</v>
      </c>
      <c r="AK155" s="76">
        <v>2203</v>
      </c>
      <c r="AL155" s="76" t="b">
        <v>0</v>
      </c>
      <c r="AM155" s="78">
        <v>39482.76528935185</v>
      </c>
      <c r="AN155" s="76" t="s">
        <v>6542</v>
      </c>
      <c r="AO155" s="76" t="s">
        <v>6772</v>
      </c>
      <c r="AP155" s="82" t="str">
        <f>HYPERLINK("https://t.co/1Ccsai5CQI")</f>
        <v>https://t.co/1Ccsai5CQI</v>
      </c>
      <c r="AQ155" s="82" t="str">
        <f>HYPERLINK("http://www.linkedin.com")</f>
        <v>http://www.linkedin.com</v>
      </c>
      <c r="AR155" s="76" t="s">
        <v>2004</v>
      </c>
      <c r="AS155" s="76"/>
      <c r="AT155" s="76"/>
      <c r="AU155" s="76"/>
      <c r="AV155" s="76">
        <v>1.66075271927421E+18</v>
      </c>
      <c r="AW155" s="82" t="str">
        <f>HYPERLINK("https://t.co/1Ccsai5CQI")</f>
        <v>https://t.co/1Ccsai5CQI</v>
      </c>
      <c r="AX155" s="76" t="b">
        <v>1</v>
      </c>
      <c r="AY155" s="76"/>
      <c r="AZ155" s="76"/>
      <c r="BA155" s="76" t="b">
        <v>0</v>
      </c>
      <c r="BB155" s="76" t="b">
        <v>1</v>
      </c>
      <c r="BC155" s="76" t="b">
        <v>0</v>
      </c>
      <c r="BD155" s="76" t="b">
        <v>0</v>
      </c>
      <c r="BE155" s="76" t="b">
        <v>1</v>
      </c>
      <c r="BF155" s="76" t="b">
        <v>0</v>
      </c>
      <c r="BG155" s="76" t="b">
        <v>0</v>
      </c>
      <c r="BH155" s="82" t="str">
        <f>HYPERLINK("https://pbs.twimg.com/profile_banners/13058772/1684890286")</f>
        <v>https://pbs.twimg.com/profile_banners/13058772/1684890286</v>
      </c>
      <c r="BI155" s="76"/>
      <c r="BJ155" s="76" t="s">
        <v>7189</v>
      </c>
      <c r="BK155" s="76" t="b">
        <v>0</v>
      </c>
      <c r="BL155" s="76"/>
      <c r="BM155" s="76" t="s">
        <v>65</v>
      </c>
      <c r="BN155" s="76" t="s">
        <v>7190</v>
      </c>
      <c r="BO155" s="82" t="str">
        <f>HYPERLINK("https://twitter.com/linkedin")</f>
        <v>https://twitter.com/linkedin</v>
      </c>
      <c r="BP155" s="46"/>
      <c r="BQ155" s="46"/>
      <c r="BR155" s="46"/>
      <c r="BS155" s="46"/>
      <c r="BT155" s="46"/>
      <c r="BU155" s="46"/>
      <c r="BV155" s="46"/>
      <c r="BW155" s="46"/>
      <c r="BX155" s="46"/>
      <c r="BY155" s="46"/>
      <c r="BZ155" s="2"/>
    </row>
    <row r="156" spans="1:78" ht="15">
      <c r="A156" s="62" t="s">
        <v>493</v>
      </c>
      <c r="B156" s="63"/>
      <c r="C156" s="63"/>
      <c r="D156" s="64"/>
      <c r="E156" s="66"/>
      <c r="F156" s="100" t="str">
        <f>HYPERLINK("https://pbs.twimg.com/profile_images/1712413289555349504/sEZQqxJD_normal.jpg")</f>
        <v>https://pbs.twimg.com/profile_images/1712413289555349504/sEZQqxJD_normal.jpg</v>
      </c>
      <c r="G156" s="63"/>
      <c r="H156" s="67"/>
      <c r="I156" s="68"/>
      <c r="J156" s="68"/>
      <c r="K156" s="67" t="s">
        <v>7343</v>
      </c>
      <c r="L156" s="71"/>
      <c r="M156" s="72">
        <v>4426.74267578125</v>
      </c>
      <c r="N156" s="72">
        <v>1684.329833984375</v>
      </c>
      <c r="O156" s="73"/>
      <c r="P156" s="74"/>
      <c r="Q156" s="74"/>
      <c r="R156" s="86"/>
      <c r="S156" s="46">
        <v>1</v>
      </c>
      <c r="T156" s="46">
        <v>0</v>
      </c>
      <c r="U156" s="47">
        <v>0</v>
      </c>
      <c r="V156" s="47">
        <v>0.214691</v>
      </c>
      <c r="W156" s="47">
        <v>0.062026</v>
      </c>
      <c r="X156" s="47">
        <v>0.002499</v>
      </c>
      <c r="Y156" s="47">
        <v>0</v>
      </c>
      <c r="Z156" s="47">
        <v>0</v>
      </c>
      <c r="AA156" s="69">
        <v>156</v>
      </c>
      <c r="AB156" s="69"/>
      <c r="AC156" s="70"/>
      <c r="AD156" s="76" t="s">
        <v>6020</v>
      </c>
      <c r="AE156" s="83" t="s">
        <v>5745</v>
      </c>
      <c r="AF156" s="76">
        <v>494948</v>
      </c>
      <c r="AG156" s="76">
        <v>233</v>
      </c>
      <c r="AH156" s="76">
        <v>79045</v>
      </c>
      <c r="AI156" s="76">
        <v>287</v>
      </c>
      <c r="AJ156" s="76">
        <v>27512</v>
      </c>
      <c r="AK156" s="76">
        <v>18384</v>
      </c>
      <c r="AL156" s="76" t="b">
        <v>0</v>
      </c>
      <c r="AM156" s="78">
        <v>41918.537673611114</v>
      </c>
      <c r="AN156" s="76" t="s">
        <v>3895</v>
      </c>
      <c r="AO156" s="76" t="s">
        <v>6773</v>
      </c>
      <c r="AP156" s="82" t="str">
        <f>HYPERLINK("https://t.co/TXAzYa4pHs")</f>
        <v>https://t.co/TXAzYa4pHs</v>
      </c>
      <c r="AQ156" s="82" t="str">
        <f>HYPERLINK("https://hyderabadpolice.gov.in")</f>
        <v>https://hyderabadpolice.gov.in</v>
      </c>
      <c r="AR156" s="76" t="s">
        <v>7031</v>
      </c>
      <c r="AS156" s="76"/>
      <c r="AT156" s="76"/>
      <c r="AU156" s="76"/>
      <c r="AV156" s="76"/>
      <c r="AW156" s="82" t="str">
        <f>HYPERLINK("https://t.co/TXAzYa4pHs")</f>
        <v>https://t.co/TXAzYa4pHs</v>
      </c>
      <c r="AX156" s="76" t="b">
        <v>0</v>
      </c>
      <c r="AY156" s="76"/>
      <c r="AZ156" s="76" t="b">
        <v>1</v>
      </c>
      <c r="BA156" s="76" t="b">
        <v>1</v>
      </c>
      <c r="BB156" s="76" t="b">
        <v>0</v>
      </c>
      <c r="BC156" s="76" t="b">
        <v>0</v>
      </c>
      <c r="BD156" s="76" t="b">
        <v>0</v>
      </c>
      <c r="BE156" s="76" t="b">
        <v>1</v>
      </c>
      <c r="BF156" s="76" t="b">
        <v>0</v>
      </c>
      <c r="BG156" s="76" t="b">
        <v>0</v>
      </c>
      <c r="BH156" s="82" t="str">
        <f>HYPERLINK("https://pbs.twimg.com/profile_banners/2842306788/1702646244")</f>
        <v>https://pbs.twimg.com/profile_banners/2842306788/1702646244</v>
      </c>
      <c r="BI156" s="76"/>
      <c r="BJ156" s="76" t="s">
        <v>7188</v>
      </c>
      <c r="BK156" s="76" t="b">
        <v>1</v>
      </c>
      <c r="BL156" s="76"/>
      <c r="BM156" s="76" t="s">
        <v>65</v>
      </c>
      <c r="BN156" s="76" t="s">
        <v>7190</v>
      </c>
      <c r="BO156" s="82" t="str">
        <f>HYPERLINK("https://twitter.com/hydcitypolice")</f>
        <v>https://twitter.com/hydcitypolice</v>
      </c>
      <c r="BP156" s="46"/>
      <c r="BQ156" s="46"/>
      <c r="BR156" s="46"/>
      <c r="BS156" s="46"/>
      <c r="BT156" s="46"/>
      <c r="BU156" s="46"/>
      <c r="BV156" s="46"/>
      <c r="BW156" s="46"/>
      <c r="BX156" s="46"/>
      <c r="BY156" s="46"/>
      <c r="BZ156" s="2"/>
    </row>
    <row r="157" spans="1:78" ht="15">
      <c r="A157" s="62" t="s">
        <v>494</v>
      </c>
      <c r="B157" s="63"/>
      <c r="C157" s="63"/>
      <c r="D157" s="64"/>
      <c r="E157" s="66"/>
      <c r="F157" s="100" t="str">
        <f>HYPERLINK("https://pbs.twimg.com/profile_images/1605279612216348672/PCYJMyaB_normal.png")</f>
        <v>https://pbs.twimg.com/profile_images/1605279612216348672/PCYJMyaB_normal.png</v>
      </c>
      <c r="G157" s="63"/>
      <c r="H157" s="67"/>
      <c r="I157" s="68"/>
      <c r="J157" s="68"/>
      <c r="K157" s="67" t="s">
        <v>7344</v>
      </c>
      <c r="L157" s="71"/>
      <c r="M157" s="72">
        <v>4453.3828125</v>
      </c>
      <c r="N157" s="72">
        <v>1808.538330078125</v>
      </c>
      <c r="O157" s="73"/>
      <c r="P157" s="74"/>
      <c r="Q157" s="74"/>
      <c r="R157" s="86"/>
      <c r="S157" s="46">
        <v>1</v>
      </c>
      <c r="T157" s="46">
        <v>0</v>
      </c>
      <c r="U157" s="47">
        <v>0</v>
      </c>
      <c r="V157" s="47">
        <v>0.214691</v>
      </c>
      <c r="W157" s="47">
        <v>0.062026</v>
      </c>
      <c r="X157" s="47">
        <v>0.002499</v>
      </c>
      <c r="Y157" s="47">
        <v>0</v>
      </c>
      <c r="Z157" s="47">
        <v>0</v>
      </c>
      <c r="AA157" s="69">
        <v>157</v>
      </c>
      <c r="AB157" s="69"/>
      <c r="AC157" s="70"/>
      <c r="AD157" s="76" t="s">
        <v>6021</v>
      </c>
      <c r="AE157" s="83" t="s">
        <v>6312</v>
      </c>
      <c r="AF157" s="76">
        <v>1044972</v>
      </c>
      <c r="AG157" s="76">
        <v>923</v>
      </c>
      <c r="AH157" s="76">
        <v>12735</v>
      </c>
      <c r="AI157" s="76">
        <v>4309</v>
      </c>
      <c r="AJ157" s="76">
        <v>11355</v>
      </c>
      <c r="AK157" s="76">
        <v>2421</v>
      </c>
      <c r="AL157" s="76" t="b">
        <v>0</v>
      </c>
      <c r="AM157" s="78">
        <v>39912.69880787037</v>
      </c>
      <c r="AN157" s="76"/>
      <c r="AO157" s="76" t="s">
        <v>6774</v>
      </c>
      <c r="AP157" s="82" t="str">
        <f>HYPERLINK("https://t.co/Ff8bpMmra2")</f>
        <v>https://t.co/Ff8bpMmra2</v>
      </c>
      <c r="AQ157" s="82" t="str">
        <f>HYPERLINK("https://www.paypal.com/us/home")</f>
        <v>https://www.paypal.com/us/home</v>
      </c>
      <c r="AR157" s="76" t="s">
        <v>7032</v>
      </c>
      <c r="AS157" s="76"/>
      <c r="AT157" s="76"/>
      <c r="AU157" s="76"/>
      <c r="AV157" s="76"/>
      <c r="AW157" s="82" t="str">
        <f>HYPERLINK("https://t.co/Ff8bpMmra2")</f>
        <v>https://t.co/Ff8bpMmra2</v>
      </c>
      <c r="AX157" s="76" t="b">
        <v>0</v>
      </c>
      <c r="AY157" s="76"/>
      <c r="AZ157" s="76"/>
      <c r="BA157" s="76" t="b">
        <v>1</v>
      </c>
      <c r="BB157" s="76" t="b">
        <v>1</v>
      </c>
      <c r="BC157" s="76" t="b">
        <v>0</v>
      </c>
      <c r="BD157" s="76" t="b">
        <v>0</v>
      </c>
      <c r="BE157" s="76" t="b">
        <v>1</v>
      </c>
      <c r="BF157" s="76" t="b">
        <v>0</v>
      </c>
      <c r="BG157" s="76" t="b">
        <v>0</v>
      </c>
      <c r="BH157" s="82" t="str">
        <f>HYPERLINK("https://pbs.twimg.com/profile_banners/30018058/1657842777")</f>
        <v>https://pbs.twimg.com/profile_banners/30018058/1657842777</v>
      </c>
      <c r="BI157" s="76"/>
      <c r="BJ157" s="76" t="s">
        <v>7188</v>
      </c>
      <c r="BK157" s="76" t="b">
        <v>0</v>
      </c>
      <c r="BL157" s="76"/>
      <c r="BM157" s="76" t="s">
        <v>65</v>
      </c>
      <c r="BN157" s="76" t="s">
        <v>7190</v>
      </c>
      <c r="BO157" s="82" t="str">
        <f>HYPERLINK("https://twitter.com/paypal")</f>
        <v>https://twitter.com/paypal</v>
      </c>
      <c r="BP157" s="46"/>
      <c r="BQ157" s="46"/>
      <c r="BR157" s="46"/>
      <c r="BS157" s="46"/>
      <c r="BT157" s="46"/>
      <c r="BU157" s="46"/>
      <c r="BV157" s="46"/>
      <c r="BW157" s="46"/>
      <c r="BX157" s="46"/>
      <c r="BY157" s="46"/>
      <c r="BZ157" s="2"/>
    </row>
    <row r="158" spans="1:78" ht="15">
      <c r="A158" s="62" t="s">
        <v>495</v>
      </c>
      <c r="B158" s="63"/>
      <c r="C158" s="63"/>
      <c r="D158" s="64"/>
      <c r="E158" s="66"/>
      <c r="F158" s="100" t="str">
        <f>HYPERLINK("https://pbs.twimg.com/profile_images/1474979394368131073/VYQMzpim_normal.jpg")</f>
        <v>https://pbs.twimg.com/profile_images/1474979394368131073/VYQMzpim_normal.jpg</v>
      </c>
      <c r="G158" s="63"/>
      <c r="H158" s="67"/>
      <c r="I158" s="68"/>
      <c r="J158" s="68"/>
      <c r="K158" s="67" t="s">
        <v>7345</v>
      </c>
      <c r="L158" s="71"/>
      <c r="M158" s="72">
        <v>4480.0224609375</v>
      </c>
      <c r="N158" s="72">
        <v>1936.8828125</v>
      </c>
      <c r="O158" s="73"/>
      <c r="P158" s="74"/>
      <c r="Q158" s="74"/>
      <c r="R158" s="86"/>
      <c r="S158" s="46">
        <v>1</v>
      </c>
      <c r="T158" s="46">
        <v>0</v>
      </c>
      <c r="U158" s="47">
        <v>0</v>
      </c>
      <c r="V158" s="47">
        <v>0.214691</v>
      </c>
      <c r="W158" s="47">
        <v>0.062026</v>
      </c>
      <c r="X158" s="47">
        <v>0.002499</v>
      </c>
      <c r="Y158" s="47">
        <v>0</v>
      </c>
      <c r="Z158" s="47">
        <v>0</v>
      </c>
      <c r="AA158" s="69">
        <v>158</v>
      </c>
      <c r="AB158" s="69"/>
      <c r="AC158" s="70"/>
      <c r="AD158" s="76" t="s">
        <v>6022</v>
      </c>
      <c r="AE158" s="83" t="s">
        <v>5746</v>
      </c>
      <c r="AF158" s="76">
        <v>92521</v>
      </c>
      <c r="AG158" s="76">
        <v>18</v>
      </c>
      <c r="AH158" s="76">
        <v>2595</v>
      </c>
      <c r="AI158" s="76">
        <v>60</v>
      </c>
      <c r="AJ158" s="76">
        <v>8158</v>
      </c>
      <c r="AK158" s="76">
        <v>1160</v>
      </c>
      <c r="AL158" s="76" t="b">
        <v>0</v>
      </c>
      <c r="AM158" s="78">
        <v>43872.537939814814</v>
      </c>
      <c r="AN158" s="76" t="s">
        <v>6472</v>
      </c>
      <c r="AO158" s="76" t="s">
        <v>6775</v>
      </c>
      <c r="AP158" s="76"/>
      <c r="AQ158" s="76"/>
      <c r="AR158" s="76"/>
      <c r="AS158" s="76"/>
      <c r="AT158" s="76"/>
      <c r="AU158" s="76"/>
      <c r="AV158" s="76"/>
      <c r="AW158" s="76"/>
      <c r="AX158" s="76" t="b">
        <v>0</v>
      </c>
      <c r="AY158" s="76"/>
      <c r="AZ158" s="76"/>
      <c r="BA158" s="76" t="b">
        <v>1</v>
      </c>
      <c r="BB158" s="76" t="b">
        <v>1</v>
      </c>
      <c r="BC158" s="76" t="b">
        <v>1</v>
      </c>
      <c r="BD158" s="76" t="b">
        <v>0</v>
      </c>
      <c r="BE158" s="76" t="b">
        <v>1</v>
      </c>
      <c r="BF158" s="76" t="b">
        <v>0</v>
      </c>
      <c r="BG158" s="76" t="b">
        <v>0</v>
      </c>
      <c r="BH158" s="82" t="str">
        <f>HYPERLINK("https://pbs.twimg.com/profile_banners/1227214300260945920/1638294534")</f>
        <v>https://pbs.twimg.com/profile_banners/1227214300260945920/1638294534</v>
      </c>
      <c r="BI158" s="76"/>
      <c r="BJ158" s="76" t="s">
        <v>7188</v>
      </c>
      <c r="BK158" s="76" t="b">
        <v>0</v>
      </c>
      <c r="BL158" s="76"/>
      <c r="BM158" s="76" t="s">
        <v>65</v>
      </c>
      <c r="BN158" s="76" t="s">
        <v>7190</v>
      </c>
      <c r="BO158" s="82" t="str">
        <f>HYPERLINK("https://twitter.com/missionambedkar")</f>
        <v>https://twitter.com/missionambedkar</v>
      </c>
      <c r="BP158" s="46"/>
      <c r="BQ158" s="46"/>
      <c r="BR158" s="46"/>
      <c r="BS158" s="46"/>
      <c r="BT158" s="46"/>
      <c r="BU158" s="46"/>
      <c r="BV158" s="46"/>
      <c r="BW158" s="46"/>
      <c r="BX158" s="46"/>
      <c r="BY158" s="46"/>
      <c r="BZ158" s="2"/>
    </row>
    <row r="159" spans="1:78" ht="15">
      <c r="A159" s="62" t="s">
        <v>496</v>
      </c>
      <c r="B159" s="63"/>
      <c r="C159" s="63"/>
      <c r="D159" s="64"/>
      <c r="E159" s="66"/>
      <c r="F159" s="100" t="str">
        <f>HYPERLINK("https://pbs.twimg.com/profile_images/1417487759699320836/RnENh3sb_normal.jpg")</f>
        <v>https://pbs.twimg.com/profile_images/1417487759699320836/RnENh3sb_normal.jpg</v>
      </c>
      <c r="G159" s="63"/>
      <c r="H159" s="67"/>
      <c r="I159" s="68"/>
      <c r="J159" s="68"/>
      <c r="K159" s="67" t="s">
        <v>7346</v>
      </c>
      <c r="L159" s="71"/>
      <c r="M159" s="72">
        <v>4506.662109375</v>
      </c>
      <c r="N159" s="72">
        <v>2069.19775390625</v>
      </c>
      <c r="O159" s="73"/>
      <c r="P159" s="74"/>
      <c r="Q159" s="74"/>
      <c r="R159" s="86"/>
      <c r="S159" s="46">
        <v>1</v>
      </c>
      <c r="T159" s="46">
        <v>0</v>
      </c>
      <c r="U159" s="47">
        <v>0</v>
      </c>
      <c r="V159" s="47">
        <v>0.214691</v>
      </c>
      <c r="W159" s="47">
        <v>0.062026</v>
      </c>
      <c r="X159" s="47">
        <v>0.002499</v>
      </c>
      <c r="Y159" s="47">
        <v>0</v>
      </c>
      <c r="Z159" s="47">
        <v>0</v>
      </c>
      <c r="AA159" s="69">
        <v>159</v>
      </c>
      <c r="AB159" s="69"/>
      <c r="AC159" s="70"/>
      <c r="AD159" s="76" t="s">
        <v>6023</v>
      </c>
      <c r="AE159" s="83" t="s">
        <v>6313</v>
      </c>
      <c r="AF159" s="76">
        <v>212</v>
      </c>
      <c r="AG159" s="76">
        <v>229</v>
      </c>
      <c r="AH159" s="76">
        <v>21</v>
      </c>
      <c r="AI159" s="76">
        <v>0</v>
      </c>
      <c r="AJ159" s="76">
        <v>49</v>
      </c>
      <c r="AK159" s="76">
        <v>6</v>
      </c>
      <c r="AL159" s="76" t="b">
        <v>0</v>
      </c>
      <c r="AM159" s="78">
        <v>43950.661087962966</v>
      </c>
      <c r="AN159" s="76"/>
      <c r="AO159" s="76" t="s">
        <v>6776</v>
      </c>
      <c r="AP159" s="76"/>
      <c r="AQ159" s="76"/>
      <c r="AR159" s="76"/>
      <c r="AS159" s="76"/>
      <c r="AT159" s="76"/>
      <c r="AU159" s="76"/>
      <c r="AV159" s="76"/>
      <c r="AW159" s="76"/>
      <c r="AX159" s="76" t="b">
        <v>0</v>
      </c>
      <c r="AY159" s="76"/>
      <c r="AZ159" s="76"/>
      <c r="BA159" s="76" t="b">
        <v>0</v>
      </c>
      <c r="BB159" s="76" t="b">
        <v>1</v>
      </c>
      <c r="BC159" s="76" t="b">
        <v>1</v>
      </c>
      <c r="BD159" s="76" t="b">
        <v>0</v>
      </c>
      <c r="BE159" s="76" t="b">
        <v>0</v>
      </c>
      <c r="BF159" s="76" t="b">
        <v>0</v>
      </c>
      <c r="BG159" s="76" t="b">
        <v>0</v>
      </c>
      <c r="BH159" s="76"/>
      <c r="BI159" s="76"/>
      <c r="BJ159" s="76" t="s">
        <v>7188</v>
      </c>
      <c r="BK159" s="76" t="b">
        <v>0</v>
      </c>
      <c r="BL159" s="76"/>
      <c r="BM159" s="76" t="s">
        <v>65</v>
      </c>
      <c r="BN159" s="76" t="s">
        <v>7190</v>
      </c>
      <c r="BO159" s="82" t="str">
        <f>HYPERLINK("https://twitter.com/sfi_arjun")</f>
        <v>https://twitter.com/sfi_arjun</v>
      </c>
      <c r="BP159" s="46"/>
      <c r="BQ159" s="46"/>
      <c r="BR159" s="46"/>
      <c r="BS159" s="46"/>
      <c r="BT159" s="46"/>
      <c r="BU159" s="46"/>
      <c r="BV159" s="46"/>
      <c r="BW159" s="46"/>
      <c r="BX159" s="46"/>
      <c r="BY159" s="46"/>
      <c r="BZ159" s="2"/>
    </row>
    <row r="160" spans="1:78" ht="15">
      <c r="A160" s="62" t="s">
        <v>497</v>
      </c>
      <c r="B160" s="63"/>
      <c r="C160" s="63"/>
      <c r="D160" s="64"/>
      <c r="E160" s="66"/>
      <c r="F160" s="100" t="str">
        <f>HYPERLINK("https://pbs.twimg.com/profile_images/1440127230835716105/woibWcYM_normal.jpg")</f>
        <v>https://pbs.twimg.com/profile_images/1440127230835716105/woibWcYM_normal.jpg</v>
      </c>
      <c r="G160" s="63"/>
      <c r="H160" s="67"/>
      <c r="I160" s="68"/>
      <c r="J160" s="68"/>
      <c r="K160" s="67" t="s">
        <v>7347</v>
      </c>
      <c r="L160" s="71"/>
      <c r="M160" s="72">
        <v>4533.30224609375</v>
      </c>
      <c r="N160" s="72">
        <v>2205.31103515625</v>
      </c>
      <c r="O160" s="73"/>
      <c r="P160" s="74"/>
      <c r="Q160" s="74"/>
      <c r="R160" s="86"/>
      <c r="S160" s="46">
        <v>1</v>
      </c>
      <c r="T160" s="46">
        <v>0</v>
      </c>
      <c r="U160" s="47">
        <v>0</v>
      </c>
      <c r="V160" s="47">
        <v>0.214691</v>
      </c>
      <c r="W160" s="47">
        <v>0.062026</v>
      </c>
      <c r="X160" s="47">
        <v>0.002499</v>
      </c>
      <c r="Y160" s="47">
        <v>0</v>
      </c>
      <c r="Z160" s="47">
        <v>0</v>
      </c>
      <c r="AA160" s="69">
        <v>160</v>
      </c>
      <c r="AB160" s="69"/>
      <c r="AC160" s="70"/>
      <c r="AD160" s="76" t="s">
        <v>6024</v>
      </c>
      <c r="AE160" s="83" t="s">
        <v>5747</v>
      </c>
      <c r="AF160" s="76">
        <v>59</v>
      </c>
      <c r="AG160" s="76">
        <v>113</v>
      </c>
      <c r="AH160" s="76">
        <v>102</v>
      </c>
      <c r="AI160" s="76">
        <v>0</v>
      </c>
      <c r="AJ160" s="76">
        <v>292</v>
      </c>
      <c r="AK160" s="76">
        <v>3</v>
      </c>
      <c r="AL160" s="76" t="b">
        <v>0</v>
      </c>
      <c r="AM160" s="78">
        <v>42095.19359953704</v>
      </c>
      <c r="AN160" s="76"/>
      <c r="AO160" s="76"/>
      <c r="AP160" s="76"/>
      <c r="AQ160" s="76"/>
      <c r="AR160" s="76"/>
      <c r="AS160" s="76"/>
      <c r="AT160" s="76"/>
      <c r="AU160" s="76"/>
      <c r="AV160" s="76"/>
      <c r="AW160" s="76"/>
      <c r="AX160" s="76" t="b">
        <v>0</v>
      </c>
      <c r="AY160" s="76"/>
      <c r="AZ160" s="76"/>
      <c r="BA160" s="76" t="b">
        <v>0</v>
      </c>
      <c r="BB160" s="76" t="b">
        <v>1</v>
      </c>
      <c r="BC160" s="76" t="b">
        <v>1</v>
      </c>
      <c r="BD160" s="76" t="b">
        <v>0</v>
      </c>
      <c r="BE160" s="76" t="b">
        <v>0</v>
      </c>
      <c r="BF160" s="76" t="b">
        <v>0</v>
      </c>
      <c r="BG160" s="76" t="b">
        <v>0</v>
      </c>
      <c r="BH160" s="76"/>
      <c r="BI160" s="76"/>
      <c r="BJ160" s="76" t="s">
        <v>7188</v>
      </c>
      <c r="BK160" s="76" t="b">
        <v>0</v>
      </c>
      <c r="BL160" s="76"/>
      <c r="BM160" s="76" t="s">
        <v>65</v>
      </c>
      <c r="BN160" s="76" t="s">
        <v>7190</v>
      </c>
      <c r="BO160" s="82" t="str">
        <f>HYPERLINK("https://twitter.com/bedasampath")</f>
        <v>https://twitter.com/bedasampath</v>
      </c>
      <c r="BP160" s="46"/>
      <c r="BQ160" s="46"/>
      <c r="BR160" s="46"/>
      <c r="BS160" s="46"/>
      <c r="BT160" s="46"/>
      <c r="BU160" s="46"/>
      <c r="BV160" s="46"/>
      <c r="BW160" s="46"/>
      <c r="BX160" s="46"/>
      <c r="BY160" s="46"/>
      <c r="BZ160" s="2"/>
    </row>
    <row r="161" spans="1:78" ht="15">
      <c r="A161" s="62" t="s">
        <v>498</v>
      </c>
      <c r="B161" s="63"/>
      <c r="C161" s="63"/>
      <c r="D161" s="64"/>
      <c r="E161" s="66"/>
      <c r="F161" s="100" t="str">
        <f>HYPERLINK("https://pbs.twimg.com/profile_images/1637399686041706496/tfbKP1IC_normal.jpg")</f>
        <v>https://pbs.twimg.com/profile_images/1637399686041706496/tfbKP1IC_normal.jpg</v>
      </c>
      <c r="G161" s="63"/>
      <c r="H161" s="67"/>
      <c r="I161" s="68"/>
      <c r="J161" s="68"/>
      <c r="K161" s="67" t="s">
        <v>7348</v>
      </c>
      <c r="L161" s="71"/>
      <c r="M161" s="72">
        <v>4559.9423828125</v>
      </c>
      <c r="N161" s="72">
        <v>2345.047119140625</v>
      </c>
      <c r="O161" s="73"/>
      <c r="P161" s="74"/>
      <c r="Q161" s="74"/>
      <c r="R161" s="86"/>
      <c r="S161" s="46">
        <v>1</v>
      </c>
      <c r="T161" s="46">
        <v>0</v>
      </c>
      <c r="U161" s="47">
        <v>0</v>
      </c>
      <c r="V161" s="47">
        <v>0.214691</v>
      </c>
      <c r="W161" s="47">
        <v>0.062026</v>
      </c>
      <c r="X161" s="47">
        <v>0.002499</v>
      </c>
      <c r="Y161" s="47">
        <v>0</v>
      </c>
      <c r="Z161" s="47">
        <v>0</v>
      </c>
      <c r="AA161" s="69">
        <v>161</v>
      </c>
      <c r="AB161" s="69"/>
      <c r="AC161" s="70"/>
      <c r="AD161" s="76" t="s">
        <v>6025</v>
      </c>
      <c r="AE161" s="83" t="s">
        <v>5748</v>
      </c>
      <c r="AF161" s="76">
        <v>223</v>
      </c>
      <c r="AG161" s="76">
        <v>69</v>
      </c>
      <c r="AH161" s="76">
        <v>204</v>
      </c>
      <c r="AI161" s="76">
        <v>0</v>
      </c>
      <c r="AJ161" s="76">
        <v>175</v>
      </c>
      <c r="AK161" s="76">
        <v>103</v>
      </c>
      <c r="AL161" s="76" t="b">
        <v>0</v>
      </c>
      <c r="AM161" s="78">
        <v>44228.69725694445</v>
      </c>
      <c r="AN161" s="76" t="s">
        <v>3895</v>
      </c>
      <c r="AO161" s="76" t="s">
        <v>6777</v>
      </c>
      <c r="AP161" s="76"/>
      <c r="AQ161" s="76"/>
      <c r="AR161" s="76"/>
      <c r="AS161" s="76"/>
      <c r="AT161" s="76"/>
      <c r="AU161" s="76"/>
      <c r="AV161" s="76"/>
      <c r="AW161" s="76"/>
      <c r="AX161" s="76" t="b">
        <v>0</v>
      </c>
      <c r="AY161" s="76"/>
      <c r="AZ161" s="76"/>
      <c r="BA161" s="76" t="b">
        <v>0</v>
      </c>
      <c r="BB161" s="76" t="b">
        <v>1</v>
      </c>
      <c r="BC161" s="76" t="b">
        <v>1</v>
      </c>
      <c r="BD161" s="76" t="b">
        <v>0</v>
      </c>
      <c r="BE161" s="76" t="b">
        <v>0</v>
      </c>
      <c r="BF161" s="76" t="b">
        <v>0</v>
      </c>
      <c r="BG161" s="76" t="b">
        <v>0</v>
      </c>
      <c r="BH161" s="82" t="str">
        <f>HYPERLINK("https://pbs.twimg.com/profile_banners/1356281882195869698/1660389222")</f>
        <v>https://pbs.twimg.com/profile_banners/1356281882195869698/1660389222</v>
      </c>
      <c r="BI161" s="76"/>
      <c r="BJ161" s="76" t="s">
        <v>7188</v>
      </c>
      <c r="BK161" s="76" t="b">
        <v>0</v>
      </c>
      <c r="BL161" s="76"/>
      <c r="BM161" s="76" t="s">
        <v>65</v>
      </c>
      <c r="BN161" s="76" t="s">
        <v>7190</v>
      </c>
      <c r="BO161" s="82" t="str">
        <f>HYPERLINK("https://twitter.com/mnaveenssu")</f>
        <v>https://twitter.com/mnaveenssu</v>
      </c>
      <c r="BP161" s="46"/>
      <c r="BQ161" s="46"/>
      <c r="BR161" s="46"/>
      <c r="BS161" s="46"/>
      <c r="BT161" s="46"/>
      <c r="BU161" s="46"/>
      <c r="BV161" s="46"/>
      <c r="BW161" s="46"/>
      <c r="BX161" s="46"/>
      <c r="BY161" s="46"/>
      <c r="BZ161" s="2"/>
    </row>
    <row r="162" spans="1:78" ht="15">
      <c r="A162" s="62" t="s">
        <v>499</v>
      </c>
      <c r="B162" s="63"/>
      <c r="C162" s="63"/>
      <c r="D162" s="64"/>
      <c r="E162" s="66"/>
      <c r="F162" s="100" t="str">
        <f>HYPERLINK("https://pbs.twimg.com/profile_images/1424578058502098951/SzQJ38As_normal.jpg")</f>
        <v>https://pbs.twimg.com/profile_images/1424578058502098951/SzQJ38As_normal.jpg</v>
      </c>
      <c r="G162" s="63"/>
      <c r="H162" s="67"/>
      <c r="I162" s="68"/>
      <c r="J162" s="68"/>
      <c r="K162" s="67" t="s">
        <v>7349</v>
      </c>
      <c r="L162" s="71"/>
      <c r="M162" s="72">
        <v>4586.58203125</v>
      </c>
      <c r="N162" s="72">
        <v>2488.223876953125</v>
      </c>
      <c r="O162" s="73"/>
      <c r="P162" s="74"/>
      <c r="Q162" s="74"/>
      <c r="R162" s="86"/>
      <c r="S162" s="46">
        <v>1</v>
      </c>
      <c r="T162" s="46">
        <v>0</v>
      </c>
      <c r="U162" s="47">
        <v>0</v>
      </c>
      <c r="V162" s="47">
        <v>0.214691</v>
      </c>
      <c r="W162" s="47">
        <v>0.062026</v>
      </c>
      <c r="X162" s="47">
        <v>0.002499</v>
      </c>
      <c r="Y162" s="47">
        <v>0</v>
      </c>
      <c r="Z162" s="47">
        <v>0</v>
      </c>
      <c r="AA162" s="69">
        <v>162</v>
      </c>
      <c r="AB162" s="69"/>
      <c r="AC162" s="70"/>
      <c r="AD162" s="76" t="s">
        <v>6026</v>
      </c>
      <c r="AE162" s="83" t="s">
        <v>5749</v>
      </c>
      <c r="AF162" s="76">
        <v>290</v>
      </c>
      <c r="AG162" s="76">
        <v>227</v>
      </c>
      <c r="AH162" s="76">
        <v>412</v>
      </c>
      <c r="AI162" s="76">
        <v>0</v>
      </c>
      <c r="AJ162" s="76">
        <v>811</v>
      </c>
      <c r="AK162" s="76">
        <v>87</v>
      </c>
      <c r="AL162" s="76" t="b">
        <v>0</v>
      </c>
      <c r="AM162" s="78">
        <v>44168.49623842593</v>
      </c>
      <c r="AN162" s="76" t="s">
        <v>3889</v>
      </c>
      <c r="AO162" s="76" t="s">
        <v>6778</v>
      </c>
      <c r="AP162" s="76"/>
      <c r="AQ162" s="76"/>
      <c r="AR162" s="76"/>
      <c r="AS162" s="76"/>
      <c r="AT162" s="76"/>
      <c r="AU162" s="76"/>
      <c r="AV162" s="76"/>
      <c r="AW162" s="76"/>
      <c r="AX162" s="76" t="b">
        <v>0</v>
      </c>
      <c r="AY162" s="76"/>
      <c r="AZ162" s="76"/>
      <c r="BA162" s="76" t="b">
        <v>0</v>
      </c>
      <c r="BB162" s="76" t="b">
        <v>1</v>
      </c>
      <c r="BC162" s="76" t="b">
        <v>1</v>
      </c>
      <c r="BD162" s="76" t="b">
        <v>0</v>
      </c>
      <c r="BE162" s="76" t="b">
        <v>0</v>
      </c>
      <c r="BF162" s="76" t="b">
        <v>0</v>
      </c>
      <c r="BG162" s="76" t="b">
        <v>0</v>
      </c>
      <c r="BH162" s="82" t="str">
        <f>HYPERLINK("https://pbs.twimg.com/profile_banners/1334465931708252161/1638168306")</f>
        <v>https://pbs.twimg.com/profile_banners/1334465931708252161/1638168306</v>
      </c>
      <c r="BI162" s="76"/>
      <c r="BJ162" s="76" t="s">
        <v>7188</v>
      </c>
      <c r="BK162" s="76" t="b">
        <v>0</v>
      </c>
      <c r="BL162" s="76"/>
      <c r="BM162" s="76" t="s">
        <v>65</v>
      </c>
      <c r="BN162" s="76" t="s">
        <v>7190</v>
      </c>
      <c r="BO162" s="82" t="str">
        <f>HYPERLINK("https://twitter.com/maddiletibanda4")</f>
        <v>https://twitter.com/maddiletibanda4</v>
      </c>
      <c r="BP162" s="46"/>
      <c r="BQ162" s="46"/>
      <c r="BR162" s="46"/>
      <c r="BS162" s="46"/>
      <c r="BT162" s="46"/>
      <c r="BU162" s="46"/>
      <c r="BV162" s="46"/>
      <c r="BW162" s="46"/>
      <c r="BX162" s="46"/>
      <c r="BY162" s="46"/>
      <c r="BZ162" s="2"/>
    </row>
    <row r="163" spans="1:78" ht="15">
      <c r="A163" s="62" t="s">
        <v>500</v>
      </c>
      <c r="B163" s="63"/>
      <c r="C163" s="63"/>
      <c r="D163" s="64"/>
      <c r="E163" s="66"/>
      <c r="F163" s="100" t="str">
        <f>HYPERLINK("https://pbs.twimg.com/profile_images/1009386715243429888/tXXzsr8a_normal.jpg")</f>
        <v>https://pbs.twimg.com/profile_images/1009386715243429888/tXXzsr8a_normal.jpg</v>
      </c>
      <c r="G163" s="63"/>
      <c r="H163" s="67"/>
      <c r="I163" s="68"/>
      <c r="J163" s="68"/>
      <c r="K163" s="67" t="s">
        <v>7350</v>
      </c>
      <c r="L163" s="71"/>
      <c r="M163" s="72">
        <v>4613.2216796875</v>
      </c>
      <c r="N163" s="72">
        <v>2634.656494140625</v>
      </c>
      <c r="O163" s="73"/>
      <c r="P163" s="74"/>
      <c r="Q163" s="74"/>
      <c r="R163" s="86"/>
      <c r="S163" s="46">
        <v>1</v>
      </c>
      <c r="T163" s="46">
        <v>0</v>
      </c>
      <c r="U163" s="47">
        <v>0</v>
      </c>
      <c r="V163" s="47">
        <v>0.214691</v>
      </c>
      <c r="W163" s="47">
        <v>0.062026</v>
      </c>
      <c r="X163" s="47">
        <v>0.002499</v>
      </c>
      <c r="Y163" s="47">
        <v>0</v>
      </c>
      <c r="Z163" s="47">
        <v>0</v>
      </c>
      <c r="AA163" s="69">
        <v>163</v>
      </c>
      <c r="AB163" s="69"/>
      <c r="AC163" s="70"/>
      <c r="AD163" s="76" t="s">
        <v>6027</v>
      </c>
      <c r="AE163" s="83" t="s">
        <v>6314</v>
      </c>
      <c r="AF163" s="76">
        <v>4771</v>
      </c>
      <c r="AG163" s="76">
        <v>130</v>
      </c>
      <c r="AH163" s="76">
        <v>1470</v>
      </c>
      <c r="AI163" s="76">
        <v>2</v>
      </c>
      <c r="AJ163" s="76">
        <v>76</v>
      </c>
      <c r="AK163" s="76">
        <v>223</v>
      </c>
      <c r="AL163" s="76" t="b">
        <v>0</v>
      </c>
      <c r="AM163" s="78">
        <v>40141.46392361111</v>
      </c>
      <c r="AN163" s="76" t="s">
        <v>3895</v>
      </c>
      <c r="AO163" s="76" t="s">
        <v>6779</v>
      </c>
      <c r="AP163" s="82" t="str">
        <f>HYPERLINK("https://t.co/1PChQg2u9A")</f>
        <v>https://t.co/1PChQg2u9A</v>
      </c>
      <c r="AQ163" s="82" t="str">
        <f>HYPERLINK("http://thesunilonline.blogspot.com")</f>
        <v>http://thesunilonline.blogspot.com</v>
      </c>
      <c r="AR163" s="76" t="s">
        <v>7033</v>
      </c>
      <c r="AS163" s="76"/>
      <c r="AT163" s="76"/>
      <c r="AU163" s="76"/>
      <c r="AV163" s="76">
        <v>1.65503079596098E+18</v>
      </c>
      <c r="AW163" s="82" t="str">
        <f>HYPERLINK("https://t.co/1PChQg2u9A")</f>
        <v>https://t.co/1PChQg2u9A</v>
      </c>
      <c r="AX163" s="76" t="b">
        <v>1</v>
      </c>
      <c r="AY163" s="76"/>
      <c r="AZ163" s="76" t="b">
        <v>1</v>
      </c>
      <c r="BA163" s="76" t="b">
        <v>1</v>
      </c>
      <c r="BB163" s="76" t="b">
        <v>1</v>
      </c>
      <c r="BC163" s="76" t="b">
        <v>1</v>
      </c>
      <c r="BD163" s="76" t="b">
        <v>0</v>
      </c>
      <c r="BE163" s="76" t="b">
        <v>1</v>
      </c>
      <c r="BF163" s="76" t="b">
        <v>0</v>
      </c>
      <c r="BG163" s="76" t="b">
        <v>0</v>
      </c>
      <c r="BH163" s="82" t="str">
        <f>HYPERLINK("https://pbs.twimg.com/profile_banners/92247886/1682126226")</f>
        <v>https://pbs.twimg.com/profile_banners/92247886/1682126226</v>
      </c>
      <c r="BI163" s="76"/>
      <c r="BJ163" s="76" t="s">
        <v>7188</v>
      </c>
      <c r="BK163" s="76" t="b">
        <v>1</v>
      </c>
      <c r="BL163" s="76"/>
      <c r="BM163" s="76" t="s">
        <v>65</v>
      </c>
      <c r="BN163" s="76" t="s">
        <v>7190</v>
      </c>
      <c r="BO163" s="82" t="str">
        <f>HYPERLINK("https://twitter.com/pv_sunil_kumar")</f>
        <v>https://twitter.com/pv_sunil_kumar</v>
      </c>
      <c r="BP163" s="46"/>
      <c r="BQ163" s="46"/>
      <c r="BR163" s="46"/>
      <c r="BS163" s="46"/>
      <c r="BT163" s="46"/>
      <c r="BU163" s="46"/>
      <c r="BV163" s="46"/>
      <c r="BW163" s="46"/>
      <c r="BX163" s="46"/>
      <c r="BY163" s="46"/>
      <c r="BZ163" s="2"/>
    </row>
    <row r="164" spans="1:78" ht="15">
      <c r="A164" s="62" t="s">
        <v>501</v>
      </c>
      <c r="B164" s="63"/>
      <c r="C164" s="63"/>
      <c r="D164" s="64"/>
      <c r="E164" s="66"/>
      <c r="F164" s="100" t="str">
        <f>HYPERLINK("https://pbs.twimg.com/profile_images/1371810069742977025/EARXqTrz_normal.jpg")</f>
        <v>https://pbs.twimg.com/profile_images/1371810069742977025/EARXqTrz_normal.jpg</v>
      </c>
      <c r="G164" s="63"/>
      <c r="H164" s="67"/>
      <c r="I164" s="68"/>
      <c r="J164" s="68"/>
      <c r="K164" s="67" t="s">
        <v>7351</v>
      </c>
      <c r="L164" s="71"/>
      <c r="M164" s="72">
        <v>4639.86181640625</v>
      </c>
      <c r="N164" s="72">
        <v>2784.154541015625</v>
      </c>
      <c r="O164" s="73"/>
      <c r="P164" s="74"/>
      <c r="Q164" s="74"/>
      <c r="R164" s="86"/>
      <c r="S164" s="46">
        <v>1</v>
      </c>
      <c r="T164" s="46">
        <v>0</v>
      </c>
      <c r="U164" s="47">
        <v>0</v>
      </c>
      <c r="V164" s="47">
        <v>0.214691</v>
      </c>
      <c r="W164" s="47">
        <v>0.062026</v>
      </c>
      <c r="X164" s="47">
        <v>0.002499</v>
      </c>
      <c r="Y164" s="47">
        <v>0</v>
      </c>
      <c r="Z164" s="47">
        <v>0</v>
      </c>
      <c r="AA164" s="69">
        <v>164</v>
      </c>
      <c r="AB164" s="69"/>
      <c r="AC164" s="70"/>
      <c r="AD164" s="76" t="s">
        <v>6028</v>
      </c>
      <c r="AE164" s="83" t="s">
        <v>5750</v>
      </c>
      <c r="AF164" s="76">
        <v>428</v>
      </c>
      <c r="AG164" s="76">
        <v>227</v>
      </c>
      <c r="AH164" s="76">
        <v>272</v>
      </c>
      <c r="AI164" s="76">
        <v>1</v>
      </c>
      <c r="AJ164" s="76">
        <v>1390</v>
      </c>
      <c r="AK164" s="76">
        <v>78</v>
      </c>
      <c r="AL164" s="76" t="b">
        <v>0</v>
      </c>
      <c r="AM164" s="78">
        <v>44271.545277777775</v>
      </c>
      <c r="AN164" s="76" t="s">
        <v>6543</v>
      </c>
      <c r="AO164" s="76"/>
      <c r="AP164" s="76"/>
      <c r="AQ164" s="76"/>
      <c r="AR164" s="76"/>
      <c r="AS164" s="76"/>
      <c r="AT164" s="76"/>
      <c r="AU164" s="76"/>
      <c r="AV164" s="76"/>
      <c r="AW164" s="76"/>
      <c r="AX164" s="76" t="b">
        <v>0</v>
      </c>
      <c r="AY164" s="76"/>
      <c r="AZ164" s="76"/>
      <c r="BA164" s="76" t="b">
        <v>0</v>
      </c>
      <c r="BB164" s="76" t="b">
        <v>1</v>
      </c>
      <c r="BC164" s="76" t="b">
        <v>1</v>
      </c>
      <c r="BD164" s="76" t="b">
        <v>0</v>
      </c>
      <c r="BE164" s="76" t="b">
        <v>0</v>
      </c>
      <c r="BF164" s="76" t="b">
        <v>0</v>
      </c>
      <c r="BG164" s="76" t="b">
        <v>0</v>
      </c>
      <c r="BH164" s="82" t="str">
        <f>HYPERLINK("https://pbs.twimg.com/profile_banners/1371809707350888448/1656072816")</f>
        <v>https://pbs.twimg.com/profile_banners/1371809707350888448/1656072816</v>
      </c>
      <c r="BI164" s="76"/>
      <c r="BJ164" s="76" t="s">
        <v>7188</v>
      </c>
      <c r="BK164" s="76" t="b">
        <v>0</v>
      </c>
      <c r="BL164" s="76"/>
      <c r="BM164" s="76" t="s">
        <v>65</v>
      </c>
      <c r="BN164" s="76" t="s">
        <v>7190</v>
      </c>
      <c r="BO164" s="82" t="str">
        <f>HYPERLINK("https://twitter.com/nithin_bussa")</f>
        <v>https://twitter.com/nithin_bussa</v>
      </c>
      <c r="BP164" s="46"/>
      <c r="BQ164" s="46"/>
      <c r="BR164" s="46"/>
      <c r="BS164" s="46"/>
      <c r="BT164" s="46"/>
      <c r="BU164" s="46"/>
      <c r="BV164" s="46"/>
      <c r="BW164" s="46"/>
      <c r="BX164" s="46"/>
      <c r="BY164" s="46"/>
      <c r="BZ164" s="2"/>
    </row>
    <row r="165" spans="1:78" ht="15">
      <c r="A165" s="62" t="s">
        <v>502</v>
      </c>
      <c r="B165" s="63"/>
      <c r="C165" s="63"/>
      <c r="D165" s="64"/>
      <c r="E165" s="66"/>
      <c r="F165" s="100" t="str">
        <f>HYPERLINK("https://pbs.twimg.com/profile_images/1417479280234168322/pkeeJx1K_normal.jpg")</f>
        <v>https://pbs.twimg.com/profile_images/1417479280234168322/pkeeJx1K_normal.jpg</v>
      </c>
      <c r="G165" s="63"/>
      <c r="H165" s="67"/>
      <c r="I165" s="68"/>
      <c r="J165" s="68"/>
      <c r="K165" s="67" t="s">
        <v>7352</v>
      </c>
      <c r="L165" s="71"/>
      <c r="M165" s="72">
        <v>4666.501953125</v>
      </c>
      <c r="N165" s="72">
        <v>2936.524169921875</v>
      </c>
      <c r="O165" s="73"/>
      <c r="P165" s="74"/>
      <c r="Q165" s="74"/>
      <c r="R165" s="86"/>
      <c r="S165" s="46">
        <v>1</v>
      </c>
      <c r="T165" s="46">
        <v>0</v>
      </c>
      <c r="U165" s="47">
        <v>0</v>
      </c>
      <c r="V165" s="47">
        <v>0.214691</v>
      </c>
      <c r="W165" s="47">
        <v>0.062026</v>
      </c>
      <c r="X165" s="47">
        <v>0.002499</v>
      </c>
      <c r="Y165" s="47">
        <v>0</v>
      </c>
      <c r="Z165" s="47">
        <v>0</v>
      </c>
      <c r="AA165" s="69">
        <v>165</v>
      </c>
      <c r="AB165" s="69"/>
      <c r="AC165" s="70"/>
      <c r="AD165" s="76" t="s">
        <v>6029</v>
      </c>
      <c r="AE165" s="83" t="s">
        <v>5751</v>
      </c>
      <c r="AF165" s="76">
        <v>66</v>
      </c>
      <c r="AG165" s="76">
        <v>115</v>
      </c>
      <c r="AH165" s="76">
        <v>277</v>
      </c>
      <c r="AI165" s="76">
        <v>0</v>
      </c>
      <c r="AJ165" s="76">
        <v>134</v>
      </c>
      <c r="AK165" s="76">
        <v>126</v>
      </c>
      <c r="AL165" s="76" t="b">
        <v>0</v>
      </c>
      <c r="AM165" s="78">
        <v>43835.77508101852</v>
      </c>
      <c r="AN165" s="76"/>
      <c r="AO165" s="76" t="s">
        <v>6780</v>
      </c>
      <c r="AP165" s="76"/>
      <c r="AQ165" s="76"/>
      <c r="AR165" s="76"/>
      <c r="AS165" s="76"/>
      <c r="AT165" s="76"/>
      <c r="AU165" s="76"/>
      <c r="AV165" s="76"/>
      <c r="AW165" s="76"/>
      <c r="AX165" s="76" t="b">
        <v>0</v>
      </c>
      <c r="AY165" s="76"/>
      <c r="AZ165" s="76"/>
      <c r="BA165" s="76" t="b">
        <v>0</v>
      </c>
      <c r="BB165" s="76" t="b">
        <v>1</v>
      </c>
      <c r="BC165" s="76" t="b">
        <v>1</v>
      </c>
      <c r="BD165" s="76" t="b">
        <v>0</v>
      </c>
      <c r="BE165" s="76" t="b">
        <v>0</v>
      </c>
      <c r="BF165" s="76" t="b">
        <v>0</v>
      </c>
      <c r="BG165" s="76" t="b">
        <v>0</v>
      </c>
      <c r="BH165" s="76"/>
      <c r="BI165" s="76"/>
      <c r="BJ165" s="76" t="s">
        <v>7188</v>
      </c>
      <c r="BK165" s="76" t="b">
        <v>0</v>
      </c>
      <c r="BL165" s="76"/>
      <c r="BM165" s="76" t="s">
        <v>65</v>
      </c>
      <c r="BN165" s="76" t="s">
        <v>7190</v>
      </c>
      <c r="BO165" s="82" t="str">
        <f>HYPERLINK("https://twitter.com/amarbyagari")</f>
        <v>https://twitter.com/amarbyagari</v>
      </c>
      <c r="BP165" s="46"/>
      <c r="BQ165" s="46"/>
      <c r="BR165" s="46"/>
      <c r="BS165" s="46"/>
      <c r="BT165" s="46"/>
      <c r="BU165" s="46"/>
      <c r="BV165" s="46"/>
      <c r="BW165" s="46"/>
      <c r="BX165" s="46"/>
      <c r="BY165" s="46"/>
      <c r="BZ165" s="2"/>
    </row>
    <row r="166" spans="1:78" ht="15">
      <c r="A166" s="62" t="s">
        <v>503</v>
      </c>
      <c r="B166" s="63"/>
      <c r="C166" s="63"/>
      <c r="D166" s="64"/>
      <c r="E166" s="66"/>
      <c r="F166" s="100" t="str">
        <f>HYPERLINK("https://pbs.twimg.com/profile_images/1596608610376847362/Rw-Rztm3_normal.jpg")</f>
        <v>https://pbs.twimg.com/profile_images/1596608610376847362/Rw-Rztm3_normal.jpg</v>
      </c>
      <c r="G166" s="63"/>
      <c r="H166" s="67"/>
      <c r="I166" s="68"/>
      <c r="J166" s="68"/>
      <c r="K166" s="67" t="s">
        <v>7353</v>
      </c>
      <c r="L166" s="71"/>
      <c r="M166" s="72">
        <v>4693.1416015625</v>
      </c>
      <c r="N166" s="72">
        <v>3091.568603515625</v>
      </c>
      <c r="O166" s="73"/>
      <c r="P166" s="74"/>
      <c r="Q166" s="74"/>
      <c r="R166" s="86"/>
      <c r="S166" s="46">
        <v>1</v>
      </c>
      <c r="T166" s="46">
        <v>0</v>
      </c>
      <c r="U166" s="47">
        <v>0</v>
      </c>
      <c r="V166" s="47">
        <v>0.214691</v>
      </c>
      <c r="W166" s="47">
        <v>0.062026</v>
      </c>
      <c r="X166" s="47">
        <v>0.002499</v>
      </c>
      <c r="Y166" s="47">
        <v>0</v>
      </c>
      <c r="Z166" s="47">
        <v>0</v>
      </c>
      <c r="AA166" s="69">
        <v>166</v>
      </c>
      <c r="AB166" s="69"/>
      <c r="AC166" s="70"/>
      <c r="AD166" s="76" t="s">
        <v>6030</v>
      </c>
      <c r="AE166" s="83" t="s">
        <v>5752</v>
      </c>
      <c r="AF166" s="76">
        <v>4475</v>
      </c>
      <c r="AG166" s="76">
        <v>0</v>
      </c>
      <c r="AH166" s="76">
        <v>51793</v>
      </c>
      <c r="AI166" s="76">
        <v>0</v>
      </c>
      <c r="AJ166" s="76">
        <v>49326</v>
      </c>
      <c r="AK166" s="76">
        <v>7213</v>
      </c>
      <c r="AL166" s="76" t="b">
        <v>0</v>
      </c>
      <c r="AM166" s="78">
        <v>39666.567453703705</v>
      </c>
      <c r="AN166" s="76"/>
      <c r="AO166" s="76" t="s">
        <v>6781</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7188</v>
      </c>
      <c r="BK166" s="76" t="b">
        <v>0</v>
      </c>
      <c r="BL166" s="76"/>
      <c r="BM166" s="76" t="s">
        <v>65</v>
      </c>
      <c r="BN166" s="76" t="s">
        <v>7190</v>
      </c>
      <c r="BO166" s="82" t="str">
        <f>HYPERLINK("https://twitter.com/quiffboy")</f>
        <v>https://twitter.com/quiffboy</v>
      </c>
      <c r="BP166" s="46"/>
      <c r="BQ166" s="46"/>
      <c r="BR166" s="46"/>
      <c r="BS166" s="46"/>
      <c r="BT166" s="46"/>
      <c r="BU166" s="46"/>
      <c r="BV166" s="46"/>
      <c r="BW166" s="46"/>
      <c r="BX166" s="46"/>
      <c r="BY166" s="46"/>
      <c r="BZ166" s="2"/>
    </row>
    <row r="167" spans="1:78" ht="15">
      <c r="A167" s="62" t="s">
        <v>504</v>
      </c>
      <c r="B167" s="63"/>
      <c r="C167" s="63"/>
      <c r="D167" s="64"/>
      <c r="E167" s="66"/>
      <c r="F167" s="100" t="str">
        <f>HYPERLINK("https://pbs.twimg.com/profile_images/1502690164744732674/3w3KcZkt_normal.jpg")</f>
        <v>https://pbs.twimg.com/profile_images/1502690164744732674/3w3KcZkt_normal.jpg</v>
      </c>
      <c r="G167" s="63"/>
      <c r="H167" s="67"/>
      <c r="I167" s="68"/>
      <c r="J167" s="68"/>
      <c r="K167" s="67" t="s">
        <v>7354</v>
      </c>
      <c r="L167" s="71"/>
      <c r="M167" s="72">
        <v>4719.78125</v>
      </c>
      <c r="N167" s="72">
        <v>3249.0859375</v>
      </c>
      <c r="O167" s="73"/>
      <c r="P167" s="74"/>
      <c r="Q167" s="74"/>
      <c r="R167" s="86"/>
      <c r="S167" s="46">
        <v>1</v>
      </c>
      <c r="T167" s="46">
        <v>0</v>
      </c>
      <c r="U167" s="47">
        <v>0</v>
      </c>
      <c r="V167" s="47">
        <v>0.214691</v>
      </c>
      <c r="W167" s="47">
        <v>0.062026</v>
      </c>
      <c r="X167" s="47">
        <v>0.002499</v>
      </c>
      <c r="Y167" s="47">
        <v>0</v>
      </c>
      <c r="Z167" s="47">
        <v>0</v>
      </c>
      <c r="AA167" s="69">
        <v>167</v>
      </c>
      <c r="AB167" s="69"/>
      <c r="AC167" s="70"/>
      <c r="AD167" s="76" t="s">
        <v>6031</v>
      </c>
      <c r="AE167" s="83" t="s">
        <v>5753</v>
      </c>
      <c r="AF167" s="76">
        <v>452442</v>
      </c>
      <c r="AG167" s="76">
        <v>57</v>
      </c>
      <c r="AH167" s="76">
        <v>25896</v>
      </c>
      <c r="AI167" s="76">
        <v>14257</v>
      </c>
      <c r="AJ167" s="76">
        <v>3004</v>
      </c>
      <c r="AK167" s="76">
        <v>11129</v>
      </c>
      <c r="AL167" s="76" t="b">
        <v>0</v>
      </c>
      <c r="AM167" s="78">
        <v>39157.997453703705</v>
      </c>
      <c r="AN167" s="76" t="s">
        <v>6464</v>
      </c>
      <c r="AO167" s="76" t="s">
        <v>6782</v>
      </c>
      <c r="AP167" s="82" t="str">
        <f>HYPERLINK("https://t.co/stTIoC5MqG")</f>
        <v>https://t.co/stTIoC5MqG</v>
      </c>
      <c r="AQ167" s="82" t="str">
        <f>HYPERLINK("http://npdigital.com")</f>
        <v>http://npdigital.com</v>
      </c>
      <c r="AR167" s="76" t="s">
        <v>7034</v>
      </c>
      <c r="AS167" s="76"/>
      <c r="AT167" s="76"/>
      <c r="AU167" s="76"/>
      <c r="AV167" s="76"/>
      <c r="AW167" s="82" t="str">
        <f>HYPERLINK("https://t.co/stTIoC5MqG")</f>
        <v>https://t.co/stTIoC5MqG</v>
      </c>
      <c r="AX167" s="76" t="b">
        <v>1</v>
      </c>
      <c r="AY167" s="76"/>
      <c r="AZ167" s="76" t="b">
        <v>1</v>
      </c>
      <c r="BA167" s="76" t="b">
        <v>0</v>
      </c>
      <c r="BB167" s="76" t="b">
        <v>1</v>
      </c>
      <c r="BC167" s="76" t="b">
        <v>0</v>
      </c>
      <c r="BD167" s="76" t="b">
        <v>0</v>
      </c>
      <c r="BE167" s="76" t="b">
        <v>0</v>
      </c>
      <c r="BF167" s="76" t="b">
        <v>0</v>
      </c>
      <c r="BG167" s="76" t="b">
        <v>0</v>
      </c>
      <c r="BH167" s="82" t="str">
        <f>HYPERLINK("https://pbs.twimg.com/profile_banners/1322691/1701315451")</f>
        <v>https://pbs.twimg.com/profile_banners/1322691/1701315451</v>
      </c>
      <c r="BI167" s="76"/>
      <c r="BJ167" s="76" t="s">
        <v>7188</v>
      </c>
      <c r="BK167" s="76" t="b">
        <v>1</v>
      </c>
      <c r="BL167" s="76"/>
      <c r="BM167" s="76" t="s">
        <v>65</v>
      </c>
      <c r="BN167" s="76" t="s">
        <v>7190</v>
      </c>
      <c r="BO167" s="82" t="str">
        <f>HYPERLINK("https://twitter.com/neilpatel")</f>
        <v>https://twitter.com/neilpatel</v>
      </c>
      <c r="BP167" s="46"/>
      <c r="BQ167" s="46"/>
      <c r="BR167" s="46"/>
      <c r="BS167" s="46"/>
      <c r="BT167" s="46"/>
      <c r="BU167" s="46"/>
      <c r="BV167" s="46"/>
      <c r="BW167" s="46"/>
      <c r="BX167" s="46"/>
      <c r="BY167" s="46"/>
      <c r="BZ167" s="2"/>
    </row>
    <row r="168" spans="1:78" ht="15">
      <c r="A168" s="62" t="s">
        <v>505</v>
      </c>
      <c r="B168" s="63"/>
      <c r="C168" s="63"/>
      <c r="D168" s="64"/>
      <c r="E168" s="66"/>
      <c r="F168" s="100" t="str">
        <f>HYPERLINK("https://pbs.twimg.com/profile_images/1683325380441128960/yRsRRjGO_normal.jpg")</f>
        <v>https://pbs.twimg.com/profile_images/1683325380441128960/yRsRRjGO_normal.jpg</v>
      </c>
      <c r="G168" s="63"/>
      <c r="H168" s="67"/>
      <c r="I168" s="68"/>
      <c r="J168" s="68"/>
      <c r="K168" s="67" t="s">
        <v>7355</v>
      </c>
      <c r="L168" s="71"/>
      <c r="M168" s="72">
        <v>4746.42138671875</v>
      </c>
      <c r="N168" s="72">
        <v>3408.873291015625</v>
      </c>
      <c r="O168" s="73"/>
      <c r="P168" s="74"/>
      <c r="Q168" s="74"/>
      <c r="R168" s="86"/>
      <c r="S168" s="46">
        <v>1</v>
      </c>
      <c r="T168" s="46">
        <v>0</v>
      </c>
      <c r="U168" s="47">
        <v>0</v>
      </c>
      <c r="V168" s="47">
        <v>0.214691</v>
      </c>
      <c r="W168" s="47">
        <v>0.062026</v>
      </c>
      <c r="X168" s="47">
        <v>0.002499</v>
      </c>
      <c r="Y168" s="47">
        <v>0</v>
      </c>
      <c r="Z168" s="47">
        <v>0</v>
      </c>
      <c r="AA168" s="69">
        <v>168</v>
      </c>
      <c r="AB168" s="69"/>
      <c r="AC168" s="70"/>
      <c r="AD168" s="76" t="s">
        <v>6032</v>
      </c>
      <c r="AE168" s="83" t="s">
        <v>5754</v>
      </c>
      <c r="AF168" s="76">
        <v>166857263</v>
      </c>
      <c r="AG168" s="76">
        <v>508</v>
      </c>
      <c r="AH168" s="76">
        <v>35194</v>
      </c>
      <c r="AI168" s="76">
        <v>149785</v>
      </c>
      <c r="AJ168" s="76">
        <v>38339</v>
      </c>
      <c r="AK168" s="76">
        <v>1910</v>
      </c>
      <c r="AL168" s="76" t="b">
        <v>0</v>
      </c>
      <c r="AM168" s="78">
        <v>39966.842002314814</v>
      </c>
      <c r="AN168" s="76" t="s">
        <v>6544</v>
      </c>
      <c r="AO168" s="76"/>
      <c r="AP168" s="76"/>
      <c r="AQ168" s="76"/>
      <c r="AR168" s="76"/>
      <c r="AS168" s="76"/>
      <c r="AT168" s="76"/>
      <c r="AU168" s="76"/>
      <c r="AV168" s="76"/>
      <c r="AW168" s="76"/>
      <c r="AX168" s="76" t="b">
        <v>1</v>
      </c>
      <c r="AY168" s="76"/>
      <c r="AZ168" s="76" t="b">
        <v>1</v>
      </c>
      <c r="BA168" s="76" t="b">
        <v>0</v>
      </c>
      <c r="BB168" s="76" t="b">
        <v>0</v>
      </c>
      <c r="BC168" s="76" t="b">
        <v>0</v>
      </c>
      <c r="BD168" s="76" t="b">
        <v>0</v>
      </c>
      <c r="BE168" s="76" t="b">
        <v>1</v>
      </c>
      <c r="BF168" s="76" t="b">
        <v>0</v>
      </c>
      <c r="BG168" s="76" t="b">
        <v>0</v>
      </c>
      <c r="BH168" s="82" t="str">
        <f>HYPERLINK("https://pbs.twimg.com/profile_banners/44196397/1690621312")</f>
        <v>https://pbs.twimg.com/profile_banners/44196397/1690621312</v>
      </c>
      <c r="BI168" s="76"/>
      <c r="BJ168" s="76" t="s">
        <v>7188</v>
      </c>
      <c r="BK168" s="76" t="b">
        <v>1</v>
      </c>
      <c r="BL168" s="76"/>
      <c r="BM168" s="76" t="s">
        <v>65</v>
      </c>
      <c r="BN168" s="76" t="s">
        <v>7190</v>
      </c>
      <c r="BO168" s="82" t="str">
        <f>HYPERLINK("https://twitter.com/elonmusk")</f>
        <v>https://twitter.com/elonmusk</v>
      </c>
      <c r="BP168" s="46"/>
      <c r="BQ168" s="46"/>
      <c r="BR168" s="46"/>
      <c r="BS168" s="46"/>
      <c r="BT168" s="46"/>
      <c r="BU168" s="46"/>
      <c r="BV168" s="46"/>
      <c r="BW168" s="46"/>
      <c r="BX168" s="46"/>
      <c r="BY168" s="46"/>
      <c r="BZ168" s="2"/>
    </row>
    <row r="169" spans="1:78" ht="15">
      <c r="A169" s="62" t="s">
        <v>301</v>
      </c>
      <c r="B169" s="63"/>
      <c r="C169" s="63"/>
      <c r="D169" s="64"/>
      <c r="E169" s="66"/>
      <c r="F169" s="100" t="str">
        <f>HYPERLINK("https://pbs.twimg.com/profile_images/1094193552698077185/_I-5pm2s_normal.jpg")</f>
        <v>https://pbs.twimg.com/profile_images/1094193552698077185/_I-5pm2s_normal.jpg</v>
      </c>
      <c r="G169" s="63"/>
      <c r="H169" s="67"/>
      <c r="I169" s="68"/>
      <c r="J169" s="68"/>
      <c r="K169" s="67" t="s">
        <v>7356</v>
      </c>
      <c r="L169" s="71"/>
      <c r="M169" s="72">
        <v>4773.0615234375</v>
      </c>
      <c r="N169" s="72">
        <v>3570.72216796875</v>
      </c>
      <c r="O169" s="73"/>
      <c r="P169" s="74"/>
      <c r="Q169" s="74"/>
      <c r="R169" s="86"/>
      <c r="S169" s="46">
        <v>0</v>
      </c>
      <c r="T169" s="46">
        <v>1</v>
      </c>
      <c r="U169" s="47">
        <v>0</v>
      </c>
      <c r="V169" s="47">
        <v>0.214691</v>
      </c>
      <c r="W169" s="47">
        <v>0.062026</v>
      </c>
      <c r="X169" s="47">
        <v>0.002499</v>
      </c>
      <c r="Y169" s="47">
        <v>0</v>
      </c>
      <c r="Z169" s="47">
        <v>0</v>
      </c>
      <c r="AA169" s="69">
        <v>169</v>
      </c>
      <c r="AB169" s="69"/>
      <c r="AC169" s="70"/>
      <c r="AD169" s="76" t="s">
        <v>6033</v>
      </c>
      <c r="AE169" s="83" t="s">
        <v>6315</v>
      </c>
      <c r="AF169" s="76">
        <v>17608</v>
      </c>
      <c r="AG169" s="76">
        <v>15389</v>
      </c>
      <c r="AH169" s="76">
        <v>40726</v>
      </c>
      <c r="AI169" s="76">
        <v>0</v>
      </c>
      <c r="AJ169" s="76">
        <v>14097</v>
      </c>
      <c r="AK169" s="76">
        <v>12352</v>
      </c>
      <c r="AL169" s="76" t="b">
        <v>0</v>
      </c>
      <c r="AM169" s="78">
        <v>42198.87721064815</v>
      </c>
      <c r="AN169" s="76" t="s">
        <v>6524</v>
      </c>
      <c r="AO169" s="76" t="s">
        <v>6783</v>
      </c>
      <c r="AP169" s="82" t="str">
        <f>HYPERLINK("https://t.co/rSzz1iqylN")</f>
        <v>https://t.co/rSzz1iqylN</v>
      </c>
      <c r="AQ169" s="82" t="str">
        <f>HYPERLINK("http://grwth.link/gmc-global-tb")</f>
        <v>http://grwth.link/gmc-global-tb</v>
      </c>
      <c r="AR169" s="76" t="s">
        <v>7035</v>
      </c>
      <c r="AS169" s="76"/>
      <c r="AT169" s="76"/>
      <c r="AU169" s="76"/>
      <c r="AV169" s="76">
        <v>1.20551892230218E+18</v>
      </c>
      <c r="AW169" s="82" t="str">
        <f>HYPERLINK("https://t.co/rSzz1iqylN")</f>
        <v>https://t.co/rSzz1iqylN</v>
      </c>
      <c r="AX169" s="76" t="b">
        <v>0</v>
      </c>
      <c r="AY169" s="76"/>
      <c r="AZ169" s="76"/>
      <c r="BA169" s="76" t="b">
        <v>0</v>
      </c>
      <c r="BB169" s="76" t="b">
        <v>1</v>
      </c>
      <c r="BC169" s="76" t="b">
        <v>0</v>
      </c>
      <c r="BD169" s="76" t="b">
        <v>0</v>
      </c>
      <c r="BE169" s="76" t="b">
        <v>1</v>
      </c>
      <c r="BF169" s="76" t="b">
        <v>0</v>
      </c>
      <c r="BG169" s="76" t="b">
        <v>0</v>
      </c>
      <c r="BH169" s="82" t="str">
        <f>HYPERLINK("https://pbs.twimg.com/profile_banners/3278888852/1549711140")</f>
        <v>https://pbs.twimg.com/profile_banners/3278888852/1549711140</v>
      </c>
      <c r="BI169" s="76"/>
      <c r="BJ169" s="76" t="s">
        <v>7188</v>
      </c>
      <c r="BK169" s="76" t="b">
        <v>0</v>
      </c>
      <c r="BL169" s="76"/>
      <c r="BM169" s="76" t="s">
        <v>66</v>
      </c>
      <c r="BN169" s="76" t="s">
        <v>7190</v>
      </c>
      <c r="BO169" s="82" t="str">
        <f>HYPERLINK("https://twitter.com/growthmktconf")</f>
        <v>https://twitter.com/growthmktconf</v>
      </c>
      <c r="BP169" s="46" t="s">
        <v>7630</v>
      </c>
      <c r="BQ169" s="46" t="s">
        <v>7630</v>
      </c>
      <c r="BR169" s="46" t="s">
        <v>2007</v>
      </c>
      <c r="BS169" s="46" t="s">
        <v>2007</v>
      </c>
      <c r="BT169" s="46"/>
      <c r="BU169" s="46"/>
      <c r="BV169" s="105" t="s">
        <v>7859</v>
      </c>
      <c r="BW169" s="105" t="s">
        <v>7859</v>
      </c>
      <c r="BX169" s="105" t="s">
        <v>8090</v>
      </c>
      <c r="BY169" s="105" t="s">
        <v>8090</v>
      </c>
      <c r="BZ169" s="2"/>
    </row>
    <row r="170" spans="1:78" ht="15">
      <c r="A170" s="62" t="s">
        <v>506</v>
      </c>
      <c r="B170" s="63"/>
      <c r="C170" s="63"/>
      <c r="D170" s="64"/>
      <c r="E170" s="66"/>
      <c r="F170" s="100" t="str">
        <f>HYPERLINK("https://pbs.twimg.com/profile_images/1713672491246235648/onuO9RcB_normal.jpg")</f>
        <v>https://pbs.twimg.com/profile_images/1713672491246235648/onuO9RcB_normal.jpg</v>
      </c>
      <c r="G170" s="63"/>
      <c r="H170" s="67"/>
      <c r="I170" s="68"/>
      <c r="J170" s="68"/>
      <c r="K170" s="67" t="s">
        <v>7357</v>
      </c>
      <c r="L170" s="71"/>
      <c r="M170" s="72">
        <v>4799.70068359375</v>
      </c>
      <c r="N170" s="72">
        <v>3734.4228515625</v>
      </c>
      <c r="O170" s="73"/>
      <c r="P170" s="74"/>
      <c r="Q170" s="74"/>
      <c r="R170" s="86"/>
      <c r="S170" s="46">
        <v>1</v>
      </c>
      <c r="T170" s="46">
        <v>0</v>
      </c>
      <c r="U170" s="47">
        <v>0</v>
      </c>
      <c r="V170" s="47">
        <v>0.003854</v>
      </c>
      <c r="W170" s="47">
        <v>0</v>
      </c>
      <c r="X170" s="47">
        <v>0.002694</v>
      </c>
      <c r="Y170" s="47">
        <v>0</v>
      </c>
      <c r="Z170" s="47">
        <v>0</v>
      </c>
      <c r="AA170" s="69">
        <v>170</v>
      </c>
      <c r="AB170" s="69"/>
      <c r="AC170" s="70"/>
      <c r="AD170" s="76" t="s">
        <v>6034</v>
      </c>
      <c r="AE170" s="83" t="s">
        <v>5755</v>
      </c>
      <c r="AF170" s="76">
        <v>9118</v>
      </c>
      <c r="AG170" s="76">
        <v>588</v>
      </c>
      <c r="AH170" s="76">
        <v>30658</v>
      </c>
      <c r="AI170" s="76">
        <v>97</v>
      </c>
      <c r="AJ170" s="76">
        <v>28565</v>
      </c>
      <c r="AK170" s="76">
        <v>2223</v>
      </c>
      <c r="AL170" s="76" t="b">
        <v>0</v>
      </c>
      <c r="AM170" s="78">
        <v>40891.12571759259</v>
      </c>
      <c r="AN170" s="76" t="s">
        <v>6541</v>
      </c>
      <c r="AO170" s="76" t="s">
        <v>6784</v>
      </c>
      <c r="AP170" s="76"/>
      <c r="AQ170" s="76"/>
      <c r="AR170" s="76"/>
      <c r="AS170" s="76"/>
      <c r="AT170" s="76"/>
      <c r="AU170" s="76"/>
      <c r="AV170" s="76">
        <v>1.49621849029395E+18</v>
      </c>
      <c r="AW170" s="76"/>
      <c r="AX170" s="76" t="b">
        <v>0</v>
      </c>
      <c r="AY170" s="76"/>
      <c r="AZ170" s="76"/>
      <c r="BA170" s="76" t="b">
        <v>0</v>
      </c>
      <c r="BB170" s="76" t="b">
        <v>0</v>
      </c>
      <c r="BC170" s="76" t="b">
        <v>0</v>
      </c>
      <c r="BD170" s="76" t="b">
        <v>0</v>
      </c>
      <c r="BE170" s="76" t="b">
        <v>1</v>
      </c>
      <c r="BF170" s="76" t="b">
        <v>0</v>
      </c>
      <c r="BG170" s="76" t="b">
        <v>0</v>
      </c>
      <c r="BH170" s="82" t="str">
        <f>HYPERLINK("https://pbs.twimg.com/profile_banners/436358425/1699386020")</f>
        <v>https://pbs.twimg.com/profile_banners/436358425/1699386020</v>
      </c>
      <c r="BI170" s="76"/>
      <c r="BJ170" s="76" t="s">
        <v>7188</v>
      </c>
      <c r="BK170" s="76" t="b">
        <v>0</v>
      </c>
      <c r="BL170" s="76"/>
      <c r="BM170" s="76" t="s">
        <v>65</v>
      </c>
      <c r="BN170" s="76" t="s">
        <v>7190</v>
      </c>
      <c r="BO170" s="82" t="str">
        <f>HYPERLINK("https://twitter.com/sherazfarooqi_")</f>
        <v>https://twitter.com/sherazfarooqi_</v>
      </c>
      <c r="BP170" s="46"/>
      <c r="BQ170" s="46"/>
      <c r="BR170" s="46"/>
      <c r="BS170" s="46"/>
      <c r="BT170" s="46"/>
      <c r="BU170" s="46"/>
      <c r="BV170" s="46"/>
      <c r="BW170" s="46"/>
      <c r="BX170" s="46"/>
      <c r="BY170" s="46"/>
      <c r="BZ170" s="2"/>
    </row>
    <row r="171" spans="1:78" ht="15">
      <c r="A171" s="62" t="s">
        <v>303</v>
      </c>
      <c r="B171" s="63"/>
      <c r="C171" s="63"/>
      <c r="D171" s="64"/>
      <c r="E171" s="66"/>
      <c r="F171" s="100" t="str">
        <f>HYPERLINK("https://abs.twimg.com/sticky/default_profile_images/default_profile_normal.png")</f>
        <v>https://abs.twimg.com/sticky/default_profile_images/default_profile_normal.png</v>
      </c>
      <c r="G171" s="63"/>
      <c r="H171" s="67"/>
      <c r="I171" s="68"/>
      <c r="J171" s="68"/>
      <c r="K171" s="67" t="s">
        <v>7358</v>
      </c>
      <c r="L171" s="71"/>
      <c r="M171" s="72">
        <v>4826.3408203125</v>
      </c>
      <c r="N171" s="72">
        <v>3899.763671875</v>
      </c>
      <c r="O171" s="73"/>
      <c r="P171" s="74"/>
      <c r="Q171" s="74"/>
      <c r="R171" s="86"/>
      <c r="S171" s="46">
        <v>1</v>
      </c>
      <c r="T171" s="46">
        <v>1</v>
      </c>
      <c r="U171" s="47">
        <v>0</v>
      </c>
      <c r="V171" s="47">
        <v>0</v>
      </c>
      <c r="W171" s="47">
        <v>0</v>
      </c>
      <c r="X171" s="47">
        <v>0.002882</v>
      </c>
      <c r="Y171" s="47">
        <v>0</v>
      </c>
      <c r="Z171" s="47">
        <v>0</v>
      </c>
      <c r="AA171" s="69">
        <v>171</v>
      </c>
      <c r="AB171" s="69"/>
      <c r="AC171" s="70"/>
      <c r="AD171" s="76" t="s">
        <v>303</v>
      </c>
      <c r="AE171" s="83" t="s">
        <v>5803</v>
      </c>
      <c r="AF171" s="76">
        <v>0</v>
      </c>
      <c r="AG171" s="76">
        <v>0</v>
      </c>
      <c r="AH171" s="76">
        <v>1</v>
      </c>
      <c r="AI171" s="76">
        <v>0</v>
      </c>
      <c r="AJ171" s="76">
        <v>0</v>
      </c>
      <c r="AK171" s="76">
        <v>1</v>
      </c>
      <c r="AL171" s="76" t="b">
        <v>0</v>
      </c>
      <c r="AM171" s="78">
        <v>43784.562048611115</v>
      </c>
      <c r="AN171" s="76"/>
      <c r="AO171" s="76"/>
      <c r="AP171" s="76"/>
      <c r="AQ171" s="76"/>
      <c r="AR171" s="76"/>
      <c r="AS171" s="76"/>
      <c r="AT171" s="76"/>
      <c r="AU171" s="76"/>
      <c r="AV171" s="76"/>
      <c r="AW171" s="76"/>
      <c r="AX171" s="76" t="b">
        <v>0</v>
      </c>
      <c r="AY171" s="76"/>
      <c r="AZ171" s="76"/>
      <c r="BA171" s="76" t="b">
        <v>0</v>
      </c>
      <c r="BB171" s="76" t="b">
        <v>1</v>
      </c>
      <c r="BC171" s="76" t="b">
        <v>1</v>
      </c>
      <c r="BD171" s="76" t="b">
        <v>1</v>
      </c>
      <c r="BE171" s="76" t="b">
        <v>0</v>
      </c>
      <c r="BF171" s="76" t="b">
        <v>0</v>
      </c>
      <c r="BG171" s="76" t="b">
        <v>0</v>
      </c>
      <c r="BH171" s="76"/>
      <c r="BI171" s="76"/>
      <c r="BJ171" s="76" t="s">
        <v>7188</v>
      </c>
      <c r="BK171" s="76" t="b">
        <v>0</v>
      </c>
      <c r="BL171" s="76"/>
      <c r="BM171" s="76" t="s">
        <v>66</v>
      </c>
      <c r="BN171" s="76" t="s">
        <v>7190</v>
      </c>
      <c r="BO171" s="82" t="str">
        <f>HYPERLINK("https://twitter.com/oviyamchetna")</f>
        <v>https://twitter.com/oviyamchetna</v>
      </c>
      <c r="BP171" s="46" t="s">
        <v>7550</v>
      </c>
      <c r="BQ171" s="46" t="s">
        <v>7550</v>
      </c>
      <c r="BR171" s="46" t="s">
        <v>1982</v>
      </c>
      <c r="BS171" s="46" t="s">
        <v>1982</v>
      </c>
      <c r="BT171" s="46" t="s">
        <v>1783</v>
      </c>
      <c r="BU171" s="46" t="s">
        <v>1783</v>
      </c>
      <c r="BV171" s="105" t="s">
        <v>7860</v>
      </c>
      <c r="BW171" s="105" t="s">
        <v>7860</v>
      </c>
      <c r="BX171" s="105" t="s">
        <v>8091</v>
      </c>
      <c r="BY171" s="105" t="s">
        <v>8091</v>
      </c>
      <c r="BZ171" s="2"/>
    </row>
    <row r="172" spans="1:78" ht="15">
      <c r="A172" s="62" t="s">
        <v>304</v>
      </c>
      <c r="B172" s="63"/>
      <c r="C172" s="63"/>
      <c r="D172" s="64"/>
      <c r="E172" s="66"/>
      <c r="F172" s="100" t="str">
        <f>HYPERLINK("https://pbs.twimg.com/profile_images/1239883131261292545/ajX2pve3_normal.jpg")</f>
        <v>https://pbs.twimg.com/profile_images/1239883131261292545/ajX2pve3_normal.jpg</v>
      </c>
      <c r="G172" s="63"/>
      <c r="H172" s="67"/>
      <c r="I172" s="68"/>
      <c r="J172" s="68"/>
      <c r="K172" s="67" t="s">
        <v>7359</v>
      </c>
      <c r="L172" s="71"/>
      <c r="M172" s="72">
        <v>4852.98046875</v>
      </c>
      <c r="N172" s="72">
        <v>4066.530029296875</v>
      </c>
      <c r="O172" s="73"/>
      <c r="P172" s="74"/>
      <c r="Q172" s="74"/>
      <c r="R172" s="86"/>
      <c r="S172" s="46">
        <v>0</v>
      </c>
      <c r="T172" s="46">
        <v>6</v>
      </c>
      <c r="U172" s="47">
        <v>1730</v>
      </c>
      <c r="V172" s="47">
        <v>0.219966</v>
      </c>
      <c r="W172" s="47">
        <v>0.064557</v>
      </c>
      <c r="X172" s="47">
        <v>0.004419</v>
      </c>
      <c r="Y172" s="47">
        <v>0</v>
      </c>
      <c r="Z172" s="47">
        <v>0</v>
      </c>
      <c r="AA172" s="69">
        <v>172</v>
      </c>
      <c r="AB172" s="69"/>
      <c r="AC172" s="70"/>
      <c r="AD172" s="76" t="s">
        <v>6035</v>
      </c>
      <c r="AE172" s="83" t="s">
        <v>5804</v>
      </c>
      <c r="AF172" s="76">
        <v>631</v>
      </c>
      <c r="AG172" s="76">
        <v>992</v>
      </c>
      <c r="AH172" s="76">
        <v>2092</v>
      </c>
      <c r="AI172" s="76">
        <v>1</v>
      </c>
      <c r="AJ172" s="76">
        <v>2477</v>
      </c>
      <c r="AK172" s="76">
        <v>564</v>
      </c>
      <c r="AL172" s="76" t="b">
        <v>0</v>
      </c>
      <c r="AM172" s="78">
        <v>43341.41107638889</v>
      </c>
      <c r="AN172" s="76" t="s">
        <v>6472</v>
      </c>
      <c r="AO172" s="76" t="s">
        <v>6785</v>
      </c>
      <c r="AP172" s="82" t="str">
        <f>HYPERLINK("https://t.co/sBDGEQ2KMt")</f>
        <v>https://t.co/sBDGEQ2KMt</v>
      </c>
      <c r="AQ172" s="82" t="str">
        <f>HYPERLINK("https://develop4u.co")</f>
        <v>https://develop4u.co</v>
      </c>
      <c r="AR172" s="76" t="s">
        <v>7036</v>
      </c>
      <c r="AS172" s="76"/>
      <c r="AT172" s="76"/>
      <c r="AU172" s="76"/>
      <c r="AV172" s="76"/>
      <c r="AW172" s="82" t="str">
        <f>HYPERLINK("https://t.co/sBDGEQ2KMt")</f>
        <v>https://t.co/sBDGEQ2KMt</v>
      </c>
      <c r="AX172" s="76" t="b">
        <v>0</v>
      </c>
      <c r="AY172" s="76"/>
      <c r="AZ172" s="76"/>
      <c r="BA172" s="76" t="b">
        <v>1</v>
      </c>
      <c r="BB172" s="76" t="b">
        <v>1</v>
      </c>
      <c r="BC172" s="76" t="b">
        <v>1</v>
      </c>
      <c r="BD172" s="76" t="b">
        <v>0</v>
      </c>
      <c r="BE172" s="76" t="b">
        <v>0</v>
      </c>
      <c r="BF172" s="76" t="b">
        <v>0</v>
      </c>
      <c r="BG172" s="76" t="b">
        <v>0</v>
      </c>
      <c r="BH172" s="82" t="str">
        <f>HYPERLINK("https://pbs.twimg.com/profile_banners/1034740429823062016/1584446151")</f>
        <v>https://pbs.twimg.com/profile_banners/1034740429823062016/1584446151</v>
      </c>
      <c r="BI172" s="76"/>
      <c r="BJ172" s="76" t="s">
        <v>7188</v>
      </c>
      <c r="BK172" s="76" t="b">
        <v>0</v>
      </c>
      <c r="BL172" s="76"/>
      <c r="BM172" s="76" t="s">
        <v>66</v>
      </c>
      <c r="BN172" s="76" t="s">
        <v>7190</v>
      </c>
      <c r="BO172" s="82" t="str">
        <f>HYPERLINK("https://twitter.com/develop4u_co")</f>
        <v>https://twitter.com/develop4u_co</v>
      </c>
      <c r="BP172" s="46" t="s">
        <v>7631</v>
      </c>
      <c r="BQ172" s="46" t="s">
        <v>7631</v>
      </c>
      <c r="BR172" s="46" t="s">
        <v>1984</v>
      </c>
      <c r="BS172" s="46" t="s">
        <v>1984</v>
      </c>
      <c r="BT172" s="46" t="s">
        <v>1784</v>
      </c>
      <c r="BU172" s="46" t="s">
        <v>7761</v>
      </c>
      <c r="BV172" s="105" t="s">
        <v>7861</v>
      </c>
      <c r="BW172" s="105" t="s">
        <v>7861</v>
      </c>
      <c r="BX172" s="105" t="s">
        <v>8092</v>
      </c>
      <c r="BY172" s="105" t="s">
        <v>8092</v>
      </c>
      <c r="BZ172" s="2"/>
    </row>
    <row r="173" spans="1:78" ht="15">
      <c r="A173" s="62" t="s">
        <v>507</v>
      </c>
      <c r="B173" s="63"/>
      <c r="C173" s="63"/>
      <c r="D173" s="64"/>
      <c r="E173" s="66"/>
      <c r="F173" s="100" t="str">
        <f>HYPERLINK("https://pbs.twimg.com/profile_images/1590693939811856390/qsy2jFga_normal.jpg")</f>
        <v>https://pbs.twimg.com/profile_images/1590693939811856390/qsy2jFga_normal.jpg</v>
      </c>
      <c r="G173" s="63"/>
      <c r="H173" s="67"/>
      <c r="I173" s="68"/>
      <c r="J173" s="68"/>
      <c r="K173" s="67" t="s">
        <v>7360</v>
      </c>
      <c r="L173" s="71"/>
      <c r="M173" s="72">
        <v>4879.62060546875</v>
      </c>
      <c r="N173" s="72">
        <v>4234.50634765625</v>
      </c>
      <c r="O173" s="73"/>
      <c r="P173" s="74"/>
      <c r="Q173" s="74"/>
      <c r="R173" s="86"/>
      <c r="S173" s="46">
        <v>1</v>
      </c>
      <c r="T173" s="46">
        <v>0</v>
      </c>
      <c r="U173" s="47">
        <v>0</v>
      </c>
      <c r="V173" s="47">
        <v>0.153825</v>
      </c>
      <c r="W173" s="47">
        <v>0.005716</v>
      </c>
      <c r="X173" s="47">
        <v>0.00256</v>
      </c>
      <c r="Y173" s="47">
        <v>0</v>
      </c>
      <c r="Z173" s="47">
        <v>0</v>
      </c>
      <c r="AA173" s="69">
        <v>173</v>
      </c>
      <c r="AB173" s="69"/>
      <c r="AC173" s="70"/>
      <c r="AD173" s="76" t="s">
        <v>6036</v>
      </c>
      <c r="AE173" s="83" t="s">
        <v>6316</v>
      </c>
      <c r="AF173" s="76">
        <v>3109</v>
      </c>
      <c r="AG173" s="76">
        <v>3900</v>
      </c>
      <c r="AH173" s="76">
        <v>3112</v>
      </c>
      <c r="AI173" s="76">
        <v>9</v>
      </c>
      <c r="AJ173" s="76">
        <v>173</v>
      </c>
      <c r="AK173" s="76">
        <v>1148</v>
      </c>
      <c r="AL173" s="76" t="b">
        <v>0</v>
      </c>
      <c r="AM173" s="78">
        <v>40130.77070601852</v>
      </c>
      <c r="AN173" s="76" t="s">
        <v>3889</v>
      </c>
      <c r="AO173" s="76" t="s">
        <v>6786</v>
      </c>
      <c r="AP173" s="82" t="str">
        <f>HYPERLINK("https://t.co/ZCziDov2tX")</f>
        <v>https://t.co/ZCziDov2tX</v>
      </c>
      <c r="AQ173" s="82" t="str">
        <f>HYPERLINK("https://www.thecolourmoon.com")</f>
        <v>https://www.thecolourmoon.com</v>
      </c>
      <c r="AR173" s="76" t="s">
        <v>7037</v>
      </c>
      <c r="AS173" s="76"/>
      <c r="AT173" s="76"/>
      <c r="AU173" s="76"/>
      <c r="AV173" s="76"/>
      <c r="AW173" s="82" t="str">
        <f>HYPERLINK("https://t.co/ZCziDov2tX")</f>
        <v>https://t.co/ZCziDov2tX</v>
      </c>
      <c r="AX173" s="76" t="b">
        <v>0</v>
      </c>
      <c r="AY173" s="76"/>
      <c r="AZ173" s="76"/>
      <c r="BA173" s="76" t="b">
        <v>0</v>
      </c>
      <c r="BB173" s="76" t="b">
        <v>1</v>
      </c>
      <c r="BC173" s="76" t="b">
        <v>0</v>
      </c>
      <c r="BD173" s="76" t="b">
        <v>0</v>
      </c>
      <c r="BE173" s="76" t="b">
        <v>0</v>
      </c>
      <c r="BF173" s="76" t="b">
        <v>0</v>
      </c>
      <c r="BG173" s="76" t="b">
        <v>0</v>
      </c>
      <c r="BH173" s="82" t="str">
        <f>HYPERLINK("https://pbs.twimg.com/profile_banners/89761384/1699951927")</f>
        <v>https://pbs.twimg.com/profile_banners/89761384/1699951927</v>
      </c>
      <c r="BI173" s="76"/>
      <c r="BJ173" s="76" t="s">
        <v>7188</v>
      </c>
      <c r="BK173" s="76" t="b">
        <v>0</v>
      </c>
      <c r="BL173" s="76"/>
      <c r="BM173" s="76" t="s">
        <v>65</v>
      </c>
      <c r="BN173" s="76" t="s">
        <v>7190</v>
      </c>
      <c r="BO173" s="82" t="str">
        <f>HYPERLINK("https://twitter.com/thecolourmoon")</f>
        <v>https://twitter.com/thecolourmoon</v>
      </c>
      <c r="BP173" s="46"/>
      <c r="BQ173" s="46"/>
      <c r="BR173" s="46"/>
      <c r="BS173" s="46"/>
      <c r="BT173" s="46"/>
      <c r="BU173" s="46"/>
      <c r="BV173" s="46"/>
      <c r="BW173" s="46"/>
      <c r="BX173" s="46"/>
      <c r="BY173" s="46"/>
      <c r="BZ173" s="2"/>
    </row>
    <row r="174" spans="1:78" ht="15">
      <c r="A174" s="62" t="s">
        <v>508</v>
      </c>
      <c r="B174" s="63"/>
      <c r="C174" s="63"/>
      <c r="D174" s="64"/>
      <c r="E174" s="66"/>
      <c r="F174" s="100" t="str">
        <f>HYPERLINK("https://pbs.twimg.com/profile_images/1721394396/final_normal.jpg")</f>
        <v>https://pbs.twimg.com/profile_images/1721394396/final_normal.jpg</v>
      </c>
      <c r="G174" s="63"/>
      <c r="H174" s="67"/>
      <c r="I174" s="68"/>
      <c r="J174" s="68"/>
      <c r="K174" s="67" t="s">
        <v>7361</v>
      </c>
      <c r="L174" s="71"/>
      <c r="M174" s="72">
        <v>4906.26025390625</v>
      </c>
      <c r="N174" s="72">
        <v>4403.47412109375</v>
      </c>
      <c r="O174" s="73"/>
      <c r="P174" s="74"/>
      <c r="Q174" s="74"/>
      <c r="R174" s="86"/>
      <c r="S174" s="46">
        <v>1</v>
      </c>
      <c r="T174" s="46">
        <v>0</v>
      </c>
      <c r="U174" s="47">
        <v>0</v>
      </c>
      <c r="V174" s="47">
        <v>0.153825</v>
      </c>
      <c r="W174" s="47">
        <v>0.005716</v>
      </c>
      <c r="X174" s="47">
        <v>0.00256</v>
      </c>
      <c r="Y174" s="47">
        <v>0</v>
      </c>
      <c r="Z174" s="47">
        <v>0</v>
      </c>
      <c r="AA174" s="69">
        <v>174</v>
      </c>
      <c r="AB174" s="69"/>
      <c r="AC174" s="70"/>
      <c r="AD174" s="76" t="s">
        <v>6037</v>
      </c>
      <c r="AE174" s="83" t="s">
        <v>6317</v>
      </c>
      <c r="AF174" s="76">
        <v>62</v>
      </c>
      <c r="AG174" s="76">
        <v>82</v>
      </c>
      <c r="AH174" s="76">
        <v>641</v>
      </c>
      <c r="AI174" s="76">
        <v>0</v>
      </c>
      <c r="AJ174" s="76">
        <v>10</v>
      </c>
      <c r="AK174" s="76">
        <v>119</v>
      </c>
      <c r="AL174" s="76" t="b">
        <v>0</v>
      </c>
      <c r="AM174" s="78">
        <v>40906.452731481484</v>
      </c>
      <c r="AN174" s="76" t="s">
        <v>3889</v>
      </c>
      <c r="AO174" s="76" t="s">
        <v>6787</v>
      </c>
      <c r="AP174" s="82" t="str">
        <f>HYPERLINK("http://t.co/kAD6Db9Kag")</f>
        <v>http://t.co/kAD6Db9Kag</v>
      </c>
      <c r="AQ174" s="82" t="str">
        <f>HYPERLINK("http://thisisswitch.com")</f>
        <v>http://thisisswitch.com</v>
      </c>
      <c r="AR174" s="76" t="s">
        <v>7038</v>
      </c>
      <c r="AS174" s="76"/>
      <c r="AT174" s="76"/>
      <c r="AU174" s="76"/>
      <c r="AV174" s="76"/>
      <c r="AW174" s="82" t="str">
        <f>HYPERLINK("http://t.co/kAD6Db9Kag")</f>
        <v>http://t.co/kAD6Db9Kag</v>
      </c>
      <c r="AX174" s="76" t="b">
        <v>0</v>
      </c>
      <c r="AY174" s="76"/>
      <c r="AZ174" s="76"/>
      <c r="BA174" s="76" t="b">
        <v>0</v>
      </c>
      <c r="BB174" s="76" t="b">
        <v>1</v>
      </c>
      <c r="BC174" s="76" t="b">
        <v>1</v>
      </c>
      <c r="BD174" s="76" t="b">
        <v>0</v>
      </c>
      <c r="BE174" s="76" t="b">
        <v>0</v>
      </c>
      <c r="BF174" s="76" t="b">
        <v>0</v>
      </c>
      <c r="BG174" s="76" t="b">
        <v>0</v>
      </c>
      <c r="BH174" s="76"/>
      <c r="BI174" s="76"/>
      <c r="BJ174" s="76" t="s">
        <v>7188</v>
      </c>
      <c r="BK174" s="76" t="b">
        <v>0</v>
      </c>
      <c r="BL174" s="76"/>
      <c r="BM174" s="76" t="s">
        <v>65</v>
      </c>
      <c r="BN174" s="76" t="s">
        <v>7190</v>
      </c>
      <c r="BO174" s="82" t="str">
        <f>HYPERLINK("https://twitter.com/switchsoft")</f>
        <v>https://twitter.com/switchsoft</v>
      </c>
      <c r="BP174" s="46"/>
      <c r="BQ174" s="46"/>
      <c r="BR174" s="46"/>
      <c r="BS174" s="46"/>
      <c r="BT174" s="46"/>
      <c r="BU174" s="46"/>
      <c r="BV174" s="46"/>
      <c r="BW174" s="46"/>
      <c r="BX174" s="46"/>
      <c r="BY174" s="46"/>
      <c r="BZ174" s="2"/>
    </row>
    <row r="175" spans="1:78" ht="15">
      <c r="A175" s="62" t="s">
        <v>509</v>
      </c>
      <c r="B175" s="63"/>
      <c r="C175" s="63"/>
      <c r="D175" s="64"/>
      <c r="E175" s="66"/>
      <c r="F175" s="100" t="str">
        <f>HYPERLINK("https://pbs.twimg.com/profile_images/681438245620584448/jdoaCooX_normal.jpg")</f>
        <v>https://pbs.twimg.com/profile_images/681438245620584448/jdoaCooX_normal.jpg</v>
      </c>
      <c r="G175" s="63"/>
      <c r="H175" s="67"/>
      <c r="I175" s="68"/>
      <c r="J175" s="68"/>
      <c r="K175" s="67" t="s">
        <v>7362</v>
      </c>
      <c r="L175" s="71"/>
      <c r="M175" s="72">
        <v>4932.900390625</v>
      </c>
      <c r="N175" s="72">
        <v>4573.21435546875</v>
      </c>
      <c r="O175" s="73"/>
      <c r="P175" s="74"/>
      <c r="Q175" s="74"/>
      <c r="R175" s="86"/>
      <c r="S175" s="46">
        <v>1</v>
      </c>
      <c r="T175" s="46">
        <v>0</v>
      </c>
      <c r="U175" s="47">
        <v>0</v>
      </c>
      <c r="V175" s="47">
        <v>0.153825</v>
      </c>
      <c r="W175" s="47">
        <v>0.005716</v>
      </c>
      <c r="X175" s="47">
        <v>0.00256</v>
      </c>
      <c r="Y175" s="47">
        <v>0</v>
      </c>
      <c r="Z175" s="47">
        <v>0</v>
      </c>
      <c r="AA175" s="69">
        <v>175</v>
      </c>
      <c r="AB175" s="69"/>
      <c r="AC175" s="70"/>
      <c r="AD175" s="76" t="s">
        <v>6038</v>
      </c>
      <c r="AE175" s="83" t="s">
        <v>6318</v>
      </c>
      <c r="AF175" s="76">
        <v>398</v>
      </c>
      <c r="AG175" s="76">
        <v>0</v>
      </c>
      <c r="AH175" s="76">
        <v>1180</v>
      </c>
      <c r="AI175" s="76">
        <v>0</v>
      </c>
      <c r="AJ175" s="76">
        <v>66</v>
      </c>
      <c r="AK175" s="76">
        <v>613</v>
      </c>
      <c r="AL175" s="76" t="b">
        <v>0</v>
      </c>
      <c r="AM175" s="78">
        <v>41256.82780092592</v>
      </c>
      <c r="AN175" s="76" t="s">
        <v>6545</v>
      </c>
      <c r="AO175" s="76" t="s">
        <v>6788</v>
      </c>
      <c r="AP175" s="82" t="str">
        <f>HYPERLINK("https://t.co/s8QCWJxjs5")</f>
        <v>https://t.co/s8QCWJxjs5</v>
      </c>
      <c r="AQ175" s="82" t="str">
        <f>HYPERLINK("http://www.tvisha.com")</f>
        <v>http://www.tvisha.com</v>
      </c>
      <c r="AR175" s="76" t="s">
        <v>7039</v>
      </c>
      <c r="AS175" s="76"/>
      <c r="AT175" s="76"/>
      <c r="AU175" s="76"/>
      <c r="AV175" s="76">
        <v>1.55155816910069E+18</v>
      </c>
      <c r="AW175" s="82" t="str">
        <f>HYPERLINK("https://t.co/s8QCWJxjs5")</f>
        <v>https://t.co/s8QCWJxjs5</v>
      </c>
      <c r="AX175" s="76" t="b">
        <v>0</v>
      </c>
      <c r="AY175" s="76"/>
      <c r="AZ175" s="76"/>
      <c r="BA175" s="76" t="b">
        <v>0</v>
      </c>
      <c r="BB175" s="76" t="b">
        <v>1</v>
      </c>
      <c r="BC175" s="76" t="b">
        <v>0</v>
      </c>
      <c r="BD175" s="76" t="b">
        <v>0</v>
      </c>
      <c r="BE175" s="76" t="b">
        <v>0</v>
      </c>
      <c r="BF175" s="76" t="b">
        <v>0</v>
      </c>
      <c r="BG175" s="76" t="b">
        <v>0</v>
      </c>
      <c r="BH175" s="82" t="str">
        <f>HYPERLINK("https://pbs.twimg.com/profile_banners/1009599391/1563453015")</f>
        <v>https://pbs.twimg.com/profile_banners/1009599391/1563453015</v>
      </c>
      <c r="BI175" s="76"/>
      <c r="BJ175" s="76" t="s">
        <v>7188</v>
      </c>
      <c r="BK175" s="76" t="b">
        <v>0</v>
      </c>
      <c r="BL175" s="76"/>
      <c r="BM175" s="76" t="s">
        <v>65</v>
      </c>
      <c r="BN175" s="76" t="s">
        <v>7190</v>
      </c>
      <c r="BO175" s="82" t="str">
        <f>HYPERLINK("https://twitter.com/tvishat")</f>
        <v>https://twitter.com/tvishat</v>
      </c>
      <c r="BP175" s="46"/>
      <c r="BQ175" s="46"/>
      <c r="BR175" s="46"/>
      <c r="BS175" s="46"/>
      <c r="BT175" s="46"/>
      <c r="BU175" s="46"/>
      <c r="BV175" s="46"/>
      <c r="BW175" s="46"/>
      <c r="BX175" s="46"/>
      <c r="BY175" s="46"/>
      <c r="BZ175" s="2"/>
    </row>
    <row r="176" spans="1:78" ht="15">
      <c r="A176" s="62" t="s">
        <v>510</v>
      </c>
      <c r="B176" s="63"/>
      <c r="C176" s="63"/>
      <c r="D176" s="64"/>
      <c r="E176" s="66"/>
      <c r="F176" s="100" t="str">
        <f>HYPERLINK("https://pbs.twimg.com/profile_images/1198851198050127873/WC08FV7v_normal.jpg")</f>
        <v>https://pbs.twimg.com/profile_images/1198851198050127873/WC08FV7v_normal.jpg</v>
      </c>
      <c r="G176" s="63"/>
      <c r="H176" s="67"/>
      <c r="I176" s="68"/>
      <c r="J176" s="68"/>
      <c r="K176" s="67" t="s">
        <v>7363</v>
      </c>
      <c r="L176" s="71"/>
      <c r="M176" s="72">
        <v>4959.5400390625</v>
      </c>
      <c r="N176" s="72">
        <v>4743.50732421875</v>
      </c>
      <c r="O176" s="73"/>
      <c r="P176" s="74"/>
      <c r="Q176" s="74"/>
      <c r="R176" s="86"/>
      <c r="S176" s="46">
        <v>1</v>
      </c>
      <c r="T176" s="46">
        <v>0</v>
      </c>
      <c r="U176" s="47">
        <v>0</v>
      </c>
      <c r="V176" s="47">
        <v>0.153825</v>
      </c>
      <c r="W176" s="47">
        <v>0.005716</v>
      </c>
      <c r="X176" s="47">
        <v>0.00256</v>
      </c>
      <c r="Y176" s="47">
        <v>0</v>
      </c>
      <c r="Z176" s="47">
        <v>0</v>
      </c>
      <c r="AA176" s="69">
        <v>176</v>
      </c>
      <c r="AB176" s="69"/>
      <c r="AC176" s="70"/>
      <c r="AD176" s="76" t="s">
        <v>6039</v>
      </c>
      <c r="AE176" s="83" t="s">
        <v>6319</v>
      </c>
      <c r="AF176" s="76">
        <v>116</v>
      </c>
      <c r="AG176" s="76">
        <v>10</v>
      </c>
      <c r="AH176" s="76">
        <v>367</v>
      </c>
      <c r="AI176" s="76">
        <v>2</v>
      </c>
      <c r="AJ176" s="76">
        <v>13</v>
      </c>
      <c r="AK176" s="76">
        <v>311</v>
      </c>
      <c r="AL176" s="76" t="b">
        <v>0</v>
      </c>
      <c r="AM176" s="78">
        <v>41565.50200231482</v>
      </c>
      <c r="AN176" s="76" t="s">
        <v>3895</v>
      </c>
      <c r="AO176" s="76" t="s">
        <v>6789</v>
      </c>
      <c r="AP176" s="82" t="str">
        <f>HYPERLINK("https://t.co/bStqyUYeWe")</f>
        <v>https://t.co/bStqyUYeWe</v>
      </c>
      <c r="AQ176" s="82" t="str">
        <f>HYPERLINK("http://navtech.io")</f>
        <v>http://navtech.io</v>
      </c>
      <c r="AR176" s="76" t="s">
        <v>7040</v>
      </c>
      <c r="AS176" s="76"/>
      <c r="AT176" s="76"/>
      <c r="AU176" s="76"/>
      <c r="AV176" s="76"/>
      <c r="AW176" s="82" t="str">
        <f>HYPERLINK("https://t.co/bStqyUYeWe")</f>
        <v>https://t.co/bStqyUYeWe</v>
      </c>
      <c r="AX176" s="76" t="b">
        <v>0</v>
      </c>
      <c r="AY176" s="76"/>
      <c r="AZ176" s="76"/>
      <c r="BA176" s="76" t="b">
        <v>0</v>
      </c>
      <c r="BB176" s="76" t="b">
        <v>1</v>
      </c>
      <c r="BC176" s="76" t="b">
        <v>0</v>
      </c>
      <c r="BD176" s="76" t="b">
        <v>0</v>
      </c>
      <c r="BE176" s="76" t="b">
        <v>0</v>
      </c>
      <c r="BF176" s="76" t="b">
        <v>0</v>
      </c>
      <c r="BG176" s="76" t="b">
        <v>0</v>
      </c>
      <c r="BH176" s="82" t="str">
        <f>HYPERLINK("https://pbs.twimg.com/profile_banners/1968746804/1574663377")</f>
        <v>https://pbs.twimg.com/profile_banners/1968746804/1574663377</v>
      </c>
      <c r="BI176" s="76"/>
      <c r="BJ176" s="76" t="s">
        <v>7188</v>
      </c>
      <c r="BK176" s="76" t="b">
        <v>0</v>
      </c>
      <c r="BL176" s="76"/>
      <c r="BM176" s="76" t="s">
        <v>65</v>
      </c>
      <c r="BN176" s="76" t="s">
        <v>7190</v>
      </c>
      <c r="BO176" s="82" t="str">
        <f>HYPERLINK("https://twitter.com/navaratantech")</f>
        <v>https://twitter.com/navaratantech</v>
      </c>
      <c r="BP176" s="46"/>
      <c r="BQ176" s="46"/>
      <c r="BR176" s="46"/>
      <c r="BS176" s="46"/>
      <c r="BT176" s="46"/>
      <c r="BU176" s="46"/>
      <c r="BV176" s="46"/>
      <c r="BW176" s="46"/>
      <c r="BX176" s="46"/>
      <c r="BY176" s="46"/>
      <c r="BZ176" s="2"/>
    </row>
    <row r="177" spans="1:78" ht="15">
      <c r="A177" s="62" t="s">
        <v>511</v>
      </c>
      <c r="B177" s="63"/>
      <c r="C177" s="63"/>
      <c r="D177" s="64"/>
      <c r="E177" s="66"/>
      <c r="F177" s="100" t="str">
        <f>HYPERLINK("https://pbs.twimg.com/profile_images/1734542940981080064/4KKpSEpy_normal.jpg")</f>
        <v>https://pbs.twimg.com/profile_images/1734542940981080064/4KKpSEpy_normal.jpg</v>
      </c>
      <c r="G177" s="63"/>
      <c r="H177" s="67"/>
      <c r="I177" s="68"/>
      <c r="J177" s="68"/>
      <c r="K177" s="67" t="s">
        <v>7364</v>
      </c>
      <c r="L177" s="71"/>
      <c r="M177" s="72">
        <v>4986.18017578125</v>
      </c>
      <c r="N177" s="72">
        <v>4914.13232421875</v>
      </c>
      <c r="O177" s="73"/>
      <c r="P177" s="74"/>
      <c r="Q177" s="74"/>
      <c r="R177" s="86"/>
      <c r="S177" s="46">
        <v>1</v>
      </c>
      <c r="T177" s="46">
        <v>0</v>
      </c>
      <c r="U177" s="47">
        <v>0</v>
      </c>
      <c r="V177" s="47">
        <v>0.153825</v>
      </c>
      <c r="W177" s="47">
        <v>0.005716</v>
      </c>
      <c r="X177" s="47">
        <v>0.00256</v>
      </c>
      <c r="Y177" s="47">
        <v>0</v>
      </c>
      <c r="Z177" s="47">
        <v>0</v>
      </c>
      <c r="AA177" s="69">
        <v>177</v>
      </c>
      <c r="AB177" s="69"/>
      <c r="AC177" s="70"/>
      <c r="AD177" s="76" t="s">
        <v>6040</v>
      </c>
      <c r="AE177" s="83" t="s">
        <v>6320</v>
      </c>
      <c r="AF177" s="76">
        <v>476</v>
      </c>
      <c r="AG177" s="76">
        <v>525</v>
      </c>
      <c r="AH177" s="76">
        <v>1755</v>
      </c>
      <c r="AI177" s="76">
        <v>30</v>
      </c>
      <c r="AJ177" s="76">
        <v>385</v>
      </c>
      <c r="AK177" s="76">
        <v>520</v>
      </c>
      <c r="AL177" s="76" t="b">
        <v>0</v>
      </c>
      <c r="AM177" s="78">
        <v>41002.55070601852</v>
      </c>
      <c r="AN177" s="76" t="s">
        <v>3889</v>
      </c>
      <c r="AO177" s="76" t="s">
        <v>6790</v>
      </c>
      <c r="AP177" s="82" t="str">
        <f>HYPERLINK("https://t.co/Gha9p4nJIt")</f>
        <v>https://t.co/Gha9p4nJIt</v>
      </c>
      <c r="AQ177" s="82" t="str">
        <f>HYPERLINK("https://www.nethues.com/")</f>
        <v>https://www.nethues.com/</v>
      </c>
      <c r="AR177" s="76" t="s">
        <v>7041</v>
      </c>
      <c r="AS177" s="76"/>
      <c r="AT177" s="76"/>
      <c r="AU177" s="76"/>
      <c r="AV177" s="76">
        <v>1.65552017714302E+18</v>
      </c>
      <c r="AW177" s="82" t="str">
        <f>HYPERLINK("https://t.co/Gha9p4nJIt")</f>
        <v>https://t.co/Gha9p4nJIt</v>
      </c>
      <c r="AX177" s="76" t="b">
        <v>0</v>
      </c>
      <c r="AY177" s="76"/>
      <c r="AZ177" s="76"/>
      <c r="BA177" s="76" t="b">
        <v>0</v>
      </c>
      <c r="BB177" s="76" t="b">
        <v>1</v>
      </c>
      <c r="BC177" s="76" t="b">
        <v>0</v>
      </c>
      <c r="BD177" s="76" t="b">
        <v>0</v>
      </c>
      <c r="BE177" s="76" t="b">
        <v>0</v>
      </c>
      <c r="BF177" s="76" t="b">
        <v>0</v>
      </c>
      <c r="BG177" s="76" t="b">
        <v>0</v>
      </c>
      <c r="BH177" s="82" t="str">
        <f>HYPERLINK("https://pbs.twimg.com/profile_banners/544260479/1614684968")</f>
        <v>https://pbs.twimg.com/profile_banners/544260479/1614684968</v>
      </c>
      <c r="BI177" s="76"/>
      <c r="BJ177" s="76" t="s">
        <v>7188</v>
      </c>
      <c r="BK177" s="76" t="b">
        <v>0</v>
      </c>
      <c r="BL177" s="76"/>
      <c r="BM177" s="76" t="s">
        <v>65</v>
      </c>
      <c r="BN177" s="76" t="s">
        <v>7190</v>
      </c>
      <c r="BO177" s="82" t="str">
        <f>HYPERLINK("https://twitter.com/nethues")</f>
        <v>https://twitter.com/nethues</v>
      </c>
      <c r="BP177" s="46"/>
      <c r="BQ177" s="46"/>
      <c r="BR177" s="46"/>
      <c r="BS177" s="46"/>
      <c r="BT177" s="46"/>
      <c r="BU177" s="46"/>
      <c r="BV177" s="46"/>
      <c r="BW177" s="46"/>
      <c r="BX177" s="46"/>
      <c r="BY177" s="46"/>
      <c r="BZ177" s="2"/>
    </row>
    <row r="178" spans="1:78" ht="15">
      <c r="A178" s="62" t="s">
        <v>305</v>
      </c>
      <c r="B178" s="63"/>
      <c r="C178" s="63"/>
      <c r="D178" s="64"/>
      <c r="E178" s="66"/>
      <c r="F178" s="100" t="str">
        <f>HYPERLINK("https://pbs.twimg.com/profile_images/1452858912/logo_normal.png")</f>
        <v>https://pbs.twimg.com/profile_images/1452858912/logo_normal.png</v>
      </c>
      <c r="G178" s="63"/>
      <c r="H178" s="67"/>
      <c r="I178" s="68"/>
      <c r="J178" s="68"/>
      <c r="K178" s="67" t="s">
        <v>7365</v>
      </c>
      <c r="L178" s="71"/>
      <c r="M178" s="72">
        <v>5012.81982421875</v>
      </c>
      <c r="N178" s="72">
        <v>5084.86767578125</v>
      </c>
      <c r="O178" s="73"/>
      <c r="P178" s="74"/>
      <c r="Q178" s="74"/>
      <c r="R178" s="86"/>
      <c r="S178" s="46">
        <v>1</v>
      </c>
      <c r="T178" s="46">
        <v>1</v>
      </c>
      <c r="U178" s="47">
        <v>0</v>
      </c>
      <c r="V178" s="47">
        <v>0</v>
      </c>
      <c r="W178" s="47">
        <v>0</v>
      </c>
      <c r="X178" s="47">
        <v>0.002882</v>
      </c>
      <c r="Y178" s="47">
        <v>0</v>
      </c>
      <c r="Z178" s="47">
        <v>0</v>
      </c>
      <c r="AA178" s="69">
        <v>178</v>
      </c>
      <c r="AB178" s="69"/>
      <c r="AC178" s="70"/>
      <c r="AD178" s="76" t="s">
        <v>6041</v>
      </c>
      <c r="AE178" s="83" t="s">
        <v>6321</v>
      </c>
      <c r="AF178" s="76">
        <v>80</v>
      </c>
      <c r="AG178" s="76">
        <v>2</v>
      </c>
      <c r="AH178" s="76">
        <v>10301</v>
      </c>
      <c r="AI178" s="76">
        <v>0</v>
      </c>
      <c r="AJ178" s="76">
        <v>0</v>
      </c>
      <c r="AK178" s="76">
        <v>4</v>
      </c>
      <c r="AL178" s="76" t="b">
        <v>0</v>
      </c>
      <c r="AM178" s="78">
        <v>40745.20013888889</v>
      </c>
      <c r="AN178" s="76" t="s">
        <v>6546</v>
      </c>
      <c r="AO178" s="76" t="s">
        <v>6791</v>
      </c>
      <c r="AP178" s="82" t="str">
        <f>HYPERLINK("http://t.co/O2C4Te4FTE")</f>
        <v>http://t.co/O2C4Te4FTE</v>
      </c>
      <c r="AQ178" s="82" t="str">
        <f>HYPERLINK("http://www.indbc.com")</f>
        <v>http://www.indbc.com</v>
      </c>
      <c r="AR178" s="76" t="s">
        <v>7042</v>
      </c>
      <c r="AS178" s="76"/>
      <c r="AT178" s="76"/>
      <c r="AU178" s="76"/>
      <c r="AV178" s="76"/>
      <c r="AW178" s="82" t="str">
        <f>HYPERLINK("http://t.co/O2C4Te4FTE")</f>
        <v>http://t.co/O2C4Te4FTE</v>
      </c>
      <c r="AX178" s="76" t="b">
        <v>0</v>
      </c>
      <c r="AY178" s="76"/>
      <c r="AZ178" s="76"/>
      <c r="BA178" s="76" t="b">
        <v>0</v>
      </c>
      <c r="BB178" s="76" t="b">
        <v>1</v>
      </c>
      <c r="BC178" s="76" t="b">
        <v>1</v>
      </c>
      <c r="BD178" s="76" t="b">
        <v>0</v>
      </c>
      <c r="BE178" s="76" t="b">
        <v>0</v>
      </c>
      <c r="BF178" s="76" t="b">
        <v>0</v>
      </c>
      <c r="BG178" s="76" t="b">
        <v>0</v>
      </c>
      <c r="BH178" s="76"/>
      <c r="BI178" s="76"/>
      <c r="BJ178" s="76" t="s">
        <v>7188</v>
      </c>
      <c r="BK178" s="76" t="b">
        <v>0</v>
      </c>
      <c r="BL178" s="76"/>
      <c r="BM178" s="76" t="s">
        <v>66</v>
      </c>
      <c r="BN178" s="76" t="s">
        <v>7190</v>
      </c>
      <c r="BO178" s="82" t="str">
        <f>HYPERLINK("https://twitter.com/indbcclassified")</f>
        <v>https://twitter.com/indbcclassified</v>
      </c>
      <c r="BP178" s="46" t="s">
        <v>7632</v>
      </c>
      <c r="BQ178" s="46" t="s">
        <v>7632</v>
      </c>
      <c r="BR178" s="46" t="s">
        <v>1986</v>
      </c>
      <c r="BS178" s="46" t="s">
        <v>1986</v>
      </c>
      <c r="BT178" s="46" t="s">
        <v>1785</v>
      </c>
      <c r="BU178" s="46" t="s">
        <v>7762</v>
      </c>
      <c r="BV178" s="105" t="s">
        <v>7862</v>
      </c>
      <c r="BW178" s="105" t="s">
        <v>7862</v>
      </c>
      <c r="BX178" s="105" t="s">
        <v>8093</v>
      </c>
      <c r="BY178" s="105" t="s">
        <v>8093</v>
      </c>
      <c r="BZ178" s="2"/>
    </row>
    <row r="179" spans="1:78" ht="15">
      <c r="A179" s="62" t="s">
        <v>306</v>
      </c>
      <c r="B179" s="63"/>
      <c r="C179" s="63"/>
      <c r="D179" s="64"/>
      <c r="E179" s="66"/>
      <c r="F179" s="100" t="str">
        <f>HYPERLINK("https://abs.twimg.com/sticky/default_profile_images/default_profile_normal.png")</f>
        <v>https://abs.twimg.com/sticky/default_profile_images/default_profile_normal.png</v>
      </c>
      <c r="G179" s="63"/>
      <c r="H179" s="67"/>
      <c r="I179" s="68"/>
      <c r="J179" s="68"/>
      <c r="K179" s="67" t="s">
        <v>7366</v>
      </c>
      <c r="L179" s="71"/>
      <c r="M179" s="72">
        <v>5039.4599609375</v>
      </c>
      <c r="N179" s="72">
        <v>5255.49267578125</v>
      </c>
      <c r="O179" s="73"/>
      <c r="P179" s="74"/>
      <c r="Q179" s="74"/>
      <c r="R179" s="86"/>
      <c r="S179" s="46">
        <v>1</v>
      </c>
      <c r="T179" s="46">
        <v>1</v>
      </c>
      <c r="U179" s="47">
        <v>0</v>
      </c>
      <c r="V179" s="47">
        <v>0</v>
      </c>
      <c r="W179" s="47">
        <v>0</v>
      </c>
      <c r="X179" s="47">
        <v>0.002882</v>
      </c>
      <c r="Y179" s="47">
        <v>0</v>
      </c>
      <c r="Z179" s="47">
        <v>0</v>
      </c>
      <c r="AA179" s="69">
        <v>179</v>
      </c>
      <c r="AB179" s="69"/>
      <c r="AC179" s="70"/>
      <c r="AD179" s="76" t="s">
        <v>306</v>
      </c>
      <c r="AE179" s="83" t="s">
        <v>6322</v>
      </c>
      <c r="AF179" s="76">
        <v>28</v>
      </c>
      <c r="AG179" s="76">
        <v>0</v>
      </c>
      <c r="AH179" s="76">
        <v>27253</v>
      </c>
      <c r="AI179" s="76">
        <v>0</v>
      </c>
      <c r="AJ179" s="76">
        <v>0</v>
      </c>
      <c r="AK179" s="76">
        <v>0</v>
      </c>
      <c r="AL179" s="76" t="b">
        <v>0</v>
      </c>
      <c r="AM179" s="78">
        <v>41795.052094907405</v>
      </c>
      <c r="AN179" s="76"/>
      <c r="AO179" s="76"/>
      <c r="AP179" s="76"/>
      <c r="AQ179" s="76"/>
      <c r="AR179" s="76"/>
      <c r="AS179" s="76"/>
      <c r="AT179" s="76"/>
      <c r="AU179" s="76"/>
      <c r="AV179" s="76"/>
      <c r="AW179" s="76"/>
      <c r="AX179" s="76" t="b">
        <v>0</v>
      </c>
      <c r="AY179" s="76"/>
      <c r="AZ179" s="76"/>
      <c r="BA179" s="76" t="b">
        <v>0</v>
      </c>
      <c r="BB179" s="76" t="b">
        <v>1</v>
      </c>
      <c r="BC179" s="76" t="b">
        <v>1</v>
      </c>
      <c r="BD179" s="76" t="b">
        <v>1</v>
      </c>
      <c r="BE179" s="76" t="b">
        <v>0</v>
      </c>
      <c r="BF179" s="76" t="b">
        <v>0</v>
      </c>
      <c r="BG179" s="76" t="b">
        <v>0</v>
      </c>
      <c r="BH179" s="76"/>
      <c r="BI179" s="76"/>
      <c r="BJ179" s="76" t="s">
        <v>7188</v>
      </c>
      <c r="BK179" s="76" t="b">
        <v>0</v>
      </c>
      <c r="BL179" s="76"/>
      <c r="BM179" s="76" t="s">
        <v>66</v>
      </c>
      <c r="BN179" s="76" t="s">
        <v>7190</v>
      </c>
      <c r="BO179" s="82" t="str">
        <f>HYPERLINK("https://twitter.com/hyderabadblogs")</f>
        <v>https://twitter.com/hyderabadblogs</v>
      </c>
      <c r="BP179" s="46" t="s">
        <v>7633</v>
      </c>
      <c r="BQ179" s="46" t="s">
        <v>7696</v>
      </c>
      <c r="BR179" s="46" t="s">
        <v>2008</v>
      </c>
      <c r="BS179" s="46" t="s">
        <v>2008</v>
      </c>
      <c r="BT179" s="46"/>
      <c r="BU179" s="46"/>
      <c r="BV179" s="105" t="s">
        <v>7863</v>
      </c>
      <c r="BW179" s="105" t="s">
        <v>7990</v>
      </c>
      <c r="BX179" s="105" t="s">
        <v>8094</v>
      </c>
      <c r="BY179" s="105" t="s">
        <v>8094</v>
      </c>
      <c r="BZ179" s="2"/>
    </row>
    <row r="180" spans="1:78" ht="15">
      <c r="A180" s="62" t="s">
        <v>307</v>
      </c>
      <c r="B180" s="63"/>
      <c r="C180" s="63"/>
      <c r="D180" s="64"/>
      <c r="E180" s="66"/>
      <c r="F180" s="100" t="str">
        <f>HYPERLINK("https://pbs.twimg.com/profile_images/764609002345000960/8sLLGwVW_normal.jpg")</f>
        <v>https://pbs.twimg.com/profile_images/764609002345000960/8sLLGwVW_normal.jpg</v>
      </c>
      <c r="G180" s="63"/>
      <c r="H180" s="67"/>
      <c r="I180" s="68"/>
      <c r="J180" s="68"/>
      <c r="K180" s="67" t="s">
        <v>7367</v>
      </c>
      <c r="L180" s="71"/>
      <c r="M180" s="72">
        <v>5066.099609375</v>
      </c>
      <c r="N180" s="72">
        <v>5425.78564453125</v>
      </c>
      <c r="O180" s="73"/>
      <c r="P180" s="74"/>
      <c r="Q180" s="74"/>
      <c r="R180" s="86"/>
      <c r="S180" s="46">
        <v>1</v>
      </c>
      <c r="T180" s="46">
        <v>1</v>
      </c>
      <c r="U180" s="47">
        <v>0</v>
      </c>
      <c r="V180" s="47">
        <v>0</v>
      </c>
      <c r="W180" s="47">
        <v>0</v>
      </c>
      <c r="X180" s="47">
        <v>0.002882</v>
      </c>
      <c r="Y180" s="47">
        <v>0</v>
      </c>
      <c r="Z180" s="47">
        <v>0</v>
      </c>
      <c r="AA180" s="69">
        <v>180</v>
      </c>
      <c r="AB180" s="69"/>
      <c r="AC180" s="70"/>
      <c r="AD180" s="76" t="s">
        <v>6042</v>
      </c>
      <c r="AE180" s="83" t="s">
        <v>5805</v>
      </c>
      <c r="AF180" s="76">
        <v>18</v>
      </c>
      <c r="AG180" s="76">
        <v>4</v>
      </c>
      <c r="AH180" s="76">
        <v>1683</v>
      </c>
      <c r="AI180" s="76">
        <v>35</v>
      </c>
      <c r="AJ180" s="76">
        <v>0</v>
      </c>
      <c r="AK180" s="76">
        <v>818</v>
      </c>
      <c r="AL180" s="76" t="b">
        <v>0</v>
      </c>
      <c r="AM180" s="78">
        <v>42595.88358796296</v>
      </c>
      <c r="AN180" s="76" t="s">
        <v>6476</v>
      </c>
      <c r="AO180" s="76" t="s">
        <v>6792</v>
      </c>
      <c r="AP180" s="82" t="str">
        <f>HYPERLINK("https://t.co/oXYWGZE46b")</f>
        <v>https://t.co/oXYWGZE46b</v>
      </c>
      <c r="AQ180" s="82" t="str">
        <f>HYPERLINK("http://bootstraptags.com")</f>
        <v>http://bootstraptags.com</v>
      </c>
      <c r="AR180" s="76" t="s">
        <v>7043</v>
      </c>
      <c r="AS180" s="76"/>
      <c r="AT180" s="76"/>
      <c r="AU180" s="76"/>
      <c r="AV180" s="76"/>
      <c r="AW180" s="82" t="str">
        <f>HYPERLINK("https://t.co/oXYWGZE46b")</f>
        <v>https://t.co/oXYWGZE46b</v>
      </c>
      <c r="AX180" s="76" t="b">
        <v>0</v>
      </c>
      <c r="AY180" s="76"/>
      <c r="AZ180" s="76"/>
      <c r="BA180" s="76" t="b">
        <v>0</v>
      </c>
      <c r="BB180" s="76" t="b">
        <v>1</v>
      </c>
      <c r="BC180" s="76" t="b">
        <v>1</v>
      </c>
      <c r="BD180" s="76" t="b">
        <v>0</v>
      </c>
      <c r="BE180" s="76" t="b">
        <v>0</v>
      </c>
      <c r="BF180" s="76" t="b">
        <v>0</v>
      </c>
      <c r="BG180" s="76" t="b">
        <v>0</v>
      </c>
      <c r="BH180" s="76"/>
      <c r="BI180" s="76"/>
      <c r="BJ180" s="76" t="s">
        <v>7188</v>
      </c>
      <c r="BK180" s="76" t="b">
        <v>0</v>
      </c>
      <c r="BL180" s="76"/>
      <c r="BM180" s="76" t="s">
        <v>66</v>
      </c>
      <c r="BN180" s="76" t="s">
        <v>7190</v>
      </c>
      <c r="BO180" s="82" t="str">
        <f>HYPERLINK("https://twitter.com/bootstraptags")</f>
        <v>https://twitter.com/bootstraptags</v>
      </c>
      <c r="BP180" s="46"/>
      <c r="BQ180" s="46"/>
      <c r="BR180" s="46"/>
      <c r="BS180" s="46"/>
      <c r="BT180" s="46"/>
      <c r="BU180" s="46"/>
      <c r="BV180" s="105" t="s">
        <v>7845</v>
      </c>
      <c r="BW180" s="105" t="s">
        <v>7845</v>
      </c>
      <c r="BX180" s="105" t="s">
        <v>8076</v>
      </c>
      <c r="BY180" s="105" t="s">
        <v>8076</v>
      </c>
      <c r="BZ180" s="2"/>
    </row>
    <row r="181" spans="1:78" ht="15">
      <c r="A181" s="62" t="s">
        <v>308</v>
      </c>
      <c r="B181" s="63"/>
      <c r="C181" s="63"/>
      <c r="D181" s="64"/>
      <c r="E181" s="66"/>
      <c r="F181" s="100" t="str">
        <f>HYPERLINK("https://pbs.twimg.com/profile_images/1402727893327876098/fFfpTvTp_normal.jpg")</f>
        <v>https://pbs.twimg.com/profile_images/1402727893327876098/fFfpTvTp_normal.jpg</v>
      </c>
      <c r="G181" s="63"/>
      <c r="H181" s="67"/>
      <c r="I181" s="68"/>
      <c r="J181" s="68"/>
      <c r="K181" s="67" t="s">
        <v>7368</v>
      </c>
      <c r="L181" s="71"/>
      <c r="M181" s="72">
        <v>5092.73974609375</v>
      </c>
      <c r="N181" s="72">
        <v>5595.52587890625</v>
      </c>
      <c r="O181" s="73"/>
      <c r="P181" s="74"/>
      <c r="Q181" s="74"/>
      <c r="R181" s="86"/>
      <c r="S181" s="46">
        <v>0</v>
      </c>
      <c r="T181" s="46">
        <v>1</v>
      </c>
      <c r="U181" s="47">
        <v>0</v>
      </c>
      <c r="V181" s="47">
        <v>0.00289</v>
      </c>
      <c r="W181" s="47">
        <v>0</v>
      </c>
      <c r="X181" s="47">
        <v>0.002882</v>
      </c>
      <c r="Y181" s="47">
        <v>0</v>
      </c>
      <c r="Z181" s="47">
        <v>0</v>
      </c>
      <c r="AA181" s="69">
        <v>181</v>
      </c>
      <c r="AB181" s="69"/>
      <c r="AC181" s="70"/>
      <c r="AD181" s="76" t="s">
        <v>6043</v>
      </c>
      <c r="AE181" s="83" t="s">
        <v>6323</v>
      </c>
      <c r="AF181" s="76">
        <v>46</v>
      </c>
      <c r="AG181" s="76">
        <v>132</v>
      </c>
      <c r="AH181" s="76">
        <v>2802</v>
      </c>
      <c r="AI181" s="76">
        <v>0</v>
      </c>
      <c r="AJ181" s="76">
        <v>9378</v>
      </c>
      <c r="AK181" s="76">
        <v>53</v>
      </c>
      <c r="AL181" s="76" t="b">
        <v>0</v>
      </c>
      <c r="AM181" s="78">
        <v>41458.09144675926</v>
      </c>
      <c r="AN181" s="76"/>
      <c r="AO181" s="76"/>
      <c r="AP181" s="76"/>
      <c r="AQ181" s="76"/>
      <c r="AR181" s="76"/>
      <c r="AS181" s="76"/>
      <c r="AT181" s="76"/>
      <c r="AU181" s="76"/>
      <c r="AV181" s="76"/>
      <c r="AW181" s="76"/>
      <c r="AX181" s="76" t="b">
        <v>0</v>
      </c>
      <c r="AY181" s="76"/>
      <c r="AZ181" s="76"/>
      <c r="BA181" s="76" t="b">
        <v>0</v>
      </c>
      <c r="BB181" s="76" t="b">
        <v>1</v>
      </c>
      <c r="BC181" s="76" t="b">
        <v>1</v>
      </c>
      <c r="BD181" s="76" t="b">
        <v>0</v>
      </c>
      <c r="BE181" s="76" t="b">
        <v>1</v>
      </c>
      <c r="BF181" s="76" t="b">
        <v>0</v>
      </c>
      <c r="BG181" s="76" t="b">
        <v>0</v>
      </c>
      <c r="BH181" s="76"/>
      <c r="BI181" s="76"/>
      <c r="BJ181" s="76" t="s">
        <v>7188</v>
      </c>
      <c r="BK181" s="76" t="b">
        <v>0</v>
      </c>
      <c r="BL181" s="76"/>
      <c r="BM181" s="76" t="s">
        <v>66</v>
      </c>
      <c r="BN181" s="76" t="s">
        <v>7190</v>
      </c>
      <c r="BO181" s="82" t="str">
        <f>HYPERLINK("https://twitter.com/kevreem")</f>
        <v>https://twitter.com/kevreem</v>
      </c>
      <c r="BP181" s="46"/>
      <c r="BQ181" s="46"/>
      <c r="BR181" s="46"/>
      <c r="BS181" s="46"/>
      <c r="BT181" s="46"/>
      <c r="BU181" s="46"/>
      <c r="BV181" s="105" t="s">
        <v>7864</v>
      </c>
      <c r="BW181" s="105" t="s">
        <v>7864</v>
      </c>
      <c r="BX181" s="105" t="s">
        <v>8095</v>
      </c>
      <c r="BY181" s="105" t="s">
        <v>8095</v>
      </c>
      <c r="BZ181" s="2"/>
    </row>
    <row r="182" spans="1:78" ht="15">
      <c r="A182" s="62" t="s">
        <v>512</v>
      </c>
      <c r="B182" s="63"/>
      <c r="C182" s="63"/>
      <c r="D182" s="64"/>
      <c r="E182" s="66"/>
      <c r="F182" s="100" t="str">
        <f>HYPERLINK("https://pbs.twimg.com/profile_images/1728308584948088832/a-UCO_ce_normal.jpg")</f>
        <v>https://pbs.twimg.com/profile_images/1728308584948088832/a-UCO_ce_normal.jpg</v>
      </c>
      <c r="G182" s="63"/>
      <c r="H182" s="67"/>
      <c r="I182" s="68"/>
      <c r="J182" s="68"/>
      <c r="K182" s="67" t="s">
        <v>7369</v>
      </c>
      <c r="L182" s="71"/>
      <c r="M182" s="72">
        <v>5119.37939453125</v>
      </c>
      <c r="N182" s="72">
        <v>5764.494140625</v>
      </c>
      <c r="O182" s="73"/>
      <c r="P182" s="74"/>
      <c r="Q182" s="74"/>
      <c r="R182" s="86"/>
      <c r="S182" s="46">
        <v>1</v>
      </c>
      <c r="T182" s="46">
        <v>0</v>
      </c>
      <c r="U182" s="47">
        <v>0</v>
      </c>
      <c r="V182" s="47">
        <v>0.00289</v>
      </c>
      <c r="W182" s="47">
        <v>0</v>
      </c>
      <c r="X182" s="47">
        <v>0.002882</v>
      </c>
      <c r="Y182" s="47">
        <v>0</v>
      </c>
      <c r="Z182" s="47">
        <v>0</v>
      </c>
      <c r="AA182" s="69">
        <v>182</v>
      </c>
      <c r="AB182" s="69"/>
      <c r="AC182" s="70"/>
      <c r="AD182" s="76" t="s">
        <v>6044</v>
      </c>
      <c r="AE182" s="83" t="s">
        <v>5756</v>
      </c>
      <c r="AF182" s="76">
        <v>290659</v>
      </c>
      <c r="AG182" s="76">
        <v>973</v>
      </c>
      <c r="AH182" s="76">
        <v>140657</v>
      </c>
      <c r="AI182" s="76">
        <v>389</v>
      </c>
      <c r="AJ182" s="76">
        <v>127448</v>
      </c>
      <c r="AK182" s="76">
        <v>7582</v>
      </c>
      <c r="AL182" s="76" t="b">
        <v>0</v>
      </c>
      <c r="AM182" s="78">
        <v>44054.431435185186</v>
      </c>
      <c r="AN182" s="76"/>
      <c r="AO182" s="76" t="s">
        <v>6793</v>
      </c>
      <c r="AP182" s="76"/>
      <c r="AQ182" s="76"/>
      <c r="AR182" s="76"/>
      <c r="AS182" s="76"/>
      <c r="AT182" s="76"/>
      <c r="AU182" s="76"/>
      <c r="AV182" s="76">
        <v>1.69606810008335E+18</v>
      </c>
      <c r="AW182" s="76"/>
      <c r="AX182" s="76" t="b">
        <v>1</v>
      </c>
      <c r="AY182" s="76"/>
      <c r="AZ182" s="76"/>
      <c r="BA182" s="76" t="b">
        <v>1</v>
      </c>
      <c r="BB182" s="76" t="b">
        <v>1</v>
      </c>
      <c r="BC182" s="76" t="b">
        <v>1</v>
      </c>
      <c r="BD182" s="76" t="b">
        <v>0</v>
      </c>
      <c r="BE182" s="76" t="b">
        <v>1</v>
      </c>
      <c r="BF182" s="76" t="b">
        <v>0</v>
      </c>
      <c r="BG182" s="76" t="b">
        <v>0</v>
      </c>
      <c r="BH182" s="82" t="str">
        <f>HYPERLINK("https://pbs.twimg.com/profile_banners/1293130256505884672/1701839757")</f>
        <v>https://pbs.twimg.com/profile_banners/1293130256505884672/1701839757</v>
      </c>
      <c r="BI182" s="76"/>
      <c r="BJ182" s="76" t="s">
        <v>7188</v>
      </c>
      <c r="BK182" s="76" t="b">
        <v>0</v>
      </c>
      <c r="BL182" s="76"/>
      <c r="BM182" s="76" t="s">
        <v>65</v>
      </c>
      <c r="BN182" s="76" t="s">
        <v>7190</v>
      </c>
      <c r="BO182" s="82" t="str">
        <f>HYPERLINK("https://twitter.com/mr_blackog")</f>
        <v>https://twitter.com/mr_blackog</v>
      </c>
      <c r="BP182" s="46"/>
      <c r="BQ182" s="46"/>
      <c r="BR182" s="46"/>
      <c r="BS182" s="46"/>
      <c r="BT182" s="46"/>
      <c r="BU182" s="46"/>
      <c r="BV182" s="46"/>
      <c r="BW182" s="46"/>
      <c r="BX182" s="46"/>
      <c r="BY182" s="46"/>
      <c r="BZ182" s="2"/>
    </row>
    <row r="183" spans="1:78" ht="15">
      <c r="A183" s="62" t="s">
        <v>309</v>
      </c>
      <c r="B183" s="63"/>
      <c r="C183" s="63"/>
      <c r="D183" s="64"/>
      <c r="E183" s="66"/>
      <c r="F183" s="100" t="str">
        <f>HYPERLINK("https://pbs.twimg.com/profile_images/1475461575205171202/j3Ljg7LN_normal.jpg")</f>
        <v>https://pbs.twimg.com/profile_images/1475461575205171202/j3Ljg7LN_normal.jpg</v>
      </c>
      <c r="G183" s="63"/>
      <c r="H183" s="67"/>
      <c r="I183" s="68"/>
      <c r="J183" s="68"/>
      <c r="K183" s="67" t="s">
        <v>7370</v>
      </c>
      <c r="L183" s="71"/>
      <c r="M183" s="72">
        <v>5146.01953125</v>
      </c>
      <c r="N183" s="72">
        <v>5932.4697265625</v>
      </c>
      <c r="O183" s="73"/>
      <c r="P183" s="74"/>
      <c r="Q183" s="74"/>
      <c r="R183" s="86"/>
      <c r="S183" s="46">
        <v>1</v>
      </c>
      <c r="T183" s="46">
        <v>1</v>
      </c>
      <c r="U183" s="47">
        <v>0</v>
      </c>
      <c r="V183" s="47">
        <v>0</v>
      </c>
      <c r="W183" s="47">
        <v>0</v>
      </c>
      <c r="X183" s="47">
        <v>0.002882</v>
      </c>
      <c r="Y183" s="47">
        <v>0</v>
      </c>
      <c r="Z183" s="47">
        <v>0</v>
      </c>
      <c r="AA183" s="69">
        <v>183</v>
      </c>
      <c r="AB183" s="69"/>
      <c r="AC183" s="70"/>
      <c r="AD183" s="76" t="s">
        <v>6045</v>
      </c>
      <c r="AE183" s="83" t="s">
        <v>6324</v>
      </c>
      <c r="AF183" s="76">
        <v>32107</v>
      </c>
      <c r="AG183" s="76">
        <v>7113</v>
      </c>
      <c r="AH183" s="76">
        <v>162970</v>
      </c>
      <c r="AI183" s="76">
        <v>1152</v>
      </c>
      <c r="AJ183" s="76">
        <v>14596</v>
      </c>
      <c r="AK183" s="76">
        <v>2132</v>
      </c>
      <c r="AL183" s="76" t="b">
        <v>0</v>
      </c>
      <c r="AM183" s="78">
        <v>39920.31104166667</v>
      </c>
      <c r="AN183" s="76" t="s">
        <v>6547</v>
      </c>
      <c r="AO183" s="76" t="s">
        <v>6794</v>
      </c>
      <c r="AP183" s="82" t="str">
        <f>HYPERLINK("https://t.co/7I2QASe6ct")</f>
        <v>https://t.co/7I2QASe6ct</v>
      </c>
      <c r="AQ183" s="82" t="str">
        <f>HYPERLINK("https://linktr.ee/uxjobs")</f>
        <v>https://linktr.ee/uxjobs</v>
      </c>
      <c r="AR183" s="76" t="s">
        <v>6951</v>
      </c>
      <c r="AS183" s="82" t="str">
        <f>HYPERLINK("https://t.co/TZRP0mkcbb")</f>
        <v>https://t.co/TZRP0mkcbb</v>
      </c>
      <c r="AT183" s="82" t="str">
        <f>HYPERLINK("http://uxjobs.io")</f>
        <v>http://uxjobs.io</v>
      </c>
      <c r="AU183" s="76" t="s">
        <v>7173</v>
      </c>
      <c r="AV183" s="76"/>
      <c r="AW183" s="82" t="str">
        <f>HYPERLINK("https://t.co/7I2QASe6ct")</f>
        <v>https://t.co/7I2QASe6ct</v>
      </c>
      <c r="AX183" s="76" t="b">
        <v>1</v>
      </c>
      <c r="AY183" s="76"/>
      <c r="AZ183" s="76"/>
      <c r="BA183" s="76" t="b">
        <v>1</v>
      </c>
      <c r="BB183" s="76" t="b">
        <v>1</v>
      </c>
      <c r="BC183" s="76" t="b">
        <v>0</v>
      </c>
      <c r="BD183" s="76" t="b">
        <v>0</v>
      </c>
      <c r="BE183" s="76" t="b">
        <v>1</v>
      </c>
      <c r="BF183" s="76" t="b">
        <v>0</v>
      </c>
      <c r="BG183" s="76" t="b">
        <v>0</v>
      </c>
      <c r="BH183" s="82" t="str">
        <f>HYPERLINK("https://pbs.twimg.com/profile_banners/32340428/1688156781")</f>
        <v>https://pbs.twimg.com/profile_banners/32340428/1688156781</v>
      </c>
      <c r="BI183" s="76"/>
      <c r="BJ183" s="76" t="s">
        <v>7188</v>
      </c>
      <c r="BK183" s="76" t="b">
        <v>0</v>
      </c>
      <c r="BL183" s="76"/>
      <c r="BM183" s="76" t="s">
        <v>66</v>
      </c>
      <c r="BN183" s="76" t="s">
        <v>7190</v>
      </c>
      <c r="BO183" s="82" t="str">
        <f>HYPERLINK("https://twitter.com/ia_uxjobs")</f>
        <v>https://twitter.com/ia_uxjobs</v>
      </c>
      <c r="BP183" s="46" t="s">
        <v>7634</v>
      </c>
      <c r="BQ183" s="46" t="s">
        <v>7634</v>
      </c>
      <c r="BR183" s="46" t="s">
        <v>1976</v>
      </c>
      <c r="BS183" s="46" t="s">
        <v>1976</v>
      </c>
      <c r="BT183" s="46" t="s">
        <v>1786</v>
      </c>
      <c r="BU183" s="46" t="s">
        <v>1786</v>
      </c>
      <c r="BV183" s="105" t="s">
        <v>7865</v>
      </c>
      <c r="BW183" s="105" t="s">
        <v>7865</v>
      </c>
      <c r="BX183" s="105" t="s">
        <v>8096</v>
      </c>
      <c r="BY183" s="105" t="s">
        <v>8096</v>
      </c>
      <c r="BZ183" s="2"/>
    </row>
    <row r="184" spans="1:78" ht="15">
      <c r="A184" s="62" t="s">
        <v>310</v>
      </c>
      <c r="B184" s="63"/>
      <c r="C184" s="63"/>
      <c r="D184" s="64"/>
      <c r="E184" s="66"/>
      <c r="F184" s="100" t="str">
        <f>HYPERLINK("https://pbs.twimg.com/profile_images/1556366299911290880/9jKdj66g_normal.jpg")</f>
        <v>https://pbs.twimg.com/profile_images/1556366299911290880/9jKdj66g_normal.jpg</v>
      </c>
      <c r="G184" s="63"/>
      <c r="H184" s="67"/>
      <c r="I184" s="68"/>
      <c r="J184" s="68"/>
      <c r="K184" s="67" t="s">
        <v>7371</v>
      </c>
      <c r="L184" s="71"/>
      <c r="M184" s="72">
        <v>5172.6591796875</v>
      </c>
      <c r="N184" s="72">
        <v>6099.23681640625</v>
      </c>
      <c r="O184" s="73"/>
      <c r="P184" s="74"/>
      <c r="Q184" s="74"/>
      <c r="R184" s="86"/>
      <c r="S184" s="46">
        <v>0</v>
      </c>
      <c r="T184" s="46">
        <v>1</v>
      </c>
      <c r="U184" s="47">
        <v>0</v>
      </c>
      <c r="V184" s="47">
        <v>0.00289</v>
      </c>
      <c r="W184" s="47">
        <v>0</v>
      </c>
      <c r="X184" s="47">
        <v>0.002882</v>
      </c>
      <c r="Y184" s="47">
        <v>0</v>
      </c>
      <c r="Z184" s="47">
        <v>0</v>
      </c>
      <c r="AA184" s="69">
        <v>184</v>
      </c>
      <c r="AB184" s="69"/>
      <c r="AC184" s="70"/>
      <c r="AD184" s="76" t="s">
        <v>6046</v>
      </c>
      <c r="AE184" s="83" t="s">
        <v>6325</v>
      </c>
      <c r="AF184" s="76">
        <v>274</v>
      </c>
      <c r="AG184" s="76">
        <v>1073</v>
      </c>
      <c r="AH184" s="76">
        <v>34371</v>
      </c>
      <c r="AI184" s="76">
        <v>7</v>
      </c>
      <c r="AJ184" s="76">
        <v>30343</v>
      </c>
      <c r="AK184" s="76">
        <v>571</v>
      </c>
      <c r="AL184" s="76" t="b">
        <v>0</v>
      </c>
      <c r="AM184" s="78">
        <v>39993.706712962965</v>
      </c>
      <c r="AN184" s="76" t="s">
        <v>6458</v>
      </c>
      <c r="AO184" s="76" t="s">
        <v>6795</v>
      </c>
      <c r="AP184" s="76"/>
      <c r="AQ184" s="76"/>
      <c r="AR184" s="76"/>
      <c r="AS184" s="76"/>
      <c r="AT184" s="76"/>
      <c r="AU184" s="76"/>
      <c r="AV184" s="76">
        <v>7.78664913522692E+17</v>
      </c>
      <c r="AW184" s="76"/>
      <c r="AX184" s="76" t="b">
        <v>0</v>
      </c>
      <c r="AY184" s="76"/>
      <c r="AZ184" s="76"/>
      <c r="BA184" s="76" t="b">
        <v>0</v>
      </c>
      <c r="BB184" s="76" t="b">
        <v>1</v>
      </c>
      <c r="BC184" s="76" t="b">
        <v>0</v>
      </c>
      <c r="BD184" s="76" t="b">
        <v>0</v>
      </c>
      <c r="BE184" s="76" t="b">
        <v>1</v>
      </c>
      <c r="BF184" s="76" t="b">
        <v>0</v>
      </c>
      <c r="BG184" s="76" t="b">
        <v>0</v>
      </c>
      <c r="BH184" s="82" t="str">
        <f>HYPERLINK("https://pbs.twimg.com/profile_banners/52114314/1487644224")</f>
        <v>https://pbs.twimg.com/profile_banners/52114314/1487644224</v>
      </c>
      <c r="BI184" s="76"/>
      <c r="BJ184" s="76" t="s">
        <v>7188</v>
      </c>
      <c r="BK184" s="76" t="b">
        <v>0</v>
      </c>
      <c r="BL184" s="76"/>
      <c r="BM184" s="76" t="s">
        <v>66</v>
      </c>
      <c r="BN184" s="76" t="s">
        <v>7190</v>
      </c>
      <c r="BO184" s="82" t="str">
        <f>HYPERLINK("https://twitter.com/jayantisrao")</f>
        <v>https://twitter.com/jayantisrao</v>
      </c>
      <c r="BP184" s="46"/>
      <c r="BQ184" s="46"/>
      <c r="BR184" s="46"/>
      <c r="BS184" s="46"/>
      <c r="BT184" s="46"/>
      <c r="BU184" s="46"/>
      <c r="BV184" s="105" t="s">
        <v>7866</v>
      </c>
      <c r="BW184" s="105" t="s">
        <v>7866</v>
      </c>
      <c r="BX184" s="105" t="s">
        <v>8097</v>
      </c>
      <c r="BY184" s="105" t="s">
        <v>8097</v>
      </c>
      <c r="BZ184" s="2"/>
    </row>
    <row r="185" spans="1:78" ht="15">
      <c r="A185" s="62" t="s">
        <v>513</v>
      </c>
      <c r="B185" s="63"/>
      <c r="C185" s="63"/>
      <c r="D185" s="64"/>
      <c r="E185" s="66"/>
      <c r="F185" s="100" t="str">
        <f>HYPERLINK("https://pbs.twimg.com/profile_images/1602141772716572672/ON3pDfau_normal.jpg")</f>
        <v>https://pbs.twimg.com/profile_images/1602141772716572672/ON3pDfau_normal.jpg</v>
      </c>
      <c r="G185" s="63"/>
      <c r="H185" s="67"/>
      <c r="I185" s="68"/>
      <c r="J185" s="68"/>
      <c r="K185" s="67" t="s">
        <v>7372</v>
      </c>
      <c r="L185" s="71"/>
      <c r="M185" s="72">
        <v>5199.29931640625</v>
      </c>
      <c r="N185" s="72">
        <v>6264.5771484375</v>
      </c>
      <c r="O185" s="73"/>
      <c r="P185" s="74"/>
      <c r="Q185" s="74"/>
      <c r="R185" s="86"/>
      <c r="S185" s="46">
        <v>1</v>
      </c>
      <c r="T185" s="46">
        <v>0</v>
      </c>
      <c r="U185" s="47">
        <v>0</v>
      </c>
      <c r="V185" s="47">
        <v>0.00289</v>
      </c>
      <c r="W185" s="47">
        <v>0</v>
      </c>
      <c r="X185" s="47">
        <v>0.002882</v>
      </c>
      <c r="Y185" s="47">
        <v>0</v>
      </c>
      <c r="Z185" s="47">
        <v>0</v>
      </c>
      <c r="AA185" s="69">
        <v>185</v>
      </c>
      <c r="AB185" s="69"/>
      <c r="AC185" s="70"/>
      <c r="AD185" s="76" t="s">
        <v>6047</v>
      </c>
      <c r="AE185" s="83" t="s">
        <v>5757</v>
      </c>
      <c r="AF185" s="76">
        <v>1617509</v>
      </c>
      <c r="AG185" s="76">
        <v>950</v>
      </c>
      <c r="AH185" s="76">
        <v>46546</v>
      </c>
      <c r="AI185" s="76">
        <v>2396</v>
      </c>
      <c r="AJ185" s="76">
        <v>13223</v>
      </c>
      <c r="AK185" s="76">
        <v>3061</v>
      </c>
      <c r="AL185" s="76" t="b">
        <v>0</v>
      </c>
      <c r="AM185" s="78">
        <v>40621.306875</v>
      </c>
      <c r="AN185" s="76" t="s">
        <v>6458</v>
      </c>
      <c r="AO185" s="76" t="s">
        <v>6796</v>
      </c>
      <c r="AP185" s="82" t="str">
        <f>HYPERLINK("https://t.co/yXld4rWMjV")</f>
        <v>https://t.co/yXld4rWMjV</v>
      </c>
      <c r="AQ185" s="82" t="str">
        <f>HYPERLINK("https://www.newyorker.com/magazine/2019/12/09/blood-and-soil-in-narendra-modis-india")</f>
        <v>https://www.newyorker.com/magazine/2019/12/09/blood-and-soil-in-narendra-modis-india</v>
      </c>
      <c r="AR185" s="76" t="s">
        <v>7044</v>
      </c>
      <c r="AS185" s="76"/>
      <c r="AT185" s="76"/>
      <c r="AU185" s="76"/>
      <c r="AV185" s="76">
        <v>1.49541143993873E+18</v>
      </c>
      <c r="AW185" s="82" t="str">
        <f>HYPERLINK("https://t.co/yXld4rWMjV")</f>
        <v>https://t.co/yXld4rWMjV</v>
      </c>
      <c r="AX185" s="76" t="b">
        <v>1</v>
      </c>
      <c r="AY185" s="76"/>
      <c r="AZ185" s="76"/>
      <c r="BA185" s="76" t="b">
        <v>0</v>
      </c>
      <c r="BB185" s="76" t="b">
        <v>0</v>
      </c>
      <c r="BC185" s="76" t="b">
        <v>0</v>
      </c>
      <c r="BD185" s="76" t="b">
        <v>0</v>
      </c>
      <c r="BE185" s="76" t="b">
        <v>1</v>
      </c>
      <c r="BF185" s="76" t="b">
        <v>0</v>
      </c>
      <c r="BG185" s="76" t="b">
        <v>0</v>
      </c>
      <c r="BH185" s="82" t="str">
        <f>HYPERLINK("https://pbs.twimg.com/profile_banners/268676434/1517254487")</f>
        <v>https://pbs.twimg.com/profile_banners/268676434/1517254487</v>
      </c>
      <c r="BI185" s="76"/>
      <c r="BJ185" s="76" t="s">
        <v>7188</v>
      </c>
      <c r="BK185" s="76" t="b">
        <v>0</v>
      </c>
      <c r="BL185" s="76"/>
      <c r="BM185" s="76" t="s">
        <v>65</v>
      </c>
      <c r="BN185" s="76" t="s">
        <v>7190</v>
      </c>
      <c r="BO185" s="82" t="str">
        <f>HYPERLINK("https://twitter.com/ranaayyub")</f>
        <v>https://twitter.com/ranaayyub</v>
      </c>
      <c r="BP185" s="46"/>
      <c r="BQ185" s="46"/>
      <c r="BR185" s="46"/>
      <c r="BS185" s="46"/>
      <c r="BT185" s="46"/>
      <c r="BU185" s="46"/>
      <c r="BV185" s="46"/>
      <c r="BW185" s="46"/>
      <c r="BX185" s="46"/>
      <c r="BY185" s="46"/>
      <c r="BZ185" s="2"/>
    </row>
    <row r="186" spans="1:78" ht="15">
      <c r="A186" s="62" t="s">
        <v>311</v>
      </c>
      <c r="B186" s="63"/>
      <c r="C186" s="63"/>
      <c r="D186" s="64"/>
      <c r="E186" s="66"/>
      <c r="F186" s="100" t="str">
        <f>HYPERLINK("https://pbs.twimg.com/profile_images/1311878532436561921/vlVAFtOP_normal.jpg")</f>
        <v>https://pbs.twimg.com/profile_images/1311878532436561921/vlVAFtOP_normal.jpg</v>
      </c>
      <c r="G186" s="63"/>
      <c r="H186" s="67"/>
      <c r="I186" s="68"/>
      <c r="J186" s="68"/>
      <c r="K186" s="67" t="s">
        <v>7373</v>
      </c>
      <c r="L186" s="71"/>
      <c r="M186" s="72">
        <v>5225.9384765625</v>
      </c>
      <c r="N186" s="72">
        <v>6428.27783203125</v>
      </c>
      <c r="O186" s="73"/>
      <c r="P186" s="74"/>
      <c r="Q186" s="74"/>
      <c r="R186" s="86"/>
      <c r="S186" s="46">
        <v>1</v>
      </c>
      <c r="T186" s="46">
        <v>1</v>
      </c>
      <c r="U186" s="47">
        <v>0</v>
      </c>
      <c r="V186" s="47">
        <v>0</v>
      </c>
      <c r="W186" s="47">
        <v>0</v>
      </c>
      <c r="X186" s="47">
        <v>0.002882</v>
      </c>
      <c r="Y186" s="47">
        <v>0</v>
      </c>
      <c r="Z186" s="47">
        <v>0</v>
      </c>
      <c r="AA186" s="69">
        <v>186</v>
      </c>
      <c r="AB186" s="69"/>
      <c r="AC186" s="70"/>
      <c r="AD186" s="76" t="s">
        <v>6048</v>
      </c>
      <c r="AE186" s="83" t="s">
        <v>6326</v>
      </c>
      <c r="AF186" s="76">
        <v>1762</v>
      </c>
      <c r="AG186" s="76">
        <v>641</v>
      </c>
      <c r="AH186" s="76">
        <v>12824</v>
      </c>
      <c r="AI186" s="76">
        <v>35</v>
      </c>
      <c r="AJ186" s="76">
        <v>73937</v>
      </c>
      <c r="AK186" s="76">
        <v>2687</v>
      </c>
      <c r="AL186" s="76" t="b">
        <v>0</v>
      </c>
      <c r="AM186" s="78">
        <v>39618.76143518519</v>
      </c>
      <c r="AN186" s="76" t="s">
        <v>6548</v>
      </c>
      <c r="AO186" s="76" t="s">
        <v>6797</v>
      </c>
      <c r="AP186" s="82" t="str">
        <f>HYPERLINK("https://t.co/OlQz5cf7p7")</f>
        <v>https://t.co/OlQz5cf7p7</v>
      </c>
      <c r="AQ186" s="82" t="str">
        <f>HYPERLINK("https://newbabyfly.carrd.co/")</f>
        <v>https://newbabyfly.carrd.co/</v>
      </c>
      <c r="AR186" s="76" t="s">
        <v>7045</v>
      </c>
      <c r="AS186" s="76"/>
      <c r="AT186" s="76"/>
      <c r="AU186" s="76"/>
      <c r="AV186" s="76">
        <v>1.68352740660527E+18</v>
      </c>
      <c r="AW186" s="82" t="str">
        <f>HYPERLINK("https://t.co/OlQz5cf7p7")</f>
        <v>https://t.co/OlQz5cf7p7</v>
      </c>
      <c r="AX186" s="76" t="b">
        <v>0</v>
      </c>
      <c r="AY186" s="76"/>
      <c r="AZ186" s="76"/>
      <c r="BA186" s="76" t="b">
        <v>1</v>
      </c>
      <c r="BB186" s="76" t="b">
        <v>1</v>
      </c>
      <c r="BC186" s="76" t="b">
        <v>0</v>
      </c>
      <c r="BD186" s="76" t="b">
        <v>0</v>
      </c>
      <c r="BE186" s="76" t="b">
        <v>1</v>
      </c>
      <c r="BF186" s="76" t="b">
        <v>0</v>
      </c>
      <c r="BG186" s="76" t="b">
        <v>0</v>
      </c>
      <c r="BH186" s="82" t="str">
        <f>HYPERLINK("https://pbs.twimg.com/profile_banners/15171716/1687159781")</f>
        <v>https://pbs.twimg.com/profile_banners/15171716/1687159781</v>
      </c>
      <c r="BI186" s="76"/>
      <c r="BJ186" s="76" t="s">
        <v>7188</v>
      </c>
      <c r="BK186" s="76" t="b">
        <v>0</v>
      </c>
      <c r="BL186" s="76"/>
      <c r="BM186" s="76" t="s">
        <v>66</v>
      </c>
      <c r="BN186" s="76" t="s">
        <v>7190</v>
      </c>
      <c r="BO186" s="82" t="str">
        <f>HYPERLINK("https://twitter.com/newbabyfly")</f>
        <v>https://twitter.com/newbabyfly</v>
      </c>
      <c r="BP186" s="46" t="s">
        <v>7635</v>
      </c>
      <c r="BQ186" s="46" t="s">
        <v>7635</v>
      </c>
      <c r="BR186" s="46" t="s">
        <v>1986</v>
      </c>
      <c r="BS186" s="46" t="s">
        <v>1986</v>
      </c>
      <c r="BT186" s="46"/>
      <c r="BU186" s="46"/>
      <c r="BV186" s="105" t="s">
        <v>7867</v>
      </c>
      <c r="BW186" s="105" t="s">
        <v>7867</v>
      </c>
      <c r="BX186" s="105" t="s">
        <v>8098</v>
      </c>
      <c r="BY186" s="105" t="s">
        <v>8098</v>
      </c>
      <c r="BZ186" s="2"/>
    </row>
    <row r="187" spans="1:78" ht="15">
      <c r="A187" s="62" t="s">
        <v>312</v>
      </c>
      <c r="B187" s="63"/>
      <c r="C187" s="63"/>
      <c r="D187" s="64"/>
      <c r="E187" s="66"/>
      <c r="F187" s="100" t="str">
        <f>HYPERLINK("https://pbs.twimg.com/profile_images/1420296194111246336/p2UYgLMb_normal.jpg")</f>
        <v>https://pbs.twimg.com/profile_images/1420296194111246336/p2UYgLMb_normal.jpg</v>
      </c>
      <c r="G187" s="63"/>
      <c r="H187" s="67"/>
      <c r="I187" s="68"/>
      <c r="J187" s="68"/>
      <c r="K187" s="67" t="s">
        <v>7374</v>
      </c>
      <c r="L187" s="71"/>
      <c r="M187" s="72">
        <v>5252.57861328125</v>
      </c>
      <c r="N187" s="72">
        <v>6590.12646484375</v>
      </c>
      <c r="O187" s="73"/>
      <c r="P187" s="74"/>
      <c r="Q187" s="74"/>
      <c r="R187" s="86"/>
      <c r="S187" s="46">
        <v>1</v>
      </c>
      <c r="T187" s="46">
        <v>1</v>
      </c>
      <c r="U187" s="47">
        <v>0</v>
      </c>
      <c r="V187" s="47">
        <v>0</v>
      </c>
      <c r="W187" s="47">
        <v>0</v>
      </c>
      <c r="X187" s="47">
        <v>0.002882</v>
      </c>
      <c r="Y187" s="47">
        <v>0</v>
      </c>
      <c r="Z187" s="47">
        <v>0</v>
      </c>
      <c r="AA187" s="69">
        <v>187</v>
      </c>
      <c r="AB187" s="69"/>
      <c r="AC187" s="70"/>
      <c r="AD187" s="76" t="s">
        <v>6049</v>
      </c>
      <c r="AE187" s="83" t="s">
        <v>5806</v>
      </c>
      <c r="AF187" s="76">
        <v>4183</v>
      </c>
      <c r="AG187" s="76">
        <v>260</v>
      </c>
      <c r="AH187" s="76">
        <v>82045</v>
      </c>
      <c r="AI187" s="76">
        <v>214</v>
      </c>
      <c r="AJ187" s="76">
        <v>103</v>
      </c>
      <c r="AK187" s="76">
        <v>24321</v>
      </c>
      <c r="AL187" s="76" t="b">
        <v>0</v>
      </c>
      <c r="AM187" s="78">
        <v>42710.23443287037</v>
      </c>
      <c r="AN187" s="76" t="s">
        <v>6549</v>
      </c>
      <c r="AO187" s="76" t="s">
        <v>6798</v>
      </c>
      <c r="AP187" s="76"/>
      <c r="AQ187" s="76"/>
      <c r="AR187" s="76"/>
      <c r="AS187" s="76"/>
      <c r="AT187" s="76"/>
      <c r="AU187" s="76"/>
      <c r="AV187" s="76"/>
      <c r="AW187" s="76"/>
      <c r="AX187" s="76" t="b">
        <v>0</v>
      </c>
      <c r="AY187" s="76"/>
      <c r="AZ187" s="76"/>
      <c r="BA187" s="76" t="b">
        <v>0</v>
      </c>
      <c r="BB187" s="76" t="b">
        <v>1</v>
      </c>
      <c r="BC187" s="76" t="b">
        <v>1</v>
      </c>
      <c r="BD187" s="76" t="b">
        <v>0</v>
      </c>
      <c r="BE187" s="76" t="b">
        <v>0</v>
      </c>
      <c r="BF187" s="76" t="b">
        <v>0</v>
      </c>
      <c r="BG187" s="76" t="b">
        <v>0</v>
      </c>
      <c r="BH187" s="82" t="str">
        <f>HYPERLINK("https://pbs.twimg.com/profile_banners/806009670343282688/1490100681")</f>
        <v>https://pbs.twimg.com/profile_banners/806009670343282688/1490100681</v>
      </c>
      <c r="BI187" s="76"/>
      <c r="BJ187" s="76" t="s">
        <v>7188</v>
      </c>
      <c r="BK187" s="76" t="b">
        <v>0</v>
      </c>
      <c r="BL187" s="76"/>
      <c r="BM187" s="76" t="s">
        <v>66</v>
      </c>
      <c r="BN187" s="76" t="s">
        <v>7190</v>
      </c>
      <c r="BO187" s="82" t="str">
        <f>HYPERLINK("https://twitter.com/alisovino")</f>
        <v>https://twitter.com/alisovino</v>
      </c>
      <c r="BP187" s="46"/>
      <c r="BQ187" s="46"/>
      <c r="BR187" s="46"/>
      <c r="BS187" s="46"/>
      <c r="BT187" s="46"/>
      <c r="BU187" s="46"/>
      <c r="BV187" s="105" t="s">
        <v>7868</v>
      </c>
      <c r="BW187" s="105" t="s">
        <v>7868</v>
      </c>
      <c r="BX187" s="105" t="s">
        <v>8099</v>
      </c>
      <c r="BY187" s="105" t="s">
        <v>8099</v>
      </c>
      <c r="BZ187" s="2"/>
    </row>
    <row r="188" spans="1:78" ht="15">
      <c r="A188" s="62" t="s">
        <v>313</v>
      </c>
      <c r="B188" s="63"/>
      <c r="C188" s="63"/>
      <c r="D188" s="64"/>
      <c r="E188" s="66"/>
      <c r="F188" s="100" t="str">
        <f>HYPERLINK("https://pbs.twimg.com/profile_images/1402816470212481025/vdLEQOzr_normal.jpg")</f>
        <v>https://pbs.twimg.com/profile_images/1402816470212481025/vdLEQOzr_normal.jpg</v>
      </c>
      <c r="G188" s="63"/>
      <c r="H188" s="67"/>
      <c r="I188" s="68"/>
      <c r="J188" s="68"/>
      <c r="K188" s="67" t="s">
        <v>7375</v>
      </c>
      <c r="L188" s="71"/>
      <c r="M188" s="72">
        <v>5279.21875</v>
      </c>
      <c r="N188" s="72">
        <v>6749.9140625</v>
      </c>
      <c r="O188" s="73"/>
      <c r="P188" s="74"/>
      <c r="Q188" s="74"/>
      <c r="R188" s="86"/>
      <c r="S188" s="46">
        <v>0</v>
      </c>
      <c r="T188" s="46">
        <v>1</v>
      </c>
      <c r="U188" s="47">
        <v>0</v>
      </c>
      <c r="V188" s="47">
        <v>0.214691</v>
      </c>
      <c r="W188" s="47">
        <v>0.062026</v>
      </c>
      <c r="X188" s="47">
        <v>0.002499</v>
      </c>
      <c r="Y188" s="47">
        <v>0</v>
      </c>
      <c r="Z188" s="47">
        <v>0</v>
      </c>
      <c r="AA188" s="69">
        <v>188</v>
      </c>
      <c r="AB188" s="69"/>
      <c r="AC188" s="70"/>
      <c r="AD188" s="76" t="s">
        <v>6050</v>
      </c>
      <c r="AE188" s="83" t="s">
        <v>5807</v>
      </c>
      <c r="AF188" s="76">
        <v>196</v>
      </c>
      <c r="AG188" s="76">
        <v>100</v>
      </c>
      <c r="AH188" s="76">
        <v>248</v>
      </c>
      <c r="AI188" s="76">
        <v>0</v>
      </c>
      <c r="AJ188" s="76">
        <v>2110</v>
      </c>
      <c r="AK188" s="76">
        <v>152</v>
      </c>
      <c r="AL188" s="76" t="b">
        <v>0</v>
      </c>
      <c r="AM188" s="78">
        <v>44048.29913194444</v>
      </c>
      <c r="AN188" s="76" t="s">
        <v>3898</v>
      </c>
      <c r="AO188" s="76" t="s">
        <v>6799</v>
      </c>
      <c r="AP188" s="76"/>
      <c r="AQ188" s="76"/>
      <c r="AR188" s="76"/>
      <c r="AS188" s="76"/>
      <c r="AT188" s="76"/>
      <c r="AU188" s="76"/>
      <c r="AV188" s="76"/>
      <c r="AW188" s="76"/>
      <c r="AX188" s="76" t="b">
        <v>0</v>
      </c>
      <c r="AY188" s="76"/>
      <c r="AZ188" s="76"/>
      <c r="BA188" s="76" t="b">
        <v>0</v>
      </c>
      <c r="BB188" s="76" t="b">
        <v>1</v>
      </c>
      <c r="BC188" s="76" t="b">
        <v>1</v>
      </c>
      <c r="BD188" s="76" t="b">
        <v>0</v>
      </c>
      <c r="BE188" s="76" t="b">
        <v>1</v>
      </c>
      <c r="BF188" s="76" t="b">
        <v>0</v>
      </c>
      <c r="BG188" s="76" t="b">
        <v>0</v>
      </c>
      <c r="BH188" s="82" t="str">
        <f>HYPERLINK("https://pbs.twimg.com/profile_banners/1290908011347603457/1596611892")</f>
        <v>https://pbs.twimg.com/profile_banners/1290908011347603457/1596611892</v>
      </c>
      <c r="BI188" s="76"/>
      <c r="BJ188" s="76" t="s">
        <v>7188</v>
      </c>
      <c r="BK188" s="76" t="b">
        <v>0</v>
      </c>
      <c r="BL188" s="76"/>
      <c r="BM188" s="76" t="s">
        <v>66</v>
      </c>
      <c r="BN188" s="76" t="s">
        <v>7190</v>
      </c>
      <c r="BO188" s="82" t="str">
        <f>HYPERLINK("https://twitter.com/aim_pvsk")</f>
        <v>https://twitter.com/aim_pvsk</v>
      </c>
      <c r="BP188" s="46"/>
      <c r="BQ188" s="46"/>
      <c r="BR188" s="46"/>
      <c r="BS188" s="46"/>
      <c r="BT188" s="46" t="s">
        <v>1710</v>
      </c>
      <c r="BU188" s="46" t="s">
        <v>1710</v>
      </c>
      <c r="BV188" s="105" t="s">
        <v>7787</v>
      </c>
      <c r="BW188" s="105" t="s">
        <v>7787</v>
      </c>
      <c r="BX188" s="105" t="s">
        <v>8018</v>
      </c>
      <c r="BY188" s="105" t="s">
        <v>8018</v>
      </c>
      <c r="BZ188" s="2"/>
    </row>
    <row r="189" spans="1:78" ht="15">
      <c r="A189" s="62" t="s">
        <v>314</v>
      </c>
      <c r="B189" s="63"/>
      <c r="C189" s="63"/>
      <c r="D189" s="64"/>
      <c r="E189" s="66"/>
      <c r="F189" s="100" t="str">
        <f>HYPERLINK("https://pbs.twimg.com/profile_images/583343407839363072/8UwPcPiH_normal.jpg")</f>
        <v>https://pbs.twimg.com/profile_images/583343407839363072/8UwPcPiH_normal.jpg</v>
      </c>
      <c r="G189" s="63"/>
      <c r="H189" s="67"/>
      <c r="I189" s="68"/>
      <c r="J189" s="68"/>
      <c r="K189" s="67" t="s">
        <v>7376</v>
      </c>
      <c r="L189" s="71"/>
      <c r="M189" s="72">
        <v>5305.8583984375</v>
      </c>
      <c r="N189" s="72">
        <v>6907.43115234375</v>
      </c>
      <c r="O189" s="73"/>
      <c r="P189" s="74"/>
      <c r="Q189" s="74"/>
      <c r="R189" s="86"/>
      <c r="S189" s="46">
        <v>1</v>
      </c>
      <c r="T189" s="46">
        <v>1</v>
      </c>
      <c r="U189" s="47">
        <v>0</v>
      </c>
      <c r="V189" s="47">
        <v>0</v>
      </c>
      <c r="W189" s="47">
        <v>0</v>
      </c>
      <c r="X189" s="47">
        <v>0.002882</v>
      </c>
      <c r="Y189" s="47">
        <v>0</v>
      </c>
      <c r="Z189" s="47">
        <v>0</v>
      </c>
      <c r="AA189" s="69">
        <v>189</v>
      </c>
      <c r="AB189" s="69"/>
      <c r="AC189" s="70"/>
      <c r="AD189" s="76" t="s">
        <v>6051</v>
      </c>
      <c r="AE189" s="83" t="s">
        <v>6327</v>
      </c>
      <c r="AF189" s="76">
        <v>4</v>
      </c>
      <c r="AG189" s="76">
        <v>21</v>
      </c>
      <c r="AH189" s="76">
        <v>720</v>
      </c>
      <c r="AI189" s="76">
        <v>0</v>
      </c>
      <c r="AJ189" s="76">
        <v>0</v>
      </c>
      <c r="AK189" s="76">
        <v>0</v>
      </c>
      <c r="AL189" s="76" t="b">
        <v>0</v>
      </c>
      <c r="AM189" s="78">
        <v>42095.7884375</v>
      </c>
      <c r="AN189" s="76"/>
      <c r="AO189" s="76"/>
      <c r="AP189" s="76"/>
      <c r="AQ189" s="76"/>
      <c r="AR189" s="76"/>
      <c r="AS189" s="76"/>
      <c r="AT189" s="76"/>
      <c r="AU189" s="76"/>
      <c r="AV189" s="76"/>
      <c r="AW189" s="76"/>
      <c r="AX189" s="76" t="b">
        <v>0</v>
      </c>
      <c r="AY189" s="76"/>
      <c r="AZ189" s="76"/>
      <c r="BA189" s="76" t="b">
        <v>0</v>
      </c>
      <c r="BB189" s="76" t="b">
        <v>1</v>
      </c>
      <c r="BC189" s="76" t="b">
        <v>1</v>
      </c>
      <c r="BD189" s="76" t="b">
        <v>0</v>
      </c>
      <c r="BE189" s="76" t="b">
        <v>0</v>
      </c>
      <c r="BF189" s="76" t="b">
        <v>0</v>
      </c>
      <c r="BG189" s="76" t="b">
        <v>0</v>
      </c>
      <c r="BH189" s="76"/>
      <c r="BI189" s="76"/>
      <c r="BJ189" s="76" t="s">
        <v>7188</v>
      </c>
      <c r="BK189" s="76" t="b">
        <v>0</v>
      </c>
      <c r="BL189" s="76"/>
      <c r="BM189" s="76" t="s">
        <v>66</v>
      </c>
      <c r="BN189" s="76" t="s">
        <v>7190</v>
      </c>
      <c r="BO189" s="82" t="str">
        <f>HYPERLINK("https://twitter.com/jobspotz")</f>
        <v>https://twitter.com/jobspotz</v>
      </c>
      <c r="BP189" s="46" t="s">
        <v>7636</v>
      </c>
      <c r="BQ189" s="46" t="s">
        <v>7636</v>
      </c>
      <c r="BR189" s="46" t="s">
        <v>1975</v>
      </c>
      <c r="BS189" s="46" t="s">
        <v>1975</v>
      </c>
      <c r="BT189" s="46" t="s">
        <v>1787</v>
      </c>
      <c r="BU189" s="46" t="s">
        <v>1787</v>
      </c>
      <c r="BV189" s="105" t="s">
        <v>7869</v>
      </c>
      <c r="BW189" s="105" t="s">
        <v>7869</v>
      </c>
      <c r="BX189" s="105" t="s">
        <v>8100</v>
      </c>
      <c r="BY189" s="105" t="s">
        <v>8100</v>
      </c>
      <c r="BZ189" s="2"/>
    </row>
    <row r="190" spans="1:78" ht="15">
      <c r="A190" s="62" t="s">
        <v>315</v>
      </c>
      <c r="B190" s="63"/>
      <c r="C190" s="63"/>
      <c r="D190" s="64"/>
      <c r="E190" s="66"/>
      <c r="F190" s="100" t="str">
        <f>HYPERLINK("https://pbs.twimg.com/profile_images/1612798186049122307/BSp3Z-bI_normal.jpg")</f>
        <v>https://pbs.twimg.com/profile_images/1612798186049122307/BSp3Z-bI_normal.jpg</v>
      </c>
      <c r="G190" s="63"/>
      <c r="H190" s="67"/>
      <c r="I190" s="68"/>
      <c r="J190" s="68"/>
      <c r="K190" s="67" t="s">
        <v>7377</v>
      </c>
      <c r="L190" s="71"/>
      <c r="M190" s="72">
        <v>5332.498046875</v>
      </c>
      <c r="N190" s="72">
        <v>7062.47607421875</v>
      </c>
      <c r="O190" s="73"/>
      <c r="P190" s="74"/>
      <c r="Q190" s="74"/>
      <c r="R190" s="86"/>
      <c r="S190" s="46">
        <v>0</v>
      </c>
      <c r="T190" s="46">
        <v>1</v>
      </c>
      <c r="U190" s="47">
        <v>0</v>
      </c>
      <c r="V190" s="47">
        <v>0.214691</v>
      </c>
      <c r="W190" s="47">
        <v>0.062026</v>
      </c>
      <c r="X190" s="47">
        <v>0.002499</v>
      </c>
      <c r="Y190" s="47">
        <v>0</v>
      </c>
      <c r="Z190" s="47">
        <v>0</v>
      </c>
      <c r="AA190" s="69">
        <v>190</v>
      </c>
      <c r="AB190" s="69"/>
      <c r="AC190" s="70"/>
      <c r="AD190" s="76" t="s">
        <v>6052</v>
      </c>
      <c r="AE190" s="83" t="s">
        <v>5808</v>
      </c>
      <c r="AF190" s="76">
        <v>341</v>
      </c>
      <c r="AG190" s="76">
        <v>1574</v>
      </c>
      <c r="AH190" s="76">
        <v>1630</v>
      </c>
      <c r="AI190" s="76">
        <v>0</v>
      </c>
      <c r="AJ190" s="76">
        <v>805</v>
      </c>
      <c r="AK190" s="76">
        <v>1352</v>
      </c>
      <c r="AL190" s="76" t="b">
        <v>0</v>
      </c>
      <c r="AM190" s="78">
        <v>42607.220729166664</v>
      </c>
      <c r="AN190" s="76" t="s">
        <v>6550</v>
      </c>
      <c r="AO190" s="76" t="s">
        <v>6800</v>
      </c>
      <c r="AP190" s="82" t="str">
        <f>HYPERLINK("https://t.co/x0ZpKT9zSF")</f>
        <v>https://t.co/x0ZpKT9zSF</v>
      </c>
      <c r="AQ190" s="82" t="str">
        <f>HYPERLINK("https://www.indywood.co.in")</f>
        <v>https://www.indywood.co.in</v>
      </c>
      <c r="AR190" s="76" t="s">
        <v>7046</v>
      </c>
      <c r="AS190" s="76"/>
      <c r="AT190" s="76"/>
      <c r="AU190" s="76"/>
      <c r="AV190" s="76"/>
      <c r="AW190" s="82" t="str">
        <f>HYPERLINK("https://t.co/x0ZpKT9zSF")</f>
        <v>https://t.co/x0ZpKT9zSF</v>
      </c>
      <c r="AX190" s="76" t="b">
        <v>0</v>
      </c>
      <c r="AY190" s="76"/>
      <c r="AZ190" s="76"/>
      <c r="BA190" s="76" t="b">
        <v>0</v>
      </c>
      <c r="BB190" s="76" t="b">
        <v>1</v>
      </c>
      <c r="BC190" s="76" t="b">
        <v>0</v>
      </c>
      <c r="BD190" s="76" t="b">
        <v>0</v>
      </c>
      <c r="BE190" s="76" t="b">
        <v>0</v>
      </c>
      <c r="BF190" s="76" t="b">
        <v>0</v>
      </c>
      <c r="BG190" s="76" t="b">
        <v>0</v>
      </c>
      <c r="BH190" s="82" t="str">
        <f>HYPERLINK("https://pbs.twimg.com/profile_banners/768678755715784704/1548217525")</f>
        <v>https://pbs.twimg.com/profile_banners/768678755715784704/1548217525</v>
      </c>
      <c r="BI190" s="76"/>
      <c r="BJ190" s="76" t="s">
        <v>7188</v>
      </c>
      <c r="BK190" s="76" t="b">
        <v>0</v>
      </c>
      <c r="BL190" s="76"/>
      <c r="BM190" s="76" t="s">
        <v>66</v>
      </c>
      <c r="BN190" s="76" t="s">
        <v>7190</v>
      </c>
      <c r="BO190" s="82" t="str">
        <f>HYPERLINK("https://twitter.com/indywoodifc")</f>
        <v>https://twitter.com/indywoodifc</v>
      </c>
      <c r="BP190" s="46"/>
      <c r="BQ190" s="46"/>
      <c r="BR190" s="46"/>
      <c r="BS190" s="46"/>
      <c r="BT190" s="46" t="s">
        <v>1788</v>
      </c>
      <c r="BU190" s="46" t="s">
        <v>7763</v>
      </c>
      <c r="BV190" s="105" t="s">
        <v>7870</v>
      </c>
      <c r="BW190" s="105" t="s">
        <v>7870</v>
      </c>
      <c r="BX190" s="105" t="s">
        <v>8101</v>
      </c>
      <c r="BY190" s="105" t="s">
        <v>8101</v>
      </c>
      <c r="BZ190" s="2"/>
    </row>
    <row r="191" spans="1:78" ht="15">
      <c r="A191" s="62" t="s">
        <v>316</v>
      </c>
      <c r="B191" s="63"/>
      <c r="C191" s="63"/>
      <c r="D191" s="64"/>
      <c r="E191" s="66"/>
      <c r="F191" s="100" t="str">
        <f>HYPERLINK("https://pbs.twimg.com/profile_images/1652268191719014402/AJLST_8V_normal.jpg")</f>
        <v>https://pbs.twimg.com/profile_images/1652268191719014402/AJLST_8V_normal.jpg</v>
      </c>
      <c r="G191" s="63"/>
      <c r="H191" s="67"/>
      <c r="I191" s="68"/>
      <c r="J191" s="68"/>
      <c r="K191" s="67" t="s">
        <v>7378</v>
      </c>
      <c r="L191" s="71"/>
      <c r="M191" s="72">
        <v>5359.13818359375</v>
      </c>
      <c r="N191" s="72">
        <v>7214.845703125</v>
      </c>
      <c r="O191" s="73"/>
      <c r="P191" s="74"/>
      <c r="Q191" s="74"/>
      <c r="R191" s="86"/>
      <c r="S191" s="46">
        <v>0</v>
      </c>
      <c r="T191" s="46">
        <v>9</v>
      </c>
      <c r="U191" s="47">
        <v>442.5</v>
      </c>
      <c r="V191" s="47">
        <v>0.234361</v>
      </c>
      <c r="W191" s="47">
        <v>0.109269</v>
      </c>
      <c r="X191" s="47">
        <v>0.003191</v>
      </c>
      <c r="Y191" s="47">
        <v>0.2222222222222222</v>
      </c>
      <c r="Z191" s="47">
        <v>0</v>
      </c>
      <c r="AA191" s="69">
        <v>191</v>
      </c>
      <c r="AB191" s="69"/>
      <c r="AC191" s="70"/>
      <c r="AD191" s="76" t="s">
        <v>6053</v>
      </c>
      <c r="AE191" s="83" t="s">
        <v>6328</v>
      </c>
      <c r="AF191" s="76">
        <v>156</v>
      </c>
      <c r="AG191" s="76">
        <v>177</v>
      </c>
      <c r="AH191" s="76">
        <v>1401</v>
      </c>
      <c r="AI191" s="76">
        <v>0</v>
      </c>
      <c r="AJ191" s="76">
        <v>271</v>
      </c>
      <c r="AK191" s="76">
        <v>500</v>
      </c>
      <c r="AL191" s="76" t="b">
        <v>0</v>
      </c>
      <c r="AM191" s="78">
        <v>40163.95079861111</v>
      </c>
      <c r="AN191" s="76" t="s">
        <v>6551</v>
      </c>
      <c r="AO191" s="76" t="s">
        <v>6801</v>
      </c>
      <c r="AP191" s="82" t="str">
        <f>HYPERLINK("https://t.co/sdIvOQwkra")</f>
        <v>https://t.co/sdIvOQwkra</v>
      </c>
      <c r="AQ191" s="82" t="str">
        <f>HYPERLINK("https://www.allisoninwonderland.com/")</f>
        <v>https://www.allisoninwonderland.com/</v>
      </c>
      <c r="AR191" s="76" t="s">
        <v>7047</v>
      </c>
      <c r="AS191" s="76"/>
      <c r="AT191" s="76"/>
      <c r="AU191" s="76"/>
      <c r="AV191" s="76"/>
      <c r="AW191" s="82" t="str">
        <f>HYPERLINK("https://t.co/sdIvOQwkra")</f>
        <v>https://t.co/sdIvOQwkra</v>
      </c>
      <c r="AX191" s="76" t="b">
        <v>0</v>
      </c>
      <c r="AY191" s="76"/>
      <c r="AZ191" s="76"/>
      <c r="BA191" s="76" t="b">
        <v>0</v>
      </c>
      <c r="BB191" s="76" t="b">
        <v>1</v>
      </c>
      <c r="BC191" s="76" t="b">
        <v>0</v>
      </c>
      <c r="BD191" s="76" t="b">
        <v>0</v>
      </c>
      <c r="BE191" s="76" t="b">
        <v>0</v>
      </c>
      <c r="BF191" s="76" t="b">
        <v>0</v>
      </c>
      <c r="BG191" s="76" t="b">
        <v>0</v>
      </c>
      <c r="BH191" s="82" t="str">
        <f>HYPERLINK("https://pbs.twimg.com/profile_banners/97307104/1668690321")</f>
        <v>https://pbs.twimg.com/profile_banners/97307104/1668690321</v>
      </c>
      <c r="BI191" s="76"/>
      <c r="BJ191" s="76" t="s">
        <v>7188</v>
      </c>
      <c r="BK191" s="76" t="b">
        <v>0</v>
      </c>
      <c r="BL191" s="76"/>
      <c r="BM191" s="76" t="s">
        <v>66</v>
      </c>
      <c r="BN191" s="76" t="s">
        <v>7190</v>
      </c>
      <c r="BO191" s="82" t="str">
        <f>HYPERLINK("https://twitter.com/allifrye123")</f>
        <v>https://twitter.com/allifrye123</v>
      </c>
      <c r="BP191" s="46"/>
      <c r="BQ191" s="46"/>
      <c r="BR191" s="46"/>
      <c r="BS191" s="46"/>
      <c r="BT191" s="46"/>
      <c r="BU191" s="46"/>
      <c r="BV191" s="105" t="s">
        <v>7871</v>
      </c>
      <c r="BW191" s="105" t="s">
        <v>7871</v>
      </c>
      <c r="BX191" s="105" t="s">
        <v>8102</v>
      </c>
      <c r="BY191" s="105" t="s">
        <v>8102</v>
      </c>
      <c r="BZ191" s="2"/>
    </row>
    <row r="192" spans="1:78" ht="15">
      <c r="A192" s="62" t="s">
        <v>514</v>
      </c>
      <c r="B192" s="63"/>
      <c r="C192" s="63"/>
      <c r="D192" s="64"/>
      <c r="E192" s="66"/>
      <c r="F192" s="100" t="str">
        <f>HYPERLINK("https://pbs.twimg.com/profile_images/1338395359752679424/_0rznfry_normal.jpg")</f>
        <v>https://pbs.twimg.com/profile_images/1338395359752679424/_0rznfry_normal.jpg</v>
      </c>
      <c r="G192" s="63"/>
      <c r="H192" s="67"/>
      <c r="I192" s="68"/>
      <c r="J192" s="68"/>
      <c r="K192" s="67" t="s">
        <v>7379</v>
      </c>
      <c r="L192" s="71"/>
      <c r="M192" s="72">
        <v>5385.7783203125</v>
      </c>
      <c r="N192" s="72">
        <v>7364.34375</v>
      </c>
      <c r="O192" s="73"/>
      <c r="P192" s="74"/>
      <c r="Q192" s="74"/>
      <c r="R192" s="86"/>
      <c r="S192" s="46">
        <v>4</v>
      </c>
      <c r="T192" s="46">
        <v>0</v>
      </c>
      <c r="U192" s="47">
        <v>0.222222</v>
      </c>
      <c r="V192" s="47">
        <v>0.168599</v>
      </c>
      <c r="W192" s="47">
        <v>0.043489</v>
      </c>
      <c r="X192" s="47">
        <v>0.002651</v>
      </c>
      <c r="Y192" s="47">
        <v>0.6666666666666666</v>
      </c>
      <c r="Z192" s="47">
        <v>0</v>
      </c>
      <c r="AA192" s="69">
        <v>192</v>
      </c>
      <c r="AB192" s="69"/>
      <c r="AC192" s="70"/>
      <c r="AD192" s="76" t="s">
        <v>6054</v>
      </c>
      <c r="AE192" s="83" t="s">
        <v>6329</v>
      </c>
      <c r="AF192" s="76">
        <v>86</v>
      </c>
      <c r="AG192" s="76">
        <v>177</v>
      </c>
      <c r="AH192" s="76">
        <v>548</v>
      </c>
      <c r="AI192" s="76">
        <v>0</v>
      </c>
      <c r="AJ192" s="76">
        <v>721</v>
      </c>
      <c r="AK192" s="76">
        <v>181</v>
      </c>
      <c r="AL192" s="76" t="b">
        <v>0</v>
      </c>
      <c r="AM192" s="78">
        <v>41591.460127314815</v>
      </c>
      <c r="AN192" s="76" t="s">
        <v>6552</v>
      </c>
      <c r="AO192" s="76" t="s">
        <v>6802</v>
      </c>
      <c r="AP192" s="82" t="str">
        <f>HYPERLINK("https://t.co/tHOIkWXYP3")</f>
        <v>https://t.co/tHOIkWXYP3</v>
      </c>
      <c r="AQ192" s="82" t="str">
        <f>HYPERLINK("https://ethanetechnologies.com")</f>
        <v>https://ethanetechnologies.com</v>
      </c>
      <c r="AR192" s="76" t="s">
        <v>7048</v>
      </c>
      <c r="AS192" s="76"/>
      <c r="AT192" s="76"/>
      <c r="AU192" s="76"/>
      <c r="AV192" s="76"/>
      <c r="AW192" s="82" t="str">
        <f>HYPERLINK("https://t.co/tHOIkWXYP3")</f>
        <v>https://t.co/tHOIkWXYP3</v>
      </c>
      <c r="AX192" s="76" t="b">
        <v>0</v>
      </c>
      <c r="AY192" s="76"/>
      <c r="AZ192" s="76"/>
      <c r="BA192" s="76" t="b">
        <v>0</v>
      </c>
      <c r="BB192" s="76" t="b">
        <v>1</v>
      </c>
      <c r="BC192" s="76" t="b">
        <v>0</v>
      </c>
      <c r="BD192" s="76" t="b">
        <v>0</v>
      </c>
      <c r="BE192" s="76" t="b">
        <v>0</v>
      </c>
      <c r="BF192" s="76" t="b">
        <v>0</v>
      </c>
      <c r="BG192" s="76" t="b">
        <v>0</v>
      </c>
      <c r="BH192" s="82" t="str">
        <f>HYPERLINK("https://pbs.twimg.com/profile_banners/2192102106/1689750452")</f>
        <v>https://pbs.twimg.com/profile_banners/2192102106/1689750452</v>
      </c>
      <c r="BI192" s="76"/>
      <c r="BJ192" s="76" t="s">
        <v>7188</v>
      </c>
      <c r="BK192" s="76" t="b">
        <v>0</v>
      </c>
      <c r="BL192" s="76"/>
      <c r="BM192" s="76" t="s">
        <v>65</v>
      </c>
      <c r="BN192" s="76" t="s">
        <v>7190</v>
      </c>
      <c r="BO192" s="82" t="str">
        <f>HYPERLINK("https://twitter.com/ethanewebtech")</f>
        <v>https://twitter.com/ethanewebtech</v>
      </c>
      <c r="BP192" s="46"/>
      <c r="BQ192" s="46"/>
      <c r="BR192" s="46"/>
      <c r="BS192" s="46"/>
      <c r="BT192" s="46"/>
      <c r="BU192" s="46"/>
      <c r="BV192" s="46"/>
      <c r="BW192" s="46"/>
      <c r="BX192" s="46"/>
      <c r="BY192" s="46"/>
      <c r="BZ192" s="2"/>
    </row>
    <row r="193" spans="1:78" ht="15">
      <c r="A193" s="62" t="s">
        <v>515</v>
      </c>
      <c r="B193" s="63"/>
      <c r="C193" s="63"/>
      <c r="D193" s="64"/>
      <c r="E193" s="66"/>
      <c r="F193" s="100" t="str">
        <f>HYPERLINK("https://pbs.twimg.com/profile_images/636271519677571076/4gXj5TAo_normal.png")</f>
        <v>https://pbs.twimg.com/profile_images/636271519677571076/4gXj5TAo_normal.png</v>
      </c>
      <c r="G193" s="63"/>
      <c r="H193" s="67"/>
      <c r="I193" s="68"/>
      <c r="J193" s="68"/>
      <c r="K193" s="67" t="s">
        <v>7380</v>
      </c>
      <c r="L193" s="71"/>
      <c r="M193" s="72">
        <v>5412.41796875</v>
      </c>
      <c r="N193" s="72">
        <v>7510.7763671875</v>
      </c>
      <c r="O193" s="73"/>
      <c r="P193" s="74"/>
      <c r="Q193" s="74"/>
      <c r="R193" s="86"/>
      <c r="S193" s="46">
        <v>4</v>
      </c>
      <c r="T193" s="46">
        <v>0</v>
      </c>
      <c r="U193" s="47">
        <v>0.222222</v>
      </c>
      <c r="V193" s="47">
        <v>0.168599</v>
      </c>
      <c r="W193" s="47">
        <v>0.043489</v>
      </c>
      <c r="X193" s="47">
        <v>0.002651</v>
      </c>
      <c r="Y193" s="47">
        <v>0.6666666666666666</v>
      </c>
      <c r="Z193" s="47">
        <v>0</v>
      </c>
      <c r="AA193" s="69">
        <v>193</v>
      </c>
      <c r="AB193" s="69"/>
      <c r="AC193" s="70"/>
      <c r="AD193" s="76" t="s">
        <v>6055</v>
      </c>
      <c r="AE193" s="83" t="s">
        <v>6330</v>
      </c>
      <c r="AF193" s="76">
        <v>2153</v>
      </c>
      <c r="AG193" s="76">
        <v>11</v>
      </c>
      <c r="AH193" s="76">
        <v>9159</v>
      </c>
      <c r="AI193" s="76">
        <v>426</v>
      </c>
      <c r="AJ193" s="76">
        <v>2594</v>
      </c>
      <c r="AK193" s="76">
        <v>1222</v>
      </c>
      <c r="AL193" s="76" t="b">
        <v>0</v>
      </c>
      <c r="AM193" s="78">
        <v>40094.58226851852</v>
      </c>
      <c r="AN193" s="76" t="s">
        <v>6495</v>
      </c>
      <c r="AO193" s="76" t="s">
        <v>6803</v>
      </c>
      <c r="AP193" s="82" t="str">
        <f>HYPERLINK("http://t.co/eBy3pLrGZM")</f>
        <v>http://t.co/eBy3pLrGZM</v>
      </c>
      <c r="AQ193" s="82" t="str">
        <f>HYPERLINK("http://www.perfectsearchmedia.com")</f>
        <v>http://www.perfectsearchmedia.com</v>
      </c>
      <c r="AR193" s="76" t="s">
        <v>7049</v>
      </c>
      <c r="AS193" s="76"/>
      <c r="AT193" s="76"/>
      <c r="AU193" s="76"/>
      <c r="AV193" s="76">
        <v>1.66470128615831E+18</v>
      </c>
      <c r="AW193" s="82" t="str">
        <f>HYPERLINK("http://t.co/eBy3pLrGZM")</f>
        <v>http://t.co/eBy3pLrGZM</v>
      </c>
      <c r="AX193" s="76" t="b">
        <v>0</v>
      </c>
      <c r="AY193" s="76"/>
      <c r="AZ193" s="76"/>
      <c r="BA193" s="76" t="b">
        <v>0</v>
      </c>
      <c r="BB193" s="76" t="b">
        <v>1</v>
      </c>
      <c r="BC193" s="76" t="b">
        <v>0</v>
      </c>
      <c r="BD193" s="76" t="b">
        <v>0</v>
      </c>
      <c r="BE193" s="76" t="b">
        <v>1</v>
      </c>
      <c r="BF193" s="76" t="b">
        <v>0</v>
      </c>
      <c r="BG193" s="76" t="b">
        <v>0</v>
      </c>
      <c r="BH193" s="82" t="str">
        <f>HYPERLINK("https://pbs.twimg.com/profile_banners/80854249/1452538752")</f>
        <v>https://pbs.twimg.com/profile_banners/80854249/1452538752</v>
      </c>
      <c r="BI193" s="76"/>
      <c r="BJ193" s="76" t="s">
        <v>7189</v>
      </c>
      <c r="BK193" s="76" t="b">
        <v>0</v>
      </c>
      <c r="BL193" s="76"/>
      <c r="BM193" s="76" t="s">
        <v>65</v>
      </c>
      <c r="BN193" s="76" t="s">
        <v>7190</v>
      </c>
      <c r="BO193" s="82" t="str">
        <f>HYPERLINK("https://twitter.com/perfect_search")</f>
        <v>https://twitter.com/perfect_search</v>
      </c>
      <c r="BP193" s="46"/>
      <c r="BQ193" s="46"/>
      <c r="BR193" s="46"/>
      <c r="BS193" s="46"/>
      <c r="BT193" s="46"/>
      <c r="BU193" s="46"/>
      <c r="BV193" s="46"/>
      <c r="BW193" s="46"/>
      <c r="BX193" s="46"/>
      <c r="BY193" s="46"/>
      <c r="BZ193" s="2"/>
    </row>
    <row r="194" spans="1:78" ht="15">
      <c r="A194" s="62" t="s">
        <v>516</v>
      </c>
      <c r="B194" s="63"/>
      <c r="C194" s="63"/>
      <c r="D194" s="64"/>
      <c r="E194" s="66"/>
      <c r="F194" s="100" t="str">
        <f>HYPERLINK("https://pbs.twimg.com/profile_images/780739870553538560/wK_Bm-OE_normal.jpg")</f>
        <v>https://pbs.twimg.com/profile_images/780739870553538560/wK_Bm-OE_normal.jpg</v>
      </c>
      <c r="G194" s="63"/>
      <c r="H194" s="67"/>
      <c r="I194" s="68"/>
      <c r="J194" s="68"/>
      <c r="K194" s="67" t="s">
        <v>7381</v>
      </c>
      <c r="L194" s="71"/>
      <c r="M194" s="72">
        <v>5439.0576171875</v>
      </c>
      <c r="N194" s="72">
        <v>7653.95263671875</v>
      </c>
      <c r="O194" s="73"/>
      <c r="P194" s="74"/>
      <c r="Q194" s="74"/>
      <c r="R194" s="86"/>
      <c r="S194" s="46">
        <v>4</v>
      </c>
      <c r="T194" s="46">
        <v>0</v>
      </c>
      <c r="U194" s="47">
        <v>0.222222</v>
      </c>
      <c r="V194" s="47">
        <v>0.168599</v>
      </c>
      <c r="W194" s="47">
        <v>0.043489</v>
      </c>
      <c r="X194" s="47">
        <v>0.002651</v>
      </c>
      <c r="Y194" s="47">
        <v>0.6666666666666666</v>
      </c>
      <c r="Z194" s="47">
        <v>0</v>
      </c>
      <c r="AA194" s="69">
        <v>194</v>
      </c>
      <c r="AB194" s="69"/>
      <c r="AC194" s="70"/>
      <c r="AD194" s="76" t="s">
        <v>6056</v>
      </c>
      <c r="AE194" s="83" t="s">
        <v>6331</v>
      </c>
      <c r="AF194" s="76">
        <v>4391</v>
      </c>
      <c r="AG194" s="76">
        <v>27</v>
      </c>
      <c r="AH194" s="76">
        <v>11748</v>
      </c>
      <c r="AI194" s="76">
        <v>341</v>
      </c>
      <c r="AJ194" s="76">
        <v>229</v>
      </c>
      <c r="AK194" s="76">
        <v>86</v>
      </c>
      <c r="AL194" s="76" t="b">
        <v>0</v>
      </c>
      <c r="AM194" s="78">
        <v>39986.58173611111</v>
      </c>
      <c r="AN194" s="76" t="s">
        <v>6553</v>
      </c>
      <c r="AO194" s="76" t="s">
        <v>6804</v>
      </c>
      <c r="AP194" s="82" t="str">
        <f>HYPERLINK("http://t.co/tP9KaflWm8")</f>
        <v>http://t.co/tP9KaflWm8</v>
      </c>
      <c r="AQ194" s="82" t="str">
        <f>HYPERLINK("http://www.straightnorth.com")</f>
        <v>http://www.straightnorth.com</v>
      </c>
      <c r="AR194" s="76" t="s">
        <v>7050</v>
      </c>
      <c r="AS194" s="76"/>
      <c r="AT194" s="76"/>
      <c r="AU194" s="76"/>
      <c r="AV194" s="76"/>
      <c r="AW194" s="82" t="str">
        <f>HYPERLINK("http://t.co/tP9KaflWm8")</f>
        <v>http://t.co/tP9KaflWm8</v>
      </c>
      <c r="AX194" s="76" t="b">
        <v>1</v>
      </c>
      <c r="AY194" s="76"/>
      <c r="AZ194" s="76"/>
      <c r="BA194" s="76" t="b">
        <v>0</v>
      </c>
      <c r="BB194" s="76" t="b">
        <v>1</v>
      </c>
      <c r="BC194" s="76" t="b">
        <v>0</v>
      </c>
      <c r="BD194" s="76" t="b">
        <v>0</v>
      </c>
      <c r="BE194" s="76" t="b">
        <v>0</v>
      </c>
      <c r="BF194" s="76" t="b">
        <v>0</v>
      </c>
      <c r="BG194" s="76" t="b">
        <v>0</v>
      </c>
      <c r="BH194" s="82" t="str">
        <f>HYPERLINK("https://pbs.twimg.com/profile_banners/49634971/1477679237")</f>
        <v>https://pbs.twimg.com/profile_banners/49634971/1477679237</v>
      </c>
      <c r="BI194" s="76"/>
      <c r="BJ194" s="76" t="s">
        <v>7188</v>
      </c>
      <c r="BK194" s="76" t="b">
        <v>0</v>
      </c>
      <c r="BL194" s="76"/>
      <c r="BM194" s="76" t="s">
        <v>65</v>
      </c>
      <c r="BN194" s="76" t="s">
        <v>7190</v>
      </c>
      <c r="BO194" s="82" t="str">
        <f>HYPERLINK("https://twitter.com/straightnorth")</f>
        <v>https://twitter.com/straightnorth</v>
      </c>
      <c r="BP194" s="46"/>
      <c r="BQ194" s="46"/>
      <c r="BR194" s="46"/>
      <c r="BS194" s="46"/>
      <c r="BT194" s="46"/>
      <c r="BU194" s="46"/>
      <c r="BV194" s="46"/>
      <c r="BW194" s="46"/>
      <c r="BX194" s="46"/>
      <c r="BY194" s="46"/>
      <c r="BZ194" s="2"/>
    </row>
    <row r="195" spans="1:78" ht="15">
      <c r="A195" s="62" t="s">
        <v>517</v>
      </c>
      <c r="B195" s="63"/>
      <c r="C195" s="63"/>
      <c r="D195" s="64"/>
      <c r="E195" s="66"/>
      <c r="F195" s="100" t="str">
        <f>HYPERLINK("https://pbs.twimg.com/profile_images/1112006815737434114/ZSIT6UiS_normal.png")</f>
        <v>https://pbs.twimg.com/profile_images/1112006815737434114/ZSIT6UiS_normal.png</v>
      </c>
      <c r="G195" s="63"/>
      <c r="H195" s="67"/>
      <c r="I195" s="68"/>
      <c r="J195" s="68"/>
      <c r="K195" s="67" t="s">
        <v>7382</v>
      </c>
      <c r="L195" s="71"/>
      <c r="M195" s="72">
        <v>5465.69775390625</v>
      </c>
      <c r="N195" s="72">
        <v>7793.68896484375</v>
      </c>
      <c r="O195" s="73"/>
      <c r="P195" s="74"/>
      <c r="Q195" s="74"/>
      <c r="R195" s="86"/>
      <c r="S195" s="46">
        <v>4</v>
      </c>
      <c r="T195" s="46">
        <v>0</v>
      </c>
      <c r="U195" s="47">
        <v>0.222222</v>
      </c>
      <c r="V195" s="47">
        <v>0.168599</v>
      </c>
      <c r="W195" s="47">
        <v>0.043489</v>
      </c>
      <c r="X195" s="47">
        <v>0.002651</v>
      </c>
      <c r="Y195" s="47">
        <v>0.6666666666666666</v>
      </c>
      <c r="Z195" s="47">
        <v>0</v>
      </c>
      <c r="AA195" s="69">
        <v>195</v>
      </c>
      <c r="AB195" s="69"/>
      <c r="AC195" s="70"/>
      <c r="AD195" s="76" t="s">
        <v>6057</v>
      </c>
      <c r="AE195" s="83" t="s">
        <v>6332</v>
      </c>
      <c r="AF195" s="76">
        <v>1111</v>
      </c>
      <c r="AG195" s="76">
        <v>770</v>
      </c>
      <c r="AH195" s="76">
        <v>5559</v>
      </c>
      <c r="AI195" s="76">
        <v>103</v>
      </c>
      <c r="AJ195" s="76">
        <v>461</v>
      </c>
      <c r="AK195" s="76">
        <v>2170</v>
      </c>
      <c r="AL195" s="76" t="b">
        <v>0</v>
      </c>
      <c r="AM195" s="78">
        <v>41735.08861111111</v>
      </c>
      <c r="AN195" s="76" t="s">
        <v>6554</v>
      </c>
      <c r="AO195" s="76" t="s">
        <v>6805</v>
      </c>
      <c r="AP195" s="76"/>
      <c r="AQ195" s="76"/>
      <c r="AR195" s="76"/>
      <c r="AS195" s="76"/>
      <c r="AT195" s="76"/>
      <c r="AU195" s="76"/>
      <c r="AV195" s="76"/>
      <c r="AW195" s="76"/>
      <c r="AX195" s="76" t="b">
        <v>1</v>
      </c>
      <c r="AY195" s="76"/>
      <c r="AZ195" s="76"/>
      <c r="BA195" s="76" t="b">
        <v>0</v>
      </c>
      <c r="BB195" s="76" t="b">
        <v>1</v>
      </c>
      <c r="BC195" s="76" t="b">
        <v>0</v>
      </c>
      <c r="BD195" s="76" t="b">
        <v>0</v>
      </c>
      <c r="BE195" s="76" t="b">
        <v>0</v>
      </c>
      <c r="BF195" s="76" t="b">
        <v>0</v>
      </c>
      <c r="BG195" s="76" t="b">
        <v>0</v>
      </c>
      <c r="BH195" s="82" t="str">
        <f>HYPERLINK("https://pbs.twimg.com/profile_banners/2429718336/1556758375")</f>
        <v>https://pbs.twimg.com/profile_banners/2429718336/1556758375</v>
      </c>
      <c r="BI195" s="76"/>
      <c r="BJ195" s="76" t="s">
        <v>7188</v>
      </c>
      <c r="BK195" s="76" t="b">
        <v>0</v>
      </c>
      <c r="BL195" s="76"/>
      <c r="BM195" s="76" t="s">
        <v>65</v>
      </c>
      <c r="BN195" s="76" t="s">
        <v>7190</v>
      </c>
      <c r="BO195" s="82" t="str">
        <f>HYPERLINK("https://twitter.com/digitlresource")</f>
        <v>https://twitter.com/digitlresource</v>
      </c>
      <c r="BP195" s="46"/>
      <c r="BQ195" s="46"/>
      <c r="BR195" s="46"/>
      <c r="BS195" s="46"/>
      <c r="BT195" s="46"/>
      <c r="BU195" s="46"/>
      <c r="BV195" s="46"/>
      <c r="BW195" s="46"/>
      <c r="BX195" s="46"/>
      <c r="BY195" s="46"/>
      <c r="BZ195" s="2"/>
    </row>
    <row r="196" spans="1:78" ht="15">
      <c r="A196" s="62" t="s">
        <v>518</v>
      </c>
      <c r="B196" s="63"/>
      <c r="C196" s="63"/>
      <c r="D196" s="64"/>
      <c r="E196" s="66"/>
      <c r="F196" s="100" t="str">
        <f>HYPERLINK("https://pbs.twimg.com/profile_images/1207303082855538688/elZSbhW8_normal.jpg")</f>
        <v>https://pbs.twimg.com/profile_images/1207303082855538688/elZSbhW8_normal.jpg</v>
      </c>
      <c r="G196" s="63"/>
      <c r="H196" s="67"/>
      <c r="I196" s="68"/>
      <c r="J196" s="68"/>
      <c r="K196" s="67" t="s">
        <v>7383</v>
      </c>
      <c r="L196" s="71"/>
      <c r="M196" s="72">
        <v>5492.337890625</v>
      </c>
      <c r="N196" s="72">
        <v>7929.80224609375</v>
      </c>
      <c r="O196" s="73"/>
      <c r="P196" s="74"/>
      <c r="Q196" s="74"/>
      <c r="R196" s="86"/>
      <c r="S196" s="46">
        <v>4</v>
      </c>
      <c r="T196" s="46">
        <v>0</v>
      </c>
      <c r="U196" s="47">
        <v>0.222222</v>
      </c>
      <c r="V196" s="47">
        <v>0.168599</v>
      </c>
      <c r="W196" s="47">
        <v>0.043489</v>
      </c>
      <c r="X196" s="47">
        <v>0.002651</v>
      </c>
      <c r="Y196" s="47">
        <v>0.6666666666666666</v>
      </c>
      <c r="Z196" s="47">
        <v>0</v>
      </c>
      <c r="AA196" s="69">
        <v>196</v>
      </c>
      <c r="AB196" s="69"/>
      <c r="AC196" s="70"/>
      <c r="AD196" s="76" t="s">
        <v>6058</v>
      </c>
      <c r="AE196" s="83" t="s">
        <v>6333</v>
      </c>
      <c r="AF196" s="76">
        <v>2779</v>
      </c>
      <c r="AG196" s="76">
        <v>968</v>
      </c>
      <c r="AH196" s="76">
        <v>6653</v>
      </c>
      <c r="AI196" s="76">
        <v>532</v>
      </c>
      <c r="AJ196" s="76">
        <v>29028</v>
      </c>
      <c r="AK196" s="76">
        <v>1954</v>
      </c>
      <c r="AL196" s="76" t="b">
        <v>0</v>
      </c>
      <c r="AM196" s="78">
        <v>39917.70927083334</v>
      </c>
      <c r="AN196" s="76" t="s">
        <v>6469</v>
      </c>
      <c r="AO196" s="76" t="s">
        <v>6806</v>
      </c>
      <c r="AP196" s="82" t="str">
        <f>HYPERLINK("https://t.co/VEJQ2Bb0YN")</f>
        <v>https://t.co/VEJQ2Bb0YN</v>
      </c>
      <c r="AQ196" s="82" t="str">
        <f>HYPERLINK("http://www.digivate.com")</f>
        <v>http://www.digivate.com</v>
      </c>
      <c r="AR196" s="76" t="s">
        <v>7051</v>
      </c>
      <c r="AS196" s="76"/>
      <c r="AT196" s="76"/>
      <c r="AU196" s="76"/>
      <c r="AV196" s="76"/>
      <c r="AW196" s="82" t="str">
        <f>HYPERLINK("https://t.co/VEJQ2Bb0YN")</f>
        <v>https://t.co/VEJQ2Bb0YN</v>
      </c>
      <c r="AX196" s="76" t="b">
        <v>0</v>
      </c>
      <c r="AY196" s="76"/>
      <c r="AZ196" s="76"/>
      <c r="BA196" s="76" t="b">
        <v>0</v>
      </c>
      <c r="BB196" s="76" t="b">
        <v>1</v>
      </c>
      <c r="BC196" s="76" t="b">
        <v>0</v>
      </c>
      <c r="BD196" s="76" t="b">
        <v>0</v>
      </c>
      <c r="BE196" s="76" t="b">
        <v>1</v>
      </c>
      <c r="BF196" s="76" t="b">
        <v>0</v>
      </c>
      <c r="BG196" s="76" t="b">
        <v>0</v>
      </c>
      <c r="BH196" s="82" t="str">
        <f>HYPERLINK("https://pbs.twimg.com/profile_banners/31167477/1576678495")</f>
        <v>https://pbs.twimg.com/profile_banners/31167477/1576678495</v>
      </c>
      <c r="BI196" s="76"/>
      <c r="BJ196" s="76" t="s">
        <v>7188</v>
      </c>
      <c r="BK196" s="76" t="b">
        <v>0</v>
      </c>
      <c r="BL196" s="76"/>
      <c r="BM196" s="76" t="s">
        <v>65</v>
      </c>
      <c r="BN196" s="76" t="s">
        <v>7190</v>
      </c>
      <c r="BO196" s="82" t="str">
        <f>HYPERLINK("https://twitter.com/digivate")</f>
        <v>https://twitter.com/digivate</v>
      </c>
      <c r="BP196" s="46"/>
      <c r="BQ196" s="46"/>
      <c r="BR196" s="46"/>
      <c r="BS196" s="46"/>
      <c r="BT196" s="46"/>
      <c r="BU196" s="46"/>
      <c r="BV196" s="46"/>
      <c r="BW196" s="46"/>
      <c r="BX196" s="46"/>
      <c r="BY196" s="46"/>
      <c r="BZ196" s="2"/>
    </row>
    <row r="197" spans="1:78" ht="15">
      <c r="A197" s="62" t="s">
        <v>519</v>
      </c>
      <c r="B197" s="63"/>
      <c r="C197" s="63"/>
      <c r="D197" s="64"/>
      <c r="E197" s="66"/>
      <c r="F197" s="100" t="str">
        <f>HYPERLINK("https://pbs.twimg.com/profile_images/1156351721934864384/sFjM4oly_normal.jpg")</f>
        <v>https://pbs.twimg.com/profile_images/1156351721934864384/sFjM4oly_normal.jpg</v>
      </c>
      <c r="G197" s="63"/>
      <c r="H197" s="67"/>
      <c r="I197" s="68"/>
      <c r="J197" s="68"/>
      <c r="K197" s="67" t="s">
        <v>7384</v>
      </c>
      <c r="L197" s="71"/>
      <c r="M197" s="72">
        <v>5518.9775390625</v>
      </c>
      <c r="N197" s="72">
        <v>8062.11767578125</v>
      </c>
      <c r="O197" s="73"/>
      <c r="P197" s="74"/>
      <c r="Q197" s="74"/>
      <c r="R197" s="86"/>
      <c r="S197" s="46">
        <v>4</v>
      </c>
      <c r="T197" s="46">
        <v>0</v>
      </c>
      <c r="U197" s="47">
        <v>0.222222</v>
      </c>
      <c r="V197" s="47">
        <v>0.168599</v>
      </c>
      <c r="W197" s="47">
        <v>0.043489</v>
      </c>
      <c r="X197" s="47">
        <v>0.002651</v>
      </c>
      <c r="Y197" s="47">
        <v>0.6666666666666666</v>
      </c>
      <c r="Z197" s="47">
        <v>0</v>
      </c>
      <c r="AA197" s="69">
        <v>197</v>
      </c>
      <c r="AB197" s="69"/>
      <c r="AC197" s="70"/>
      <c r="AD197" s="76" t="s">
        <v>6059</v>
      </c>
      <c r="AE197" s="83" t="s">
        <v>6334</v>
      </c>
      <c r="AF197" s="76">
        <v>556</v>
      </c>
      <c r="AG197" s="76">
        <v>470</v>
      </c>
      <c r="AH197" s="76">
        <v>656</v>
      </c>
      <c r="AI197" s="76">
        <v>19</v>
      </c>
      <c r="AJ197" s="76">
        <v>362</v>
      </c>
      <c r="AK197" s="76">
        <v>421</v>
      </c>
      <c r="AL197" s="76" t="b">
        <v>0</v>
      </c>
      <c r="AM197" s="78">
        <v>41142.874398148146</v>
      </c>
      <c r="AN197" s="76" t="s">
        <v>6555</v>
      </c>
      <c r="AO197" s="76" t="s">
        <v>6807</v>
      </c>
      <c r="AP197" s="82" t="str">
        <f>HYPERLINK("http://t.co/8TXWV1XH6c")</f>
        <v>http://t.co/8TXWV1XH6c</v>
      </c>
      <c r="AQ197" s="82" t="str">
        <f>HYPERLINK("http://dashtwo.com")</f>
        <v>http://dashtwo.com</v>
      </c>
      <c r="AR197" s="76" t="s">
        <v>7052</v>
      </c>
      <c r="AS197" s="76"/>
      <c r="AT197" s="76"/>
      <c r="AU197" s="76"/>
      <c r="AV197" s="76"/>
      <c r="AW197" s="82" t="str">
        <f>HYPERLINK("http://t.co/8TXWV1XH6c")</f>
        <v>http://t.co/8TXWV1XH6c</v>
      </c>
      <c r="AX197" s="76" t="b">
        <v>0</v>
      </c>
      <c r="AY197" s="76"/>
      <c r="AZ197" s="76"/>
      <c r="BA197" s="76" t="b">
        <v>0</v>
      </c>
      <c r="BB197" s="76" t="b">
        <v>1</v>
      </c>
      <c r="BC197" s="76" t="b">
        <v>0</v>
      </c>
      <c r="BD197" s="76" t="b">
        <v>0</v>
      </c>
      <c r="BE197" s="76" t="b">
        <v>0</v>
      </c>
      <c r="BF197" s="76" t="b">
        <v>0</v>
      </c>
      <c r="BG197" s="76" t="b">
        <v>0</v>
      </c>
      <c r="BH197" s="82" t="str">
        <f>HYPERLINK("https://pbs.twimg.com/profile_banners/772247166/1564530711")</f>
        <v>https://pbs.twimg.com/profile_banners/772247166/1564530711</v>
      </c>
      <c r="BI197" s="76"/>
      <c r="BJ197" s="76" t="s">
        <v>7188</v>
      </c>
      <c r="BK197" s="76" t="b">
        <v>0</v>
      </c>
      <c r="BL197" s="76"/>
      <c r="BM197" s="76" t="s">
        <v>65</v>
      </c>
      <c r="BN197" s="76" t="s">
        <v>7190</v>
      </c>
      <c r="BO197" s="82" t="str">
        <f>HYPERLINK("https://twitter.com/dashtwo")</f>
        <v>https://twitter.com/dashtwo</v>
      </c>
      <c r="BP197" s="46"/>
      <c r="BQ197" s="46"/>
      <c r="BR197" s="46"/>
      <c r="BS197" s="46"/>
      <c r="BT197" s="46"/>
      <c r="BU197" s="46"/>
      <c r="BV197" s="46"/>
      <c r="BW197" s="46"/>
      <c r="BX197" s="46"/>
      <c r="BY197" s="46"/>
      <c r="BZ197" s="2"/>
    </row>
    <row r="198" spans="1:78" ht="15">
      <c r="A198" s="62" t="s">
        <v>350</v>
      </c>
      <c r="B198" s="63"/>
      <c r="C198" s="63"/>
      <c r="D198" s="64"/>
      <c r="E198" s="66"/>
      <c r="F198" s="100" t="str">
        <f>HYPERLINK("https://pbs.twimg.com/profile_images/1637868337458733056/ttqXG4C6_normal.jpg")</f>
        <v>https://pbs.twimg.com/profile_images/1637868337458733056/ttqXG4C6_normal.jpg</v>
      </c>
      <c r="G198" s="63"/>
      <c r="H198" s="67"/>
      <c r="I198" s="68"/>
      <c r="J198" s="68"/>
      <c r="K198" s="67" t="s">
        <v>7385</v>
      </c>
      <c r="L198" s="71"/>
      <c r="M198" s="72">
        <v>5545.6171875</v>
      </c>
      <c r="N198" s="72">
        <v>8190.4619140625</v>
      </c>
      <c r="O198" s="73"/>
      <c r="P198" s="74"/>
      <c r="Q198" s="74"/>
      <c r="R198" s="86"/>
      <c r="S198" s="46">
        <v>3</v>
      </c>
      <c r="T198" s="46">
        <v>9</v>
      </c>
      <c r="U198" s="47">
        <v>442.722222</v>
      </c>
      <c r="V198" s="47">
        <v>0.234976</v>
      </c>
      <c r="W198" s="47">
        <v>0.118157</v>
      </c>
      <c r="X198" s="47">
        <v>0.003248</v>
      </c>
      <c r="Y198" s="47">
        <v>0.26666666666666666</v>
      </c>
      <c r="Z198" s="47">
        <v>0.2</v>
      </c>
      <c r="AA198" s="69">
        <v>198</v>
      </c>
      <c r="AB198" s="69"/>
      <c r="AC198" s="70"/>
      <c r="AD198" s="76" t="s">
        <v>6060</v>
      </c>
      <c r="AE198" s="83" t="s">
        <v>6335</v>
      </c>
      <c r="AF198" s="76">
        <v>1179</v>
      </c>
      <c r="AG198" s="76">
        <v>1809</v>
      </c>
      <c r="AH198" s="76">
        <v>845</v>
      </c>
      <c r="AI198" s="76">
        <v>92</v>
      </c>
      <c r="AJ198" s="76">
        <v>80</v>
      </c>
      <c r="AK198" s="76">
        <v>165</v>
      </c>
      <c r="AL198" s="76" t="b">
        <v>0</v>
      </c>
      <c r="AM198" s="78">
        <v>39975.62125</v>
      </c>
      <c r="AN198" s="76" t="s">
        <v>6556</v>
      </c>
      <c r="AO198" s="76" t="s">
        <v>6808</v>
      </c>
      <c r="AP198" s="82" t="str">
        <f>HYPERLINK("https://t.co/jPiUNgzmda")</f>
        <v>https://t.co/jPiUNgzmda</v>
      </c>
      <c r="AQ198" s="82" t="str">
        <f>HYPERLINK("https://www.leverinteractive.com/")</f>
        <v>https://www.leverinteractive.com/</v>
      </c>
      <c r="AR198" s="76" t="s">
        <v>7053</v>
      </c>
      <c r="AS198" s="76"/>
      <c r="AT198" s="76"/>
      <c r="AU198" s="76"/>
      <c r="AV198" s="76"/>
      <c r="AW198" s="82" t="str">
        <f>HYPERLINK("https://t.co/jPiUNgzmda")</f>
        <v>https://t.co/jPiUNgzmda</v>
      </c>
      <c r="AX198" s="76" t="b">
        <v>0</v>
      </c>
      <c r="AY198" s="76"/>
      <c r="AZ198" s="76"/>
      <c r="BA198" s="76" t="b">
        <v>0</v>
      </c>
      <c r="BB198" s="76" t="b">
        <v>1</v>
      </c>
      <c r="BC198" s="76" t="b">
        <v>0</v>
      </c>
      <c r="BD198" s="76" t="b">
        <v>0</v>
      </c>
      <c r="BE198" s="76" t="b">
        <v>0</v>
      </c>
      <c r="BF198" s="76" t="b">
        <v>0</v>
      </c>
      <c r="BG198" s="76" t="b">
        <v>0</v>
      </c>
      <c r="BH198" s="82" t="str">
        <f>HYPERLINK("https://pbs.twimg.com/profile_banners/46403338/1679333217")</f>
        <v>https://pbs.twimg.com/profile_banners/46403338/1679333217</v>
      </c>
      <c r="BI198" s="76"/>
      <c r="BJ198" s="76" t="s">
        <v>7188</v>
      </c>
      <c r="BK198" s="76" t="b">
        <v>0</v>
      </c>
      <c r="BL198" s="76"/>
      <c r="BM198" s="76" t="s">
        <v>66</v>
      </c>
      <c r="BN198" s="76" t="s">
        <v>7190</v>
      </c>
      <c r="BO198" s="82" t="str">
        <f>HYPERLINK("https://twitter.com/leveronline")</f>
        <v>https://twitter.com/leveronline</v>
      </c>
      <c r="BP198" s="46"/>
      <c r="BQ198" s="46"/>
      <c r="BR198" s="46"/>
      <c r="BS198" s="46"/>
      <c r="BT198" s="46"/>
      <c r="BU198" s="46"/>
      <c r="BV198" s="105" t="s">
        <v>7872</v>
      </c>
      <c r="BW198" s="105" t="s">
        <v>7872</v>
      </c>
      <c r="BX198" s="105" t="s">
        <v>8103</v>
      </c>
      <c r="BY198" s="105" t="s">
        <v>8103</v>
      </c>
      <c r="BZ198" s="2"/>
    </row>
    <row r="199" spans="1:78" ht="15">
      <c r="A199" s="62" t="s">
        <v>317</v>
      </c>
      <c r="B199" s="63"/>
      <c r="C199" s="63"/>
      <c r="D199" s="64"/>
      <c r="E199" s="66"/>
      <c r="F199" s="100" t="str">
        <f>HYPERLINK("https://pbs.twimg.com/profile_images/1720078767241175040/9oePXJmw_normal.jpg")</f>
        <v>https://pbs.twimg.com/profile_images/1720078767241175040/9oePXJmw_normal.jpg</v>
      </c>
      <c r="G199" s="63"/>
      <c r="H199" s="67"/>
      <c r="I199" s="68"/>
      <c r="J199" s="68"/>
      <c r="K199" s="67" t="s">
        <v>7386</v>
      </c>
      <c r="L199" s="71"/>
      <c r="M199" s="72">
        <v>5572.25732421875</v>
      </c>
      <c r="N199" s="72">
        <v>8314.669921875</v>
      </c>
      <c r="O199" s="73"/>
      <c r="P199" s="74"/>
      <c r="Q199" s="74"/>
      <c r="R199" s="86"/>
      <c r="S199" s="46">
        <v>0</v>
      </c>
      <c r="T199" s="46">
        <v>1</v>
      </c>
      <c r="U199" s="47">
        <v>0</v>
      </c>
      <c r="V199" s="47">
        <v>0.214691</v>
      </c>
      <c r="W199" s="47">
        <v>0.062026</v>
      </c>
      <c r="X199" s="47">
        <v>0.002499</v>
      </c>
      <c r="Y199" s="47">
        <v>0</v>
      </c>
      <c r="Z199" s="47">
        <v>0</v>
      </c>
      <c r="AA199" s="69">
        <v>199</v>
      </c>
      <c r="AB199" s="69"/>
      <c r="AC199" s="70"/>
      <c r="AD199" s="76" t="s">
        <v>6061</v>
      </c>
      <c r="AE199" s="83" t="s">
        <v>6336</v>
      </c>
      <c r="AF199" s="76">
        <v>175</v>
      </c>
      <c r="AG199" s="76">
        <v>1362</v>
      </c>
      <c r="AH199" s="76">
        <v>1365</v>
      </c>
      <c r="AI199" s="76">
        <v>0</v>
      </c>
      <c r="AJ199" s="76">
        <v>500</v>
      </c>
      <c r="AK199" s="76">
        <v>29</v>
      </c>
      <c r="AL199" s="76" t="b">
        <v>0</v>
      </c>
      <c r="AM199" s="78">
        <v>41570.61445601852</v>
      </c>
      <c r="AN199" s="76" t="s">
        <v>6557</v>
      </c>
      <c r="AO199" s="82" t="str">
        <f>HYPERLINK("https://t.co/Ayiy4MExqP")</f>
        <v>https://t.co/Ayiy4MExqP</v>
      </c>
      <c r="AP199" s="82" t="str">
        <f>HYPERLINK("https://t.co/XnubdhoSxF")</f>
        <v>https://t.co/XnubdhoSxF</v>
      </c>
      <c r="AQ199" s="82" t="str">
        <f>HYPERLINK("http://atozemotions.com")</f>
        <v>http://atozemotions.com</v>
      </c>
      <c r="AR199" s="76" t="s">
        <v>7054</v>
      </c>
      <c r="AS199" s="82" t="str">
        <f>HYPERLINK("https://t.co/Ayiy4MExqP")</f>
        <v>https://t.co/Ayiy4MExqP</v>
      </c>
      <c r="AT199" s="82" t="str">
        <f>HYPERLINK("https://youtube.com/channel/UCFMnOeN7cmvfoOBJJLGULqA")</f>
        <v>https://youtube.com/channel/UCFMnOeN7cmvfoOBJJLGULqA</v>
      </c>
      <c r="AU199" s="76" t="s">
        <v>7174</v>
      </c>
      <c r="AV199" s="76"/>
      <c r="AW199" s="82" t="str">
        <f>HYPERLINK("https://t.co/XnubdhoSxF")</f>
        <v>https://t.co/XnubdhoSxF</v>
      </c>
      <c r="AX199" s="76" t="b">
        <v>0</v>
      </c>
      <c r="AY199" s="76" t="b">
        <v>1</v>
      </c>
      <c r="AZ199" s="76" t="b">
        <v>1</v>
      </c>
      <c r="BA199" s="76" t="b">
        <v>1</v>
      </c>
      <c r="BB199" s="76" t="b">
        <v>1</v>
      </c>
      <c r="BC199" s="76" t="b">
        <v>0</v>
      </c>
      <c r="BD199" s="76" t="b">
        <v>0</v>
      </c>
      <c r="BE199" s="76" t="b">
        <v>0</v>
      </c>
      <c r="BF199" s="76" t="b">
        <v>0</v>
      </c>
      <c r="BG199" s="76" t="b">
        <v>0</v>
      </c>
      <c r="BH199" s="76"/>
      <c r="BI199" s="76"/>
      <c r="BJ199" s="76" t="s">
        <v>7188</v>
      </c>
      <c r="BK199" s="76" t="b">
        <v>1</v>
      </c>
      <c r="BL199" s="76"/>
      <c r="BM199" s="76" t="s">
        <v>66</v>
      </c>
      <c r="BN199" s="76" t="s">
        <v>7190</v>
      </c>
      <c r="BO199" s="82" t="str">
        <f>HYPERLINK("https://twitter.com/azahar_shaik")</f>
        <v>https://twitter.com/azahar_shaik</v>
      </c>
      <c r="BP199" s="46"/>
      <c r="BQ199" s="46"/>
      <c r="BR199" s="46"/>
      <c r="BS199" s="46"/>
      <c r="BT199" s="46" t="s">
        <v>1789</v>
      </c>
      <c r="BU199" s="46" t="s">
        <v>1789</v>
      </c>
      <c r="BV199" s="105" t="s">
        <v>7873</v>
      </c>
      <c r="BW199" s="105" t="s">
        <v>7873</v>
      </c>
      <c r="BX199" s="105" t="s">
        <v>8104</v>
      </c>
      <c r="BY199" s="105" t="s">
        <v>8104</v>
      </c>
      <c r="BZ199" s="2"/>
    </row>
    <row r="200" spans="1:78" ht="15">
      <c r="A200" s="62" t="s">
        <v>318</v>
      </c>
      <c r="B200" s="63"/>
      <c r="C200" s="63"/>
      <c r="D200" s="64"/>
      <c r="E200" s="66"/>
      <c r="F200" s="100" t="str">
        <f>HYPERLINK("https://pbs.twimg.com/profile_images/1645061547017003008/XvcsBLKD_normal.jpg")</f>
        <v>https://pbs.twimg.com/profile_images/1645061547017003008/XvcsBLKD_normal.jpg</v>
      </c>
      <c r="G200" s="63"/>
      <c r="H200" s="67"/>
      <c r="I200" s="68"/>
      <c r="J200" s="68"/>
      <c r="K200" s="67" t="s">
        <v>7387</v>
      </c>
      <c r="L200" s="71"/>
      <c r="M200" s="72">
        <v>5598.8974609375</v>
      </c>
      <c r="N200" s="72">
        <v>8434.580078125</v>
      </c>
      <c r="O200" s="73"/>
      <c r="P200" s="74"/>
      <c r="Q200" s="74"/>
      <c r="R200" s="86"/>
      <c r="S200" s="46">
        <v>0</v>
      </c>
      <c r="T200" s="46">
        <v>2</v>
      </c>
      <c r="U200" s="47">
        <v>2</v>
      </c>
      <c r="V200" s="47">
        <v>0.00578</v>
      </c>
      <c r="W200" s="47">
        <v>0</v>
      </c>
      <c r="X200" s="47">
        <v>0.003258</v>
      </c>
      <c r="Y200" s="47">
        <v>0</v>
      </c>
      <c r="Z200" s="47">
        <v>0</v>
      </c>
      <c r="AA200" s="69">
        <v>200</v>
      </c>
      <c r="AB200" s="69"/>
      <c r="AC200" s="70"/>
      <c r="AD200" s="76" t="s">
        <v>6062</v>
      </c>
      <c r="AE200" s="83" t="s">
        <v>5809</v>
      </c>
      <c r="AF200" s="76">
        <v>112</v>
      </c>
      <c r="AG200" s="76">
        <v>422</v>
      </c>
      <c r="AH200" s="76">
        <v>10404</v>
      </c>
      <c r="AI200" s="76">
        <v>7</v>
      </c>
      <c r="AJ200" s="76">
        <v>11767</v>
      </c>
      <c r="AK200" s="76">
        <v>1564</v>
      </c>
      <c r="AL200" s="76" t="b">
        <v>0</v>
      </c>
      <c r="AM200" s="78">
        <v>42909.87422453704</v>
      </c>
      <c r="AN200" s="76" t="s">
        <v>6558</v>
      </c>
      <c r="AO200" s="76" t="s">
        <v>6809</v>
      </c>
      <c r="AP200" s="76"/>
      <c r="AQ200" s="76"/>
      <c r="AR200" s="76"/>
      <c r="AS200" s="76"/>
      <c r="AT200" s="76"/>
      <c r="AU200" s="76"/>
      <c r="AV200" s="76"/>
      <c r="AW200" s="76"/>
      <c r="AX200" s="76" t="b">
        <v>0</v>
      </c>
      <c r="AY200" s="76"/>
      <c r="AZ200" s="76"/>
      <c r="BA200" s="76" t="b">
        <v>1</v>
      </c>
      <c r="BB200" s="76" t="b">
        <v>1</v>
      </c>
      <c r="BC200" s="76" t="b">
        <v>1</v>
      </c>
      <c r="BD200" s="76" t="b">
        <v>0</v>
      </c>
      <c r="BE200" s="76" t="b">
        <v>1</v>
      </c>
      <c r="BF200" s="76" t="b">
        <v>0</v>
      </c>
      <c r="BG200" s="76" t="b">
        <v>0</v>
      </c>
      <c r="BH200" s="82" t="str">
        <f>HYPERLINK("https://pbs.twimg.com/profile_banners/878356711475740673/1662413126")</f>
        <v>https://pbs.twimg.com/profile_banners/878356711475740673/1662413126</v>
      </c>
      <c r="BI200" s="76"/>
      <c r="BJ200" s="76" t="s">
        <v>7188</v>
      </c>
      <c r="BK200" s="76" t="b">
        <v>0</v>
      </c>
      <c r="BL200" s="76"/>
      <c r="BM200" s="76" t="s">
        <v>66</v>
      </c>
      <c r="BN200" s="76" t="s">
        <v>7190</v>
      </c>
      <c r="BO200" s="82" t="str">
        <f>HYPERLINK("https://twitter.com/m4moazam")</f>
        <v>https://twitter.com/m4moazam</v>
      </c>
      <c r="BP200" s="46"/>
      <c r="BQ200" s="46"/>
      <c r="BR200" s="46"/>
      <c r="BS200" s="46"/>
      <c r="BT200" s="46"/>
      <c r="BU200" s="46"/>
      <c r="BV200" s="105" t="s">
        <v>7874</v>
      </c>
      <c r="BW200" s="105" t="s">
        <v>7874</v>
      </c>
      <c r="BX200" s="105" t="s">
        <v>8105</v>
      </c>
      <c r="BY200" s="105" t="s">
        <v>8105</v>
      </c>
      <c r="BZ200" s="2"/>
    </row>
    <row r="201" spans="1:78" ht="15">
      <c r="A201" s="62" t="s">
        <v>520</v>
      </c>
      <c r="B201" s="63"/>
      <c r="C201" s="63"/>
      <c r="D201" s="64"/>
      <c r="E201" s="66"/>
      <c r="F201" s="100" t="str">
        <f>HYPERLINK("https://pbs.twimg.com/profile_images/1609272077667680258/OaQ09hcK_normal.jpg")</f>
        <v>https://pbs.twimg.com/profile_images/1609272077667680258/OaQ09hcK_normal.jpg</v>
      </c>
      <c r="G201" s="63"/>
      <c r="H201" s="67"/>
      <c r="I201" s="68"/>
      <c r="J201" s="68"/>
      <c r="K201" s="67" t="s">
        <v>7388</v>
      </c>
      <c r="L201" s="71"/>
      <c r="M201" s="72">
        <v>5625.537109375</v>
      </c>
      <c r="N201" s="72">
        <v>8550.0380859375</v>
      </c>
      <c r="O201" s="73"/>
      <c r="P201" s="74"/>
      <c r="Q201" s="74"/>
      <c r="R201" s="86"/>
      <c r="S201" s="46">
        <v>1</v>
      </c>
      <c r="T201" s="46">
        <v>0</v>
      </c>
      <c r="U201" s="47">
        <v>0</v>
      </c>
      <c r="V201" s="47">
        <v>0.003854</v>
      </c>
      <c r="W201" s="47">
        <v>0</v>
      </c>
      <c r="X201" s="47">
        <v>0.002694</v>
      </c>
      <c r="Y201" s="47">
        <v>0</v>
      </c>
      <c r="Z201" s="47">
        <v>0</v>
      </c>
      <c r="AA201" s="69">
        <v>201</v>
      </c>
      <c r="AB201" s="69"/>
      <c r="AC201" s="70"/>
      <c r="AD201" s="76" t="s">
        <v>6063</v>
      </c>
      <c r="AE201" s="83" t="s">
        <v>6337</v>
      </c>
      <c r="AF201" s="76">
        <v>90085</v>
      </c>
      <c r="AG201" s="76">
        <v>7818</v>
      </c>
      <c r="AH201" s="76">
        <v>434393</v>
      </c>
      <c r="AI201" s="76">
        <v>1599</v>
      </c>
      <c r="AJ201" s="76">
        <v>229746</v>
      </c>
      <c r="AK201" s="76">
        <v>62354</v>
      </c>
      <c r="AL201" s="76" t="b">
        <v>0</v>
      </c>
      <c r="AM201" s="78">
        <v>40235.62934027778</v>
      </c>
      <c r="AN201" s="76" t="s">
        <v>6559</v>
      </c>
      <c r="AO201" s="76" t="s">
        <v>6810</v>
      </c>
      <c r="AP201" s="82" t="str">
        <f>HYPERLINK("https://t.co/N8Q8TbwV66")</f>
        <v>https://t.co/N8Q8TbwV66</v>
      </c>
      <c r="AQ201" s="82" t="str">
        <f>HYPERLINK("https://www.itct.org.uk/about/our-team/")</f>
        <v>https://www.itct.org.uk/about/our-team/</v>
      </c>
      <c r="AR201" s="76" t="s">
        <v>7055</v>
      </c>
      <c r="AS201" s="76"/>
      <c r="AT201" s="76"/>
      <c r="AU201" s="76"/>
      <c r="AV201" s="76">
        <v>1.72478976555026E+18</v>
      </c>
      <c r="AW201" s="82" t="str">
        <f>HYPERLINK("https://t.co/N8Q8TbwV66")</f>
        <v>https://t.co/N8Q8TbwV66</v>
      </c>
      <c r="AX201" s="76" t="b">
        <v>1</v>
      </c>
      <c r="AY201" s="76"/>
      <c r="AZ201" s="76"/>
      <c r="BA201" s="76" t="b">
        <v>1</v>
      </c>
      <c r="BB201" s="76" t="b">
        <v>0</v>
      </c>
      <c r="BC201" s="76" t="b">
        <v>0</v>
      </c>
      <c r="BD201" s="76" t="b">
        <v>0</v>
      </c>
      <c r="BE201" s="76" t="b">
        <v>1</v>
      </c>
      <c r="BF201" s="76" t="b">
        <v>0</v>
      </c>
      <c r="BG201" s="76" t="b">
        <v>0</v>
      </c>
      <c r="BH201" s="82" t="str">
        <f>HYPERLINK("https://pbs.twimg.com/profile_banners/117767974/1695209215")</f>
        <v>https://pbs.twimg.com/profile_banners/117767974/1695209215</v>
      </c>
      <c r="BI201" s="76"/>
      <c r="BJ201" s="76" t="s">
        <v>7188</v>
      </c>
      <c r="BK201" s="76" t="b">
        <v>0</v>
      </c>
      <c r="BL201" s="76"/>
      <c r="BM201" s="76" t="s">
        <v>65</v>
      </c>
      <c r="BN201" s="76" t="s">
        <v>7190</v>
      </c>
      <c r="BO201" s="82" t="str">
        <f>HYPERLINK("https://twitter.com/natsecjeff")</f>
        <v>https://twitter.com/natsecjeff</v>
      </c>
      <c r="BP201" s="46"/>
      <c r="BQ201" s="46"/>
      <c r="BR201" s="46"/>
      <c r="BS201" s="46"/>
      <c r="BT201" s="46"/>
      <c r="BU201" s="46"/>
      <c r="BV201" s="46"/>
      <c r="BW201" s="46"/>
      <c r="BX201" s="46"/>
      <c r="BY201" s="46"/>
      <c r="BZ201" s="2"/>
    </row>
    <row r="202" spans="1:78" ht="15">
      <c r="A202" s="62" t="s">
        <v>521</v>
      </c>
      <c r="B202" s="63"/>
      <c r="C202" s="63"/>
      <c r="D202" s="64"/>
      <c r="E202" s="66"/>
      <c r="F202" s="100" t="str">
        <f>HYPERLINK("https://pbs.twimg.com/profile_images/1182956450705899522/CvlrQz-P_normal.jpg")</f>
        <v>https://pbs.twimg.com/profile_images/1182956450705899522/CvlrQz-P_normal.jpg</v>
      </c>
      <c r="G202" s="63"/>
      <c r="H202" s="67"/>
      <c r="I202" s="68"/>
      <c r="J202" s="68"/>
      <c r="K202" s="67" t="s">
        <v>7389</v>
      </c>
      <c r="L202" s="71"/>
      <c r="M202" s="72">
        <v>5652.1767578125</v>
      </c>
      <c r="N202" s="72">
        <v>8660.892578125</v>
      </c>
      <c r="O202" s="73"/>
      <c r="P202" s="74"/>
      <c r="Q202" s="74"/>
      <c r="R202" s="86"/>
      <c r="S202" s="46">
        <v>1</v>
      </c>
      <c r="T202" s="46">
        <v>0</v>
      </c>
      <c r="U202" s="47">
        <v>0</v>
      </c>
      <c r="V202" s="47">
        <v>0.003854</v>
      </c>
      <c r="W202" s="47">
        <v>0</v>
      </c>
      <c r="X202" s="47">
        <v>0.002694</v>
      </c>
      <c r="Y202" s="47">
        <v>0</v>
      </c>
      <c r="Z202" s="47">
        <v>0</v>
      </c>
      <c r="AA202" s="69">
        <v>202</v>
      </c>
      <c r="AB202" s="69"/>
      <c r="AC202" s="70"/>
      <c r="AD202" s="76" t="s">
        <v>6064</v>
      </c>
      <c r="AE202" s="83" t="s">
        <v>5758</v>
      </c>
      <c r="AF202" s="76">
        <v>40</v>
      </c>
      <c r="AG202" s="76">
        <v>253</v>
      </c>
      <c r="AH202" s="76">
        <v>3783</v>
      </c>
      <c r="AI202" s="76">
        <v>0</v>
      </c>
      <c r="AJ202" s="76">
        <v>18960</v>
      </c>
      <c r="AK202" s="76">
        <v>272</v>
      </c>
      <c r="AL202" s="76" t="b">
        <v>0</v>
      </c>
      <c r="AM202" s="78">
        <v>42713.25201388889</v>
      </c>
      <c r="AN202" s="76" t="s">
        <v>6472</v>
      </c>
      <c r="AO202" s="76"/>
      <c r="AP202" s="76"/>
      <c r="AQ202" s="76"/>
      <c r="AR202" s="76"/>
      <c r="AS202" s="76"/>
      <c r="AT202" s="76"/>
      <c r="AU202" s="76"/>
      <c r="AV202" s="76"/>
      <c r="AW202" s="76"/>
      <c r="AX202" s="76" t="b">
        <v>0</v>
      </c>
      <c r="AY202" s="76"/>
      <c r="AZ202" s="76"/>
      <c r="BA202" s="76" t="b">
        <v>0</v>
      </c>
      <c r="BB202" s="76" t="b">
        <v>1</v>
      </c>
      <c r="BC202" s="76" t="b">
        <v>1</v>
      </c>
      <c r="BD202" s="76" t="b">
        <v>0</v>
      </c>
      <c r="BE202" s="76" t="b">
        <v>1</v>
      </c>
      <c r="BF202" s="76" t="b">
        <v>0</v>
      </c>
      <c r="BG202" s="76" t="b">
        <v>0</v>
      </c>
      <c r="BH202" s="76"/>
      <c r="BI202" s="76"/>
      <c r="BJ202" s="76" t="s">
        <v>7188</v>
      </c>
      <c r="BK202" s="76" t="b">
        <v>0</v>
      </c>
      <c r="BL202" s="76"/>
      <c r="BM202" s="76" t="s">
        <v>65</v>
      </c>
      <c r="BN202" s="76" t="s">
        <v>7190</v>
      </c>
      <c r="BO202" s="82" t="str">
        <f>HYPERLINK("https://twitter.com/allblacks9926")</f>
        <v>https://twitter.com/allblacks9926</v>
      </c>
      <c r="BP202" s="46"/>
      <c r="BQ202" s="46"/>
      <c r="BR202" s="46"/>
      <c r="BS202" s="46"/>
      <c r="BT202" s="46"/>
      <c r="BU202" s="46"/>
      <c r="BV202" s="46"/>
      <c r="BW202" s="46"/>
      <c r="BX202" s="46"/>
      <c r="BY202" s="46"/>
      <c r="BZ202" s="2"/>
    </row>
    <row r="203" spans="1:78" ht="15">
      <c r="A203" s="62" t="s">
        <v>319</v>
      </c>
      <c r="B203" s="63"/>
      <c r="C203" s="63"/>
      <c r="D203" s="64"/>
      <c r="E203" s="66"/>
      <c r="F203" s="100" t="str">
        <f>HYPERLINK("https://pbs.twimg.com/profile_images/442425041/Namanas_symbol_normal.gif")</f>
        <v>https://pbs.twimg.com/profile_images/442425041/Namanas_symbol_normal.gif</v>
      </c>
      <c r="G203" s="63"/>
      <c r="H203" s="67"/>
      <c r="I203" s="68"/>
      <c r="J203" s="68"/>
      <c r="K203" s="67" t="s">
        <v>7390</v>
      </c>
      <c r="L203" s="71"/>
      <c r="M203" s="72">
        <v>5678.81689453125</v>
      </c>
      <c r="N203" s="72">
        <v>8767</v>
      </c>
      <c r="O203" s="73"/>
      <c r="P203" s="74"/>
      <c r="Q203" s="74"/>
      <c r="R203" s="86"/>
      <c r="S203" s="46">
        <v>1</v>
      </c>
      <c r="T203" s="46">
        <v>1</v>
      </c>
      <c r="U203" s="47">
        <v>0</v>
      </c>
      <c r="V203" s="47">
        <v>0</v>
      </c>
      <c r="W203" s="47">
        <v>0</v>
      </c>
      <c r="X203" s="47">
        <v>0.002882</v>
      </c>
      <c r="Y203" s="47">
        <v>0</v>
      </c>
      <c r="Z203" s="47">
        <v>0</v>
      </c>
      <c r="AA203" s="69">
        <v>203</v>
      </c>
      <c r="AB203" s="69"/>
      <c r="AC203" s="70"/>
      <c r="AD203" s="76" t="s">
        <v>319</v>
      </c>
      <c r="AE203" s="83" t="s">
        <v>6338</v>
      </c>
      <c r="AF203" s="76">
        <v>1091</v>
      </c>
      <c r="AG203" s="76">
        <v>7</v>
      </c>
      <c r="AH203" s="76">
        <v>93629</v>
      </c>
      <c r="AI203" s="76">
        <v>42</v>
      </c>
      <c r="AJ203" s="76">
        <v>0</v>
      </c>
      <c r="AK203" s="76">
        <v>0</v>
      </c>
      <c r="AL203" s="76" t="b">
        <v>0</v>
      </c>
      <c r="AM203" s="78">
        <v>40084.71556712963</v>
      </c>
      <c r="AN203" s="76" t="s">
        <v>3889</v>
      </c>
      <c r="AO203" s="76" t="s">
        <v>6811</v>
      </c>
      <c r="AP203" s="82" t="str">
        <f>HYPERLINK("http://t.co/BEPaQKGgH8")</f>
        <v>http://t.co/BEPaQKGgH8</v>
      </c>
      <c r="AQ203" s="82" t="str">
        <f>HYPERLINK("http://www.namanas.com")</f>
        <v>http://www.namanas.com</v>
      </c>
      <c r="AR203" s="76" t="s">
        <v>2009</v>
      </c>
      <c r="AS203" s="76"/>
      <c r="AT203" s="76"/>
      <c r="AU203" s="76"/>
      <c r="AV203" s="76"/>
      <c r="AW203" s="82" t="str">
        <f>HYPERLINK("http://t.co/BEPaQKGgH8")</f>
        <v>http://t.co/BEPaQKGgH8</v>
      </c>
      <c r="AX203" s="76" t="b">
        <v>0</v>
      </c>
      <c r="AY203" s="76"/>
      <c r="AZ203" s="76"/>
      <c r="BA203" s="76" t="b">
        <v>0</v>
      </c>
      <c r="BB203" s="76" t="b">
        <v>1</v>
      </c>
      <c r="BC203" s="76" t="b">
        <v>0</v>
      </c>
      <c r="BD203" s="76" t="b">
        <v>0</v>
      </c>
      <c r="BE203" s="76" t="b">
        <v>0</v>
      </c>
      <c r="BF203" s="76" t="b">
        <v>0</v>
      </c>
      <c r="BG203" s="76" t="b">
        <v>0</v>
      </c>
      <c r="BH203" s="76"/>
      <c r="BI203" s="76"/>
      <c r="BJ203" s="76" t="s">
        <v>7188</v>
      </c>
      <c r="BK203" s="76" t="b">
        <v>0</v>
      </c>
      <c r="BL203" s="76"/>
      <c r="BM203" s="76" t="s">
        <v>66</v>
      </c>
      <c r="BN203" s="76" t="s">
        <v>7190</v>
      </c>
      <c r="BO203" s="82" t="str">
        <f>HYPERLINK("https://twitter.com/namanas")</f>
        <v>https://twitter.com/namanas</v>
      </c>
      <c r="BP203" s="46" t="s">
        <v>7637</v>
      </c>
      <c r="BQ203" s="46" t="s">
        <v>7697</v>
      </c>
      <c r="BR203" s="46" t="s">
        <v>2009</v>
      </c>
      <c r="BS203" s="46" t="s">
        <v>2009</v>
      </c>
      <c r="BT203" s="46"/>
      <c r="BU203" s="46"/>
      <c r="BV203" s="105" t="s">
        <v>7875</v>
      </c>
      <c r="BW203" s="105" t="s">
        <v>7991</v>
      </c>
      <c r="BX203" s="105" t="s">
        <v>8106</v>
      </c>
      <c r="BY203" s="105" t="s">
        <v>8106</v>
      </c>
      <c r="BZ203" s="2"/>
    </row>
    <row r="204" spans="1:78" ht="15">
      <c r="A204" s="62" t="s">
        <v>320</v>
      </c>
      <c r="B204" s="63"/>
      <c r="C204" s="63"/>
      <c r="D204" s="64"/>
      <c r="E204" s="66"/>
      <c r="F204" s="100" t="str">
        <f>HYPERLINK("https://pbs.twimg.com/profile_images/1446034127531118593/LJbyFKQm_normal.jpg")</f>
        <v>https://pbs.twimg.com/profile_images/1446034127531118593/LJbyFKQm_normal.jpg</v>
      </c>
      <c r="G204" s="63"/>
      <c r="H204" s="67"/>
      <c r="I204" s="68"/>
      <c r="J204" s="68"/>
      <c r="K204" s="67" t="s">
        <v>7391</v>
      </c>
      <c r="L204" s="71"/>
      <c r="M204" s="72">
        <v>5705.45703125</v>
      </c>
      <c r="N204" s="72">
        <v>8868.224609375</v>
      </c>
      <c r="O204" s="73"/>
      <c r="P204" s="74"/>
      <c r="Q204" s="74"/>
      <c r="R204" s="86"/>
      <c r="S204" s="46">
        <v>0</v>
      </c>
      <c r="T204" s="46">
        <v>1</v>
      </c>
      <c r="U204" s="47">
        <v>0</v>
      </c>
      <c r="V204" s="47">
        <v>0.006569</v>
      </c>
      <c r="W204" s="47">
        <v>0</v>
      </c>
      <c r="X204" s="47">
        <v>0.00262</v>
      </c>
      <c r="Y204" s="47">
        <v>0</v>
      </c>
      <c r="Z204" s="47">
        <v>0</v>
      </c>
      <c r="AA204" s="69">
        <v>204</v>
      </c>
      <c r="AB204" s="69"/>
      <c r="AC204" s="70"/>
      <c r="AD204" s="76" t="s">
        <v>6065</v>
      </c>
      <c r="AE204" s="83" t="s">
        <v>6339</v>
      </c>
      <c r="AF204" s="76">
        <v>88</v>
      </c>
      <c r="AG204" s="76">
        <v>484</v>
      </c>
      <c r="AH204" s="76">
        <v>738</v>
      </c>
      <c r="AI204" s="76">
        <v>1</v>
      </c>
      <c r="AJ204" s="76">
        <v>3031</v>
      </c>
      <c r="AK204" s="76">
        <v>46</v>
      </c>
      <c r="AL204" s="76" t="b">
        <v>0</v>
      </c>
      <c r="AM204" s="78">
        <v>40001.719039351854</v>
      </c>
      <c r="AN204" s="76" t="s">
        <v>3895</v>
      </c>
      <c r="AO204" s="76" t="s">
        <v>6812</v>
      </c>
      <c r="AP204" s="76"/>
      <c r="AQ204" s="76"/>
      <c r="AR204" s="76"/>
      <c r="AS204" s="76"/>
      <c r="AT204" s="76"/>
      <c r="AU204" s="76"/>
      <c r="AV204" s="76"/>
      <c r="AW204" s="76"/>
      <c r="AX204" s="76" t="b">
        <v>0</v>
      </c>
      <c r="AY204" s="76"/>
      <c r="AZ204" s="76"/>
      <c r="BA204" s="76" t="b">
        <v>1</v>
      </c>
      <c r="BB204" s="76" t="b">
        <v>1</v>
      </c>
      <c r="BC204" s="76" t="b">
        <v>0</v>
      </c>
      <c r="BD204" s="76" t="b">
        <v>0</v>
      </c>
      <c r="BE204" s="76" t="b">
        <v>1</v>
      </c>
      <c r="BF204" s="76" t="b">
        <v>0</v>
      </c>
      <c r="BG204" s="76" t="b">
        <v>0</v>
      </c>
      <c r="BH204" s="76"/>
      <c r="BI204" s="76"/>
      <c r="BJ204" s="76" t="s">
        <v>7188</v>
      </c>
      <c r="BK204" s="76" t="b">
        <v>0</v>
      </c>
      <c r="BL204" s="76"/>
      <c r="BM204" s="76" t="s">
        <v>66</v>
      </c>
      <c r="BN204" s="76" t="s">
        <v>7190</v>
      </c>
      <c r="BO204" s="82" t="str">
        <f>HYPERLINK("https://twitter.com/mandavilli")</f>
        <v>https://twitter.com/mandavilli</v>
      </c>
      <c r="BP204" s="46"/>
      <c r="BQ204" s="46"/>
      <c r="BR204" s="46"/>
      <c r="BS204" s="46"/>
      <c r="BT204" s="46"/>
      <c r="BU204" s="46"/>
      <c r="BV204" s="105" t="s">
        <v>7876</v>
      </c>
      <c r="BW204" s="105" t="s">
        <v>7876</v>
      </c>
      <c r="BX204" s="105" t="s">
        <v>8107</v>
      </c>
      <c r="BY204" s="105" t="s">
        <v>8107</v>
      </c>
      <c r="BZ204" s="2"/>
    </row>
    <row r="205" spans="1:78" ht="15">
      <c r="A205" s="62" t="s">
        <v>321</v>
      </c>
      <c r="B205" s="63"/>
      <c r="C205" s="63"/>
      <c r="D205" s="64"/>
      <c r="E205" s="66"/>
      <c r="F205" s="100" t="str">
        <f>HYPERLINK("https://pbs.twimg.com/profile_images/771250690949656576/WjH7zGE6_normal.jpg")</f>
        <v>https://pbs.twimg.com/profile_images/771250690949656576/WjH7zGE6_normal.jpg</v>
      </c>
      <c r="G205" s="63"/>
      <c r="H205" s="67"/>
      <c r="I205" s="68"/>
      <c r="J205" s="68"/>
      <c r="K205" s="67" t="s">
        <v>7392</v>
      </c>
      <c r="L205" s="71"/>
      <c r="M205" s="72">
        <v>5732.0966796875</v>
      </c>
      <c r="N205" s="72">
        <v>8964.43359375</v>
      </c>
      <c r="O205" s="73"/>
      <c r="P205" s="74"/>
      <c r="Q205" s="74"/>
      <c r="R205" s="86"/>
      <c r="S205" s="46">
        <v>0</v>
      </c>
      <c r="T205" s="46">
        <v>1</v>
      </c>
      <c r="U205" s="47">
        <v>0</v>
      </c>
      <c r="V205" s="47">
        <v>0.214691</v>
      </c>
      <c r="W205" s="47">
        <v>0.062026</v>
      </c>
      <c r="X205" s="47">
        <v>0.002499</v>
      </c>
      <c r="Y205" s="47">
        <v>0</v>
      </c>
      <c r="Z205" s="47">
        <v>0</v>
      </c>
      <c r="AA205" s="69">
        <v>205</v>
      </c>
      <c r="AB205" s="69"/>
      <c r="AC205" s="70"/>
      <c r="AD205" s="76" t="s">
        <v>6066</v>
      </c>
      <c r="AE205" s="83" t="s">
        <v>6340</v>
      </c>
      <c r="AF205" s="76">
        <v>736</v>
      </c>
      <c r="AG205" s="76">
        <v>325</v>
      </c>
      <c r="AH205" s="76">
        <v>13114</v>
      </c>
      <c r="AI205" s="76">
        <v>6</v>
      </c>
      <c r="AJ205" s="76">
        <v>4374</v>
      </c>
      <c r="AK205" s="76">
        <v>804</v>
      </c>
      <c r="AL205" s="76" t="b">
        <v>0</v>
      </c>
      <c r="AM205" s="78">
        <v>42264.698587962965</v>
      </c>
      <c r="AN205" s="76" t="s">
        <v>6560</v>
      </c>
      <c r="AO205" s="76" t="s">
        <v>6813</v>
      </c>
      <c r="AP205" s="82" t="str">
        <f>HYPERLINK("https://t.co/RCVZgjRoXN")</f>
        <v>https://t.co/RCVZgjRoXN</v>
      </c>
      <c r="AQ205" s="82" t="str">
        <f>HYPERLINK("https://www.instagram.com/farooqdesigns_/")</f>
        <v>https://www.instagram.com/farooqdesigns_/</v>
      </c>
      <c r="AR205" s="76" t="s">
        <v>7056</v>
      </c>
      <c r="AS205" s="76" t="s">
        <v>7155</v>
      </c>
      <c r="AT205" s="76" t="s">
        <v>7159</v>
      </c>
      <c r="AU205" s="76" t="s">
        <v>7175</v>
      </c>
      <c r="AV205" s="76"/>
      <c r="AW205" s="82" t="str">
        <f>HYPERLINK("https://t.co/RCVZgjRoXN")</f>
        <v>https://t.co/RCVZgjRoXN</v>
      </c>
      <c r="AX205" s="76" t="b">
        <v>0</v>
      </c>
      <c r="AY205" s="76" t="b">
        <v>1</v>
      </c>
      <c r="AZ205" s="76"/>
      <c r="BA205" s="76" t="b">
        <v>1</v>
      </c>
      <c r="BB205" s="76" t="b">
        <v>1</v>
      </c>
      <c r="BC205" s="76" t="b">
        <v>0</v>
      </c>
      <c r="BD205" s="76" t="b">
        <v>0</v>
      </c>
      <c r="BE205" s="76" t="b">
        <v>1</v>
      </c>
      <c r="BF205" s="76" t="b">
        <v>0</v>
      </c>
      <c r="BG205" s="76" t="b">
        <v>0</v>
      </c>
      <c r="BH205" s="82" t="str">
        <f>HYPERLINK("https://pbs.twimg.com/profile_banners/3595788384/1472715450")</f>
        <v>https://pbs.twimg.com/profile_banners/3595788384/1472715450</v>
      </c>
      <c r="BI205" s="76"/>
      <c r="BJ205" s="76" t="s">
        <v>7189</v>
      </c>
      <c r="BK205" s="76" t="b">
        <v>0</v>
      </c>
      <c r="BL205" s="76"/>
      <c r="BM205" s="76" t="s">
        <v>66</v>
      </c>
      <c r="BN205" s="76" t="s">
        <v>7190</v>
      </c>
      <c r="BO205" s="82" t="str">
        <f>HYPERLINK("https://twitter.com/farooqdesigns")</f>
        <v>https://twitter.com/farooqdesigns</v>
      </c>
      <c r="BP205" s="46"/>
      <c r="BQ205" s="46"/>
      <c r="BR205" s="46"/>
      <c r="BS205" s="46"/>
      <c r="BT205" s="46"/>
      <c r="BU205" s="46"/>
      <c r="BV205" s="105" t="s">
        <v>7877</v>
      </c>
      <c r="BW205" s="105" t="s">
        <v>7877</v>
      </c>
      <c r="BX205" s="105" t="s">
        <v>8108</v>
      </c>
      <c r="BY205" s="105" t="s">
        <v>8108</v>
      </c>
      <c r="BZ205" s="2"/>
    </row>
    <row r="206" spans="1:78" ht="15">
      <c r="A206" s="62" t="s">
        <v>322</v>
      </c>
      <c r="B206" s="63"/>
      <c r="C206" s="63"/>
      <c r="D206" s="64"/>
      <c r="E206" s="66"/>
      <c r="F206" s="100" t="str">
        <f>HYPERLINK("https://pbs.twimg.com/profile_images/639524662263721984/4CRC3rLF_normal.png")</f>
        <v>https://pbs.twimg.com/profile_images/639524662263721984/4CRC3rLF_normal.png</v>
      </c>
      <c r="G206" s="63"/>
      <c r="H206" s="67"/>
      <c r="I206" s="68"/>
      <c r="J206" s="68"/>
      <c r="K206" s="67" t="s">
        <v>7393</v>
      </c>
      <c r="L206" s="71"/>
      <c r="M206" s="72">
        <v>5758.736328125</v>
      </c>
      <c r="N206" s="72">
        <v>9055.501953125</v>
      </c>
      <c r="O206" s="73"/>
      <c r="P206" s="74"/>
      <c r="Q206" s="74"/>
      <c r="R206" s="86"/>
      <c r="S206" s="46">
        <v>1</v>
      </c>
      <c r="T206" s="46">
        <v>1</v>
      </c>
      <c r="U206" s="47">
        <v>0</v>
      </c>
      <c r="V206" s="47">
        <v>0</v>
      </c>
      <c r="W206" s="47">
        <v>0</v>
      </c>
      <c r="X206" s="47">
        <v>0.002882</v>
      </c>
      <c r="Y206" s="47">
        <v>0</v>
      </c>
      <c r="Z206" s="47">
        <v>0</v>
      </c>
      <c r="AA206" s="69">
        <v>206</v>
      </c>
      <c r="AB206" s="69"/>
      <c r="AC206" s="70"/>
      <c r="AD206" s="76" t="s">
        <v>6067</v>
      </c>
      <c r="AE206" s="83" t="s">
        <v>6341</v>
      </c>
      <c r="AF206" s="76">
        <v>15092</v>
      </c>
      <c r="AG206" s="76">
        <v>42</v>
      </c>
      <c r="AH206" s="76">
        <v>105477</v>
      </c>
      <c r="AI206" s="76">
        <v>716</v>
      </c>
      <c r="AJ206" s="76">
        <v>389</v>
      </c>
      <c r="AK206" s="76">
        <v>578</v>
      </c>
      <c r="AL206" s="76" t="b">
        <v>0</v>
      </c>
      <c r="AM206" s="78">
        <v>41280.91241898148</v>
      </c>
      <c r="AN206" s="76"/>
      <c r="AO206" s="76" t="s">
        <v>6814</v>
      </c>
      <c r="AP206" s="82" t="str">
        <f>HYPERLINK("https://t.co/q6hxYUuv9o")</f>
        <v>https://t.co/q6hxYUuv9o</v>
      </c>
      <c r="AQ206" s="82" t="str">
        <f>HYPERLINK("https://www.designernews.co")</f>
        <v>https://www.designernews.co</v>
      </c>
      <c r="AR206" s="76" t="s">
        <v>2010</v>
      </c>
      <c r="AS206" s="76"/>
      <c r="AT206" s="76"/>
      <c r="AU206" s="76"/>
      <c r="AV206" s="76"/>
      <c r="AW206" s="82" t="str">
        <f>HYPERLINK("https://t.co/q6hxYUuv9o")</f>
        <v>https://t.co/q6hxYUuv9o</v>
      </c>
      <c r="AX206" s="76" t="b">
        <v>0</v>
      </c>
      <c r="AY206" s="76"/>
      <c r="AZ206" s="76"/>
      <c r="BA206" s="76" t="b">
        <v>1</v>
      </c>
      <c r="BB206" s="76" t="b">
        <v>1</v>
      </c>
      <c r="BC206" s="76" t="b">
        <v>0</v>
      </c>
      <c r="BD206" s="76" t="b">
        <v>0</v>
      </c>
      <c r="BE206" s="76" t="b">
        <v>0</v>
      </c>
      <c r="BF206" s="76" t="b">
        <v>0</v>
      </c>
      <c r="BG206" s="76" t="b">
        <v>0</v>
      </c>
      <c r="BH206" s="76"/>
      <c r="BI206" s="76"/>
      <c r="BJ206" s="76" t="s">
        <v>7188</v>
      </c>
      <c r="BK206" s="76" t="b">
        <v>0</v>
      </c>
      <c r="BL206" s="76"/>
      <c r="BM206" s="76" t="s">
        <v>66</v>
      </c>
      <c r="BN206" s="76" t="s">
        <v>7190</v>
      </c>
      <c r="BO206" s="82" t="str">
        <f>HYPERLINK("https://twitter.com/designernewsbot")</f>
        <v>https://twitter.com/designernewsbot</v>
      </c>
      <c r="BP206" s="46" t="s">
        <v>7638</v>
      </c>
      <c r="BQ206" s="46" t="s">
        <v>7638</v>
      </c>
      <c r="BR206" s="46" t="s">
        <v>2010</v>
      </c>
      <c r="BS206" s="46" t="s">
        <v>2010</v>
      </c>
      <c r="BT206" s="46" t="s">
        <v>1790</v>
      </c>
      <c r="BU206" s="46" t="s">
        <v>1790</v>
      </c>
      <c r="BV206" s="105" t="s">
        <v>7878</v>
      </c>
      <c r="BW206" s="105" t="s">
        <v>7878</v>
      </c>
      <c r="BX206" s="105" t="s">
        <v>8109</v>
      </c>
      <c r="BY206" s="105" t="s">
        <v>8109</v>
      </c>
      <c r="BZ206" s="2"/>
    </row>
    <row r="207" spans="1:78" ht="15">
      <c r="A207" s="62" t="s">
        <v>323</v>
      </c>
      <c r="B207" s="63"/>
      <c r="C207" s="63"/>
      <c r="D207" s="64"/>
      <c r="E207" s="66"/>
      <c r="F207" s="100" t="str">
        <f>HYPERLINK("https://pbs.twimg.com/profile_images/1159112128365658112/9Qc4LSaN_normal.jpg")</f>
        <v>https://pbs.twimg.com/profile_images/1159112128365658112/9Qc4LSaN_normal.jpg</v>
      </c>
      <c r="G207" s="63"/>
      <c r="H207" s="67"/>
      <c r="I207" s="68"/>
      <c r="J207" s="68"/>
      <c r="K207" s="67" t="s">
        <v>7394</v>
      </c>
      <c r="L207" s="71"/>
      <c r="M207" s="72">
        <v>5785.3759765625</v>
      </c>
      <c r="N207" s="72">
        <v>9141.314453125</v>
      </c>
      <c r="O207" s="73"/>
      <c r="P207" s="74"/>
      <c r="Q207" s="74"/>
      <c r="R207" s="86"/>
      <c r="S207" s="46">
        <v>1</v>
      </c>
      <c r="T207" s="46">
        <v>1</v>
      </c>
      <c r="U207" s="47">
        <v>0</v>
      </c>
      <c r="V207" s="47">
        <v>0.214691</v>
      </c>
      <c r="W207" s="47">
        <v>0.062026</v>
      </c>
      <c r="X207" s="47">
        <v>0.002499</v>
      </c>
      <c r="Y207" s="47">
        <v>0</v>
      </c>
      <c r="Z207" s="47">
        <v>1</v>
      </c>
      <c r="AA207" s="69">
        <v>207</v>
      </c>
      <c r="AB207" s="69"/>
      <c r="AC207" s="70"/>
      <c r="AD207" s="76" t="s">
        <v>6068</v>
      </c>
      <c r="AE207" s="83" t="s">
        <v>5759</v>
      </c>
      <c r="AF207" s="76">
        <v>1903</v>
      </c>
      <c r="AG207" s="76">
        <v>2235</v>
      </c>
      <c r="AH207" s="76">
        <v>2294</v>
      </c>
      <c r="AI207" s="76">
        <v>52</v>
      </c>
      <c r="AJ207" s="76">
        <v>3517</v>
      </c>
      <c r="AK207" s="76">
        <v>816</v>
      </c>
      <c r="AL207" s="76" t="b">
        <v>0</v>
      </c>
      <c r="AM207" s="78">
        <v>42777.39333333333</v>
      </c>
      <c r="AN207" s="76" t="s">
        <v>6561</v>
      </c>
      <c r="AO207" s="76" t="s">
        <v>6815</v>
      </c>
      <c r="AP207" s="82" t="str">
        <f>HYPERLINK("https://t.co/Ux3Gw4bv6e")</f>
        <v>https://t.co/Ux3Gw4bv6e</v>
      </c>
      <c r="AQ207" s="82" t="str">
        <f>HYPERLINK("https://www.bylesdigitaldesign.com/health-food-marketing")</f>
        <v>https://www.bylesdigitaldesign.com/health-food-marketing</v>
      </c>
      <c r="AR207" s="76" t="s">
        <v>7057</v>
      </c>
      <c r="AS207" s="76"/>
      <c r="AT207" s="76"/>
      <c r="AU207" s="76"/>
      <c r="AV207" s="76"/>
      <c r="AW207" s="82" t="str">
        <f>HYPERLINK("https://t.co/Ux3Gw4bv6e")</f>
        <v>https://t.co/Ux3Gw4bv6e</v>
      </c>
      <c r="AX207" s="76" t="b">
        <v>0</v>
      </c>
      <c r="AY207" s="76"/>
      <c r="AZ207" s="76"/>
      <c r="BA207" s="76" t="b">
        <v>1</v>
      </c>
      <c r="BB207" s="76" t="b">
        <v>1</v>
      </c>
      <c r="BC207" s="76" t="b">
        <v>0</v>
      </c>
      <c r="BD207" s="76" t="b">
        <v>0</v>
      </c>
      <c r="BE207" s="76" t="b">
        <v>1</v>
      </c>
      <c r="BF207" s="76" t="b">
        <v>0</v>
      </c>
      <c r="BG207" s="76" t="b">
        <v>0</v>
      </c>
      <c r="BH207" s="82" t="str">
        <f>HYPERLINK("https://pbs.twimg.com/profile_banners/830347242833784832/1623770482")</f>
        <v>https://pbs.twimg.com/profile_banners/830347242833784832/1623770482</v>
      </c>
      <c r="BI207" s="76"/>
      <c r="BJ207" s="76" t="s">
        <v>7188</v>
      </c>
      <c r="BK207" s="76" t="b">
        <v>0</v>
      </c>
      <c r="BL207" s="76"/>
      <c r="BM207" s="76" t="s">
        <v>66</v>
      </c>
      <c r="BN207" s="76" t="s">
        <v>7190</v>
      </c>
      <c r="BO207" s="82" t="str">
        <f>HYPERLINK("https://twitter.com/byles_digital")</f>
        <v>https://twitter.com/byles_digital</v>
      </c>
      <c r="BP207" s="46"/>
      <c r="BQ207" s="46"/>
      <c r="BR207" s="46"/>
      <c r="BS207" s="46"/>
      <c r="BT207" s="46"/>
      <c r="BU207" s="46"/>
      <c r="BV207" s="105" t="s">
        <v>7879</v>
      </c>
      <c r="BW207" s="105" t="s">
        <v>7879</v>
      </c>
      <c r="BX207" s="105" t="s">
        <v>8110</v>
      </c>
      <c r="BY207" s="105" t="s">
        <v>8110</v>
      </c>
      <c r="BZ207" s="2"/>
    </row>
    <row r="208" spans="1:78" ht="15">
      <c r="A208" s="62" t="s">
        <v>324</v>
      </c>
      <c r="B208" s="63"/>
      <c r="C208" s="63"/>
      <c r="D208" s="64"/>
      <c r="E208" s="66"/>
      <c r="F208" s="100" t="str">
        <f>HYPERLINK("https://pbs.twimg.com/profile_images/1606739481121505280/BmO8Bc37_normal.jpg")</f>
        <v>https://pbs.twimg.com/profile_images/1606739481121505280/BmO8Bc37_normal.jpg</v>
      </c>
      <c r="G208" s="63"/>
      <c r="H208" s="67"/>
      <c r="I208" s="68"/>
      <c r="J208" s="68"/>
      <c r="K208" s="67" t="s">
        <v>7395</v>
      </c>
      <c r="L208" s="71"/>
      <c r="M208" s="72">
        <v>5812.01611328125</v>
      </c>
      <c r="N208" s="72">
        <v>9221.7548828125</v>
      </c>
      <c r="O208" s="73"/>
      <c r="P208" s="74"/>
      <c r="Q208" s="74"/>
      <c r="R208" s="86"/>
      <c r="S208" s="46">
        <v>0</v>
      </c>
      <c r="T208" s="46">
        <v>1</v>
      </c>
      <c r="U208" s="47">
        <v>0</v>
      </c>
      <c r="V208" s="47">
        <v>0.00289</v>
      </c>
      <c r="W208" s="47">
        <v>0</v>
      </c>
      <c r="X208" s="47">
        <v>0.002681</v>
      </c>
      <c r="Y208" s="47">
        <v>0</v>
      </c>
      <c r="Z208" s="47">
        <v>0</v>
      </c>
      <c r="AA208" s="69">
        <v>208</v>
      </c>
      <c r="AB208" s="69"/>
      <c r="AC208" s="70"/>
      <c r="AD208" s="76" t="s">
        <v>6069</v>
      </c>
      <c r="AE208" s="83" t="s">
        <v>5810</v>
      </c>
      <c r="AF208" s="76">
        <v>613</v>
      </c>
      <c r="AG208" s="76">
        <v>493</v>
      </c>
      <c r="AH208" s="76">
        <v>72490</v>
      </c>
      <c r="AI208" s="76">
        <v>8</v>
      </c>
      <c r="AJ208" s="76">
        <v>6871</v>
      </c>
      <c r="AK208" s="76">
        <v>3816</v>
      </c>
      <c r="AL208" s="76" t="b">
        <v>0</v>
      </c>
      <c r="AM208" s="78">
        <v>44166.22099537037</v>
      </c>
      <c r="AN208" s="76"/>
      <c r="AO208" s="76" t="s">
        <v>6816</v>
      </c>
      <c r="AP208" s="76"/>
      <c r="AQ208" s="76"/>
      <c r="AR208" s="76"/>
      <c r="AS208" s="76"/>
      <c r="AT208" s="76"/>
      <c r="AU208" s="76"/>
      <c r="AV208" s="76"/>
      <c r="AW208" s="76"/>
      <c r="AX208" s="76" t="b">
        <v>0</v>
      </c>
      <c r="AY208" s="76"/>
      <c r="AZ208" s="76"/>
      <c r="BA208" s="76" t="b">
        <v>1</v>
      </c>
      <c r="BB208" s="76" t="b">
        <v>0</v>
      </c>
      <c r="BC208" s="76" t="b">
        <v>1</v>
      </c>
      <c r="BD208" s="76" t="b">
        <v>0</v>
      </c>
      <c r="BE208" s="76" t="b">
        <v>1</v>
      </c>
      <c r="BF208" s="76" t="b">
        <v>0</v>
      </c>
      <c r="BG208" s="76" t="b">
        <v>0</v>
      </c>
      <c r="BH208" s="82" t="str">
        <f>HYPERLINK("https://pbs.twimg.com/profile_banners/1333640984803028995/1606800612")</f>
        <v>https://pbs.twimg.com/profile_banners/1333640984803028995/1606800612</v>
      </c>
      <c r="BI208" s="76"/>
      <c r="BJ208" s="76" t="s">
        <v>7188</v>
      </c>
      <c r="BK208" s="76" t="b">
        <v>0</v>
      </c>
      <c r="BL208" s="76"/>
      <c r="BM208" s="76" t="s">
        <v>66</v>
      </c>
      <c r="BN208" s="76" t="s">
        <v>7190</v>
      </c>
      <c r="BO208" s="82" t="str">
        <f>HYPERLINK("https://twitter.com/notshebjammin")</f>
        <v>https://twitter.com/notshebjammin</v>
      </c>
      <c r="BP208" s="46"/>
      <c r="BQ208" s="46"/>
      <c r="BR208" s="46"/>
      <c r="BS208" s="46"/>
      <c r="BT208" s="46"/>
      <c r="BU208" s="46"/>
      <c r="BV208" s="105" t="s">
        <v>7880</v>
      </c>
      <c r="BW208" s="105" t="s">
        <v>7880</v>
      </c>
      <c r="BX208" s="105" t="s">
        <v>8111</v>
      </c>
      <c r="BY208" s="105" t="s">
        <v>8111</v>
      </c>
      <c r="BZ208" s="2"/>
    </row>
    <row r="209" spans="1:78" ht="15">
      <c r="A209" s="62" t="s">
        <v>355</v>
      </c>
      <c r="B209" s="63"/>
      <c r="C209" s="63"/>
      <c r="D209" s="64"/>
      <c r="E209" s="66"/>
      <c r="F209" s="100" t="str">
        <f>HYPERLINK("https://pbs.twimg.com/profile_images/1677372182408593408/IAYYkVZO_normal.jpg")</f>
        <v>https://pbs.twimg.com/profile_images/1677372182408593408/IAYYkVZO_normal.jpg</v>
      </c>
      <c r="G209" s="63"/>
      <c r="H209" s="67"/>
      <c r="I209" s="68"/>
      <c r="J209" s="68"/>
      <c r="K209" s="67" t="s">
        <v>7396</v>
      </c>
      <c r="L209" s="71"/>
      <c r="M209" s="72">
        <v>5838.65625</v>
      </c>
      <c r="N209" s="72">
        <v>9296.724609375</v>
      </c>
      <c r="O209" s="73"/>
      <c r="P209" s="74"/>
      <c r="Q209" s="74"/>
      <c r="R209" s="86"/>
      <c r="S209" s="46">
        <v>2</v>
      </c>
      <c r="T209" s="46">
        <v>1</v>
      </c>
      <c r="U209" s="47">
        <v>0</v>
      </c>
      <c r="V209" s="47">
        <v>0.00289</v>
      </c>
      <c r="W209" s="47">
        <v>0</v>
      </c>
      <c r="X209" s="47">
        <v>0.003083</v>
      </c>
      <c r="Y209" s="47">
        <v>0</v>
      </c>
      <c r="Z209" s="47">
        <v>0</v>
      </c>
      <c r="AA209" s="69">
        <v>209</v>
      </c>
      <c r="AB209" s="69"/>
      <c r="AC209" s="70"/>
      <c r="AD209" s="76" t="s">
        <v>6070</v>
      </c>
      <c r="AE209" s="83" t="s">
        <v>5764</v>
      </c>
      <c r="AF209" s="76">
        <v>146933</v>
      </c>
      <c r="AG209" s="76">
        <v>5071</v>
      </c>
      <c r="AH209" s="76">
        <v>489957</v>
      </c>
      <c r="AI209" s="76">
        <v>447</v>
      </c>
      <c r="AJ209" s="76">
        <v>310971</v>
      </c>
      <c r="AK209" s="76">
        <v>15446</v>
      </c>
      <c r="AL209" s="76" t="b">
        <v>0</v>
      </c>
      <c r="AM209" s="78">
        <v>39994.88240740741</v>
      </c>
      <c r="AN209" s="76" t="s">
        <v>6562</v>
      </c>
      <c r="AO209" s="76" t="s">
        <v>6817</v>
      </c>
      <c r="AP209" s="82" t="str">
        <f>HYPERLINK("https://t.co/RsrT8WZksE")</f>
        <v>https://t.co/RsrT8WZksE</v>
      </c>
      <c r="AQ209" s="82" t="str">
        <f>HYPERLINK("http://hannaphifer.com")</f>
        <v>http://hannaphifer.com</v>
      </c>
      <c r="AR209" s="76" t="s">
        <v>7058</v>
      </c>
      <c r="AS209" s="76"/>
      <c r="AT209" s="76"/>
      <c r="AU209" s="76"/>
      <c r="AV209" s="76">
        <v>1.65380659828267E+18</v>
      </c>
      <c r="AW209" s="82" t="str">
        <f>HYPERLINK("https://t.co/RsrT8WZksE")</f>
        <v>https://t.co/RsrT8WZksE</v>
      </c>
      <c r="AX209" s="76" t="b">
        <v>0</v>
      </c>
      <c r="AY209" s="76"/>
      <c r="AZ209" s="76"/>
      <c r="BA209" s="76" t="b">
        <v>0</v>
      </c>
      <c r="BB209" s="76" t="b">
        <v>1</v>
      </c>
      <c r="BC209" s="76" t="b">
        <v>1</v>
      </c>
      <c r="BD209" s="76" t="b">
        <v>0</v>
      </c>
      <c r="BE209" s="76" t="b">
        <v>1</v>
      </c>
      <c r="BF209" s="76" t="b">
        <v>0</v>
      </c>
      <c r="BG209" s="76" t="b">
        <v>0</v>
      </c>
      <c r="BH209" s="82" t="str">
        <f>HYPERLINK("https://pbs.twimg.com/profile_banners/52522131/1537043055")</f>
        <v>https://pbs.twimg.com/profile_banners/52522131/1537043055</v>
      </c>
      <c r="BI209" s="76"/>
      <c r="BJ209" s="76" t="s">
        <v>7188</v>
      </c>
      <c r="BK209" s="76" t="b">
        <v>0</v>
      </c>
      <c r="BL209" s="76"/>
      <c r="BM209" s="76" t="s">
        <v>66</v>
      </c>
      <c r="BN209" s="76" t="s">
        <v>7190</v>
      </c>
      <c r="BO209" s="82" t="str">
        <f>HYPERLINK("https://twitter.com/writtenbyhanna")</f>
        <v>https://twitter.com/writtenbyhanna</v>
      </c>
      <c r="BP209" s="46" t="s">
        <v>7639</v>
      </c>
      <c r="BQ209" s="46" t="s">
        <v>7639</v>
      </c>
      <c r="BR209" s="46" t="s">
        <v>2022</v>
      </c>
      <c r="BS209" s="46" t="s">
        <v>2022</v>
      </c>
      <c r="BT209" s="46"/>
      <c r="BU209" s="46"/>
      <c r="BV209" s="105" t="s">
        <v>7881</v>
      </c>
      <c r="BW209" s="105" t="s">
        <v>7881</v>
      </c>
      <c r="BX209" s="105" t="s">
        <v>8112</v>
      </c>
      <c r="BY209" s="105" t="s">
        <v>8112</v>
      </c>
      <c r="BZ209" s="2"/>
    </row>
    <row r="210" spans="1:78" ht="15">
      <c r="A210" s="62" t="s">
        <v>325</v>
      </c>
      <c r="B210" s="63"/>
      <c r="C210" s="63"/>
      <c r="D210" s="64"/>
      <c r="E210" s="66"/>
      <c r="F210" s="100" t="str">
        <f>HYPERLINK("https://pbs.twimg.com/profile_images/1084850042538610688/l6TwqMII_normal.jpg")</f>
        <v>https://pbs.twimg.com/profile_images/1084850042538610688/l6TwqMII_normal.jpg</v>
      </c>
      <c r="G210" s="63"/>
      <c r="H210" s="67"/>
      <c r="I210" s="68"/>
      <c r="J210" s="68"/>
      <c r="K210" s="67" t="s">
        <v>7397</v>
      </c>
      <c r="L210" s="71"/>
      <c r="M210" s="72">
        <v>5865.2958984375</v>
      </c>
      <c r="N210" s="72">
        <v>9366.12109375</v>
      </c>
      <c r="O210" s="73"/>
      <c r="P210" s="74"/>
      <c r="Q210" s="74"/>
      <c r="R210" s="86"/>
      <c r="S210" s="46">
        <v>0</v>
      </c>
      <c r="T210" s="46">
        <v>5</v>
      </c>
      <c r="U210" s="47">
        <v>1388</v>
      </c>
      <c r="V210" s="47">
        <v>0.21889</v>
      </c>
      <c r="W210" s="47">
        <v>0.064034</v>
      </c>
      <c r="X210" s="47">
        <v>0.004041</v>
      </c>
      <c r="Y210" s="47">
        <v>0</v>
      </c>
      <c r="Z210" s="47">
        <v>0</v>
      </c>
      <c r="AA210" s="69">
        <v>210</v>
      </c>
      <c r="AB210" s="69"/>
      <c r="AC210" s="70"/>
      <c r="AD210" s="76" t="s">
        <v>6071</v>
      </c>
      <c r="AE210" s="83" t="s">
        <v>5811</v>
      </c>
      <c r="AF210" s="76">
        <v>6</v>
      </c>
      <c r="AG210" s="76">
        <v>0</v>
      </c>
      <c r="AH210" s="76">
        <v>6</v>
      </c>
      <c r="AI210" s="76">
        <v>0</v>
      </c>
      <c r="AJ210" s="76">
        <v>0</v>
      </c>
      <c r="AK210" s="76">
        <v>5</v>
      </c>
      <c r="AL210" s="76" t="b">
        <v>0</v>
      </c>
      <c r="AM210" s="78">
        <v>43479.68171296296</v>
      </c>
      <c r="AN210" s="76"/>
      <c r="AO210" s="76"/>
      <c r="AP210" s="82" t="str">
        <f>HYPERLINK("https://t.co/IZkvUPgR2c")</f>
        <v>https://t.co/IZkvUPgR2c</v>
      </c>
      <c r="AQ210" s="82" t="str">
        <f>HYPERLINK("http://dcevents.co/")</f>
        <v>http://dcevents.co/</v>
      </c>
      <c r="AR210" s="76" t="s">
        <v>7059</v>
      </c>
      <c r="AS210" s="76"/>
      <c r="AT210" s="76"/>
      <c r="AU210" s="76"/>
      <c r="AV210" s="76"/>
      <c r="AW210" s="82" t="str">
        <f>HYPERLINK("https://t.co/IZkvUPgR2c")</f>
        <v>https://t.co/IZkvUPgR2c</v>
      </c>
      <c r="AX210" s="76" t="b">
        <v>0</v>
      </c>
      <c r="AY210" s="76"/>
      <c r="AZ210" s="76"/>
      <c r="BA210" s="76" t="b">
        <v>1</v>
      </c>
      <c r="BB210" s="76" t="b">
        <v>1</v>
      </c>
      <c r="BC210" s="76" t="b">
        <v>0</v>
      </c>
      <c r="BD210" s="76" t="b">
        <v>0</v>
      </c>
      <c r="BE210" s="76" t="b">
        <v>0</v>
      </c>
      <c r="BF210" s="76" t="b">
        <v>0</v>
      </c>
      <c r="BG210" s="76" t="b">
        <v>0</v>
      </c>
      <c r="BH210" s="82" t="str">
        <f>HYPERLINK("https://pbs.twimg.com/profile_banners/1084848030837235712/1547483417")</f>
        <v>https://pbs.twimg.com/profile_banners/1084848030837235712/1547483417</v>
      </c>
      <c r="BI210" s="76"/>
      <c r="BJ210" s="76" t="s">
        <v>7188</v>
      </c>
      <c r="BK210" s="76" t="b">
        <v>0</v>
      </c>
      <c r="BL210" s="76"/>
      <c r="BM210" s="76" t="s">
        <v>66</v>
      </c>
      <c r="BN210" s="76" t="s">
        <v>7190</v>
      </c>
      <c r="BO210" s="82" t="str">
        <f>HYPERLINK("https://twitter.com/dc_dreamsevents")</f>
        <v>https://twitter.com/dc_dreamsevents</v>
      </c>
      <c r="BP210" s="46" t="s">
        <v>7640</v>
      </c>
      <c r="BQ210" s="46" t="s">
        <v>7640</v>
      </c>
      <c r="BR210" s="46" t="s">
        <v>2011</v>
      </c>
      <c r="BS210" s="46" t="s">
        <v>2011</v>
      </c>
      <c r="BT210" s="46" t="s">
        <v>1791</v>
      </c>
      <c r="BU210" s="46" t="s">
        <v>7764</v>
      </c>
      <c r="BV210" s="105" t="s">
        <v>7882</v>
      </c>
      <c r="BW210" s="105" t="s">
        <v>7882</v>
      </c>
      <c r="BX210" s="105" t="s">
        <v>8113</v>
      </c>
      <c r="BY210" s="105" t="s">
        <v>8113</v>
      </c>
      <c r="BZ210" s="2"/>
    </row>
    <row r="211" spans="1:78" ht="15">
      <c r="A211" s="62" t="s">
        <v>522</v>
      </c>
      <c r="B211" s="63"/>
      <c r="C211" s="63"/>
      <c r="D211" s="64"/>
      <c r="E211" s="66"/>
      <c r="F211" s="100" t="str">
        <f>HYPERLINK("https://pbs.twimg.com/profile_images/1026797338923163649/yoaKnxQR_normal.jpg")</f>
        <v>https://pbs.twimg.com/profile_images/1026797338923163649/yoaKnxQR_normal.jpg</v>
      </c>
      <c r="G211" s="63"/>
      <c r="H211" s="67"/>
      <c r="I211" s="68"/>
      <c r="J211" s="68"/>
      <c r="K211" s="67" t="s">
        <v>7398</v>
      </c>
      <c r="L211" s="71"/>
      <c r="M211" s="72">
        <v>5891.935546875</v>
      </c>
      <c r="N211" s="72">
        <v>9429.8583984375</v>
      </c>
      <c r="O211" s="73"/>
      <c r="P211" s="74"/>
      <c r="Q211" s="74"/>
      <c r="R211" s="86"/>
      <c r="S211" s="46">
        <v>1</v>
      </c>
      <c r="T211" s="46">
        <v>0</v>
      </c>
      <c r="U211" s="47">
        <v>0</v>
      </c>
      <c r="V211" s="47">
        <v>0.153298</v>
      </c>
      <c r="W211" s="47">
        <v>0.00567</v>
      </c>
      <c r="X211" s="47">
        <v>0.002571</v>
      </c>
      <c r="Y211" s="47">
        <v>0</v>
      </c>
      <c r="Z211" s="47">
        <v>0</v>
      </c>
      <c r="AA211" s="69">
        <v>211</v>
      </c>
      <c r="AB211" s="69"/>
      <c r="AC211" s="70"/>
      <c r="AD211" s="76" t="s">
        <v>6072</v>
      </c>
      <c r="AE211" s="83" t="s">
        <v>6342</v>
      </c>
      <c r="AF211" s="76">
        <v>66475</v>
      </c>
      <c r="AG211" s="76">
        <v>170</v>
      </c>
      <c r="AH211" s="76">
        <v>46468</v>
      </c>
      <c r="AI211" s="76">
        <v>234</v>
      </c>
      <c r="AJ211" s="76">
        <v>250</v>
      </c>
      <c r="AK211" s="76">
        <v>6526</v>
      </c>
      <c r="AL211" s="76" t="b">
        <v>0</v>
      </c>
      <c r="AM211" s="78">
        <v>40861.18451388889</v>
      </c>
      <c r="AN211" s="76" t="s">
        <v>3910</v>
      </c>
      <c r="AO211" s="76" t="s">
        <v>6818</v>
      </c>
      <c r="AP211" s="82" t="str">
        <f>HYPERLINK("https://t.co/ulhB2trywW")</f>
        <v>https://t.co/ulhB2trywW</v>
      </c>
      <c r="AQ211" s="82" t="str">
        <f>HYPERLINK("https://www.thehindu.com/news/cities/Hyderabad/")</f>
        <v>https://www.thehindu.com/news/cities/Hyderabad/</v>
      </c>
      <c r="AR211" s="76" t="s">
        <v>7060</v>
      </c>
      <c r="AS211" s="76"/>
      <c r="AT211" s="76"/>
      <c r="AU211" s="76"/>
      <c r="AV211" s="76"/>
      <c r="AW211" s="82" t="str">
        <f>HYPERLINK("https://t.co/ulhB2trywW")</f>
        <v>https://t.co/ulhB2trywW</v>
      </c>
      <c r="AX211" s="76" t="b">
        <v>0</v>
      </c>
      <c r="AY211" s="76"/>
      <c r="AZ211" s="76" t="b">
        <v>1</v>
      </c>
      <c r="BA211" s="76" t="b">
        <v>0</v>
      </c>
      <c r="BB211" s="76" t="b">
        <v>0</v>
      </c>
      <c r="BC211" s="76" t="b">
        <v>0</v>
      </c>
      <c r="BD211" s="76" t="b">
        <v>0</v>
      </c>
      <c r="BE211" s="76" t="b">
        <v>1</v>
      </c>
      <c r="BF211" s="76" t="b">
        <v>0</v>
      </c>
      <c r="BG211" s="76" t="b">
        <v>0</v>
      </c>
      <c r="BH211" s="82" t="str">
        <f>HYPERLINK("https://pbs.twimg.com/profile_banners/411999422/1589266437")</f>
        <v>https://pbs.twimg.com/profile_banners/411999422/1589266437</v>
      </c>
      <c r="BI211" s="76"/>
      <c r="BJ211" s="76" t="s">
        <v>7188</v>
      </c>
      <c r="BK211" s="76" t="b">
        <v>1</v>
      </c>
      <c r="BL211" s="76"/>
      <c r="BM211" s="76" t="s">
        <v>65</v>
      </c>
      <c r="BN211" s="76" t="s">
        <v>7190</v>
      </c>
      <c r="BO211" s="82" t="str">
        <f>HYPERLINK("https://twitter.com/thhyderabad")</f>
        <v>https://twitter.com/thhyderabad</v>
      </c>
      <c r="BP211" s="46"/>
      <c r="BQ211" s="46"/>
      <c r="BR211" s="46"/>
      <c r="BS211" s="46"/>
      <c r="BT211" s="46"/>
      <c r="BU211" s="46"/>
      <c r="BV211" s="46"/>
      <c r="BW211" s="46"/>
      <c r="BX211" s="46"/>
      <c r="BY211" s="46"/>
      <c r="BZ211" s="2"/>
    </row>
    <row r="212" spans="1:78" ht="15">
      <c r="A212" s="62" t="s">
        <v>523</v>
      </c>
      <c r="B212" s="63"/>
      <c r="C212" s="63"/>
      <c r="D212" s="64"/>
      <c r="E212" s="66"/>
      <c r="F212" s="100" t="str">
        <f>HYPERLINK("https://pbs.twimg.com/profile_images/1542915485515366400/HfZ0K2rr_normal.jpg")</f>
        <v>https://pbs.twimg.com/profile_images/1542915485515366400/HfZ0K2rr_normal.jpg</v>
      </c>
      <c r="G212" s="63"/>
      <c r="H212" s="67"/>
      <c r="I212" s="68"/>
      <c r="J212" s="68"/>
      <c r="K212" s="67" t="s">
        <v>7399</v>
      </c>
      <c r="L212" s="71"/>
      <c r="M212" s="72">
        <v>5918.57568359375</v>
      </c>
      <c r="N212" s="72">
        <v>9487.8515625</v>
      </c>
      <c r="O212" s="73"/>
      <c r="P212" s="74"/>
      <c r="Q212" s="74"/>
      <c r="R212" s="86"/>
      <c r="S212" s="46">
        <v>1</v>
      </c>
      <c r="T212" s="46">
        <v>0</v>
      </c>
      <c r="U212" s="47">
        <v>0</v>
      </c>
      <c r="V212" s="47">
        <v>0.153298</v>
      </c>
      <c r="W212" s="47">
        <v>0.00567</v>
      </c>
      <c r="X212" s="47">
        <v>0.002571</v>
      </c>
      <c r="Y212" s="47">
        <v>0</v>
      </c>
      <c r="Z212" s="47">
        <v>0</v>
      </c>
      <c r="AA212" s="69">
        <v>212</v>
      </c>
      <c r="AB212" s="69"/>
      <c r="AC212" s="70"/>
      <c r="AD212" s="76" t="s">
        <v>6073</v>
      </c>
      <c r="AE212" s="83" t="s">
        <v>6343</v>
      </c>
      <c r="AF212" s="76">
        <v>16</v>
      </c>
      <c r="AG212" s="76">
        <v>136</v>
      </c>
      <c r="AH212" s="76">
        <v>38</v>
      </c>
      <c r="AI212" s="76">
        <v>0</v>
      </c>
      <c r="AJ212" s="76">
        <v>4</v>
      </c>
      <c r="AK212" s="76">
        <v>33</v>
      </c>
      <c r="AL212" s="76" t="b">
        <v>0</v>
      </c>
      <c r="AM212" s="78">
        <v>43069.608981481484</v>
      </c>
      <c r="AN212" s="76" t="s">
        <v>6563</v>
      </c>
      <c r="AO212" s="76" t="s">
        <v>6819</v>
      </c>
      <c r="AP212" s="82" t="str">
        <f>HYPERLINK("https://t.co/DhI0MztDUA")</f>
        <v>https://t.co/DhI0MztDUA</v>
      </c>
      <c r="AQ212" s="82" t="str">
        <f>HYPERLINK("http://www.rsmgears.com")</f>
        <v>http://www.rsmgears.com</v>
      </c>
      <c r="AR212" s="76" t="s">
        <v>7061</v>
      </c>
      <c r="AS212" s="76"/>
      <c r="AT212" s="76"/>
      <c r="AU212" s="76"/>
      <c r="AV212" s="76"/>
      <c r="AW212" s="82" t="str">
        <f>HYPERLINK("https://t.co/DhI0MztDUA")</f>
        <v>https://t.co/DhI0MztDUA</v>
      </c>
      <c r="AX212" s="76" t="b">
        <v>0</v>
      </c>
      <c r="AY212" s="76"/>
      <c r="AZ212" s="76"/>
      <c r="BA212" s="76" t="b">
        <v>0</v>
      </c>
      <c r="BB212" s="76" t="b">
        <v>1</v>
      </c>
      <c r="BC212" s="76" t="b">
        <v>0</v>
      </c>
      <c r="BD212" s="76" t="b">
        <v>0</v>
      </c>
      <c r="BE212" s="76" t="b">
        <v>0</v>
      </c>
      <c r="BF212" s="76" t="b">
        <v>0</v>
      </c>
      <c r="BG212" s="76" t="b">
        <v>0</v>
      </c>
      <c r="BH212" s="82" t="str">
        <f>HYPERLINK("https://pbs.twimg.com/profile_banners/936242646779138048/1656694692")</f>
        <v>https://pbs.twimg.com/profile_banners/936242646779138048/1656694692</v>
      </c>
      <c r="BI212" s="76"/>
      <c r="BJ212" s="76" t="s">
        <v>7188</v>
      </c>
      <c r="BK212" s="76" t="b">
        <v>0</v>
      </c>
      <c r="BL212" s="76"/>
      <c r="BM212" s="76" t="s">
        <v>65</v>
      </c>
      <c r="BN212" s="76" t="s">
        <v>7190</v>
      </c>
      <c r="BO212" s="82" t="str">
        <f>HYPERLINK("https://twitter.com/rsmgears")</f>
        <v>https://twitter.com/rsmgears</v>
      </c>
      <c r="BP212" s="46"/>
      <c r="BQ212" s="46"/>
      <c r="BR212" s="46"/>
      <c r="BS212" s="46"/>
      <c r="BT212" s="46"/>
      <c r="BU212" s="46"/>
      <c r="BV212" s="46"/>
      <c r="BW212" s="46"/>
      <c r="BX212" s="46"/>
      <c r="BY212" s="46"/>
      <c r="BZ212" s="2"/>
    </row>
    <row r="213" spans="1:78" ht="15">
      <c r="A213" s="62" t="s">
        <v>524</v>
      </c>
      <c r="B213" s="63"/>
      <c r="C213" s="63"/>
      <c r="D213" s="64"/>
      <c r="E213" s="66"/>
      <c r="F213" s="100" t="str">
        <f>HYPERLINK("https://pbs.twimg.com/profile_images/1087963834550272000/i2zGp60N_normal.jpg")</f>
        <v>https://pbs.twimg.com/profile_images/1087963834550272000/i2zGp60N_normal.jpg</v>
      </c>
      <c r="G213" s="63"/>
      <c r="H213" s="67"/>
      <c r="I213" s="68"/>
      <c r="J213" s="68"/>
      <c r="K213" s="67" t="s">
        <v>7400</v>
      </c>
      <c r="L213" s="71"/>
      <c r="M213" s="72">
        <v>5945.2158203125</v>
      </c>
      <c r="N213" s="72">
        <v>9540.0283203125</v>
      </c>
      <c r="O213" s="73"/>
      <c r="P213" s="74"/>
      <c r="Q213" s="74"/>
      <c r="R213" s="86"/>
      <c r="S213" s="46">
        <v>1</v>
      </c>
      <c r="T213" s="46">
        <v>0</v>
      </c>
      <c r="U213" s="47">
        <v>0</v>
      </c>
      <c r="V213" s="47">
        <v>0.153298</v>
      </c>
      <c r="W213" s="47">
        <v>0.00567</v>
      </c>
      <c r="X213" s="47">
        <v>0.002571</v>
      </c>
      <c r="Y213" s="47">
        <v>0</v>
      </c>
      <c r="Z213" s="47">
        <v>0</v>
      </c>
      <c r="AA213" s="69">
        <v>213</v>
      </c>
      <c r="AB213" s="69"/>
      <c r="AC213" s="70"/>
      <c r="AD213" s="76" t="s">
        <v>6074</v>
      </c>
      <c r="AE213" s="83" t="s">
        <v>6344</v>
      </c>
      <c r="AF213" s="76">
        <v>2421</v>
      </c>
      <c r="AG213" s="76">
        <v>158</v>
      </c>
      <c r="AH213" s="76">
        <v>6486</v>
      </c>
      <c r="AI213" s="76">
        <v>4</v>
      </c>
      <c r="AJ213" s="76">
        <v>611</v>
      </c>
      <c r="AK213" s="76">
        <v>6056</v>
      </c>
      <c r="AL213" s="76" t="b">
        <v>0</v>
      </c>
      <c r="AM213" s="78">
        <v>40606.21502314815</v>
      </c>
      <c r="AN213" s="76"/>
      <c r="AO213" s="76" t="s">
        <v>6820</v>
      </c>
      <c r="AP213" s="82" t="str">
        <f>HYPERLINK("https://t.co/LuIqer1wQG")</f>
        <v>https://t.co/LuIqer1wQG</v>
      </c>
      <c r="AQ213" s="82" t="str">
        <f>HYPERLINK("http://cricclubs.com")</f>
        <v>http://cricclubs.com</v>
      </c>
      <c r="AR213" s="76" t="s">
        <v>7062</v>
      </c>
      <c r="AS213" s="82" t="str">
        <f>HYPERLINK("https://t.co/WL0QSvCol3")</f>
        <v>https://t.co/WL0QSvCol3</v>
      </c>
      <c r="AT213" s="82" t="str">
        <f>HYPERLINK("http://onelink.to/cricclubs")</f>
        <v>http://onelink.to/cricclubs</v>
      </c>
      <c r="AU213" s="76" t="s">
        <v>7176</v>
      </c>
      <c r="AV213" s="76"/>
      <c r="AW213" s="82" t="str">
        <f>HYPERLINK("https://t.co/LuIqer1wQG")</f>
        <v>https://t.co/LuIqer1wQG</v>
      </c>
      <c r="AX213" s="76" t="b">
        <v>0</v>
      </c>
      <c r="AY213" s="76"/>
      <c r="AZ213" s="76"/>
      <c r="BA213" s="76" t="b">
        <v>1</v>
      </c>
      <c r="BB213" s="76" t="b">
        <v>1</v>
      </c>
      <c r="BC213" s="76" t="b">
        <v>0</v>
      </c>
      <c r="BD213" s="76" t="b">
        <v>0</v>
      </c>
      <c r="BE213" s="76" t="b">
        <v>0</v>
      </c>
      <c r="BF213" s="76" t="b">
        <v>0</v>
      </c>
      <c r="BG213" s="76" t="b">
        <v>0</v>
      </c>
      <c r="BH213" s="82" t="str">
        <f>HYPERLINK("https://pbs.twimg.com/profile_banners/260591278/1629252499")</f>
        <v>https://pbs.twimg.com/profile_banners/260591278/1629252499</v>
      </c>
      <c r="BI213" s="76"/>
      <c r="BJ213" s="76" t="s">
        <v>7188</v>
      </c>
      <c r="BK213" s="76" t="b">
        <v>0</v>
      </c>
      <c r="BL213" s="76"/>
      <c r="BM213" s="76" t="s">
        <v>65</v>
      </c>
      <c r="BN213" s="76" t="s">
        <v>7190</v>
      </c>
      <c r="BO213" s="82" t="str">
        <f>HYPERLINK("https://twitter.com/cricclubs")</f>
        <v>https://twitter.com/cricclubs</v>
      </c>
      <c r="BP213" s="46"/>
      <c r="BQ213" s="46"/>
      <c r="BR213" s="46"/>
      <c r="BS213" s="46"/>
      <c r="BT213" s="46"/>
      <c r="BU213" s="46"/>
      <c r="BV213" s="46"/>
      <c r="BW213" s="46"/>
      <c r="BX213" s="46"/>
      <c r="BY213" s="46"/>
      <c r="BZ213" s="2"/>
    </row>
    <row r="214" spans="1:78" ht="15">
      <c r="A214" s="62" t="s">
        <v>525</v>
      </c>
      <c r="B214" s="63"/>
      <c r="C214" s="63"/>
      <c r="D214" s="64"/>
      <c r="E214" s="66"/>
      <c r="F214" s="100" t="str">
        <f>HYPERLINK("https://pbs.twimg.com/profile_images/938730661506031616/tUNgV_wC_normal.jpg")</f>
        <v>https://pbs.twimg.com/profile_images/938730661506031616/tUNgV_wC_normal.jpg</v>
      </c>
      <c r="G214" s="63"/>
      <c r="H214" s="67"/>
      <c r="I214" s="68"/>
      <c r="J214" s="68"/>
      <c r="K214" s="67" t="s">
        <v>7401</v>
      </c>
      <c r="L214" s="71"/>
      <c r="M214" s="72">
        <v>5971.85546875</v>
      </c>
      <c r="N214" s="72">
        <v>9586.31640625</v>
      </c>
      <c r="O214" s="73"/>
      <c r="P214" s="74"/>
      <c r="Q214" s="74"/>
      <c r="R214" s="86"/>
      <c r="S214" s="46">
        <v>1</v>
      </c>
      <c r="T214" s="46">
        <v>0</v>
      </c>
      <c r="U214" s="47">
        <v>0</v>
      </c>
      <c r="V214" s="47">
        <v>0.153298</v>
      </c>
      <c r="W214" s="47">
        <v>0.00567</v>
      </c>
      <c r="X214" s="47">
        <v>0.002571</v>
      </c>
      <c r="Y214" s="47">
        <v>0</v>
      </c>
      <c r="Z214" s="47">
        <v>0</v>
      </c>
      <c r="AA214" s="69">
        <v>214</v>
      </c>
      <c r="AB214" s="69"/>
      <c r="AC214" s="70"/>
      <c r="AD214" s="76" t="s">
        <v>6075</v>
      </c>
      <c r="AE214" s="83" t="s">
        <v>6345</v>
      </c>
      <c r="AF214" s="76">
        <v>31</v>
      </c>
      <c r="AG214" s="76">
        <v>6</v>
      </c>
      <c r="AH214" s="76">
        <v>20</v>
      </c>
      <c r="AI214" s="76">
        <v>0</v>
      </c>
      <c r="AJ214" s="76">
        <v>2</v>
      </c>
      <c r="AK214" s="76">
        <v>17</v>
      </c>
      <c r="AL214" s="76" t="b">
        <v>0</v>
      </c>
      <c r="AM214" s="78">
        <v>43076.4662962963</v>
      </c>
      <c r="AN214" s="76" t="s">
        <v>3895</v>
      </c>
      <c r="AO214" s="76" t="s">
        <v>6821</v>
      </c>
      <c r="AP214" s="76"/>
      <c r="AQ214" s="76"/>
      <c r="AR214" s="76"/>
      <c r="AS214" s="76"/>
      <c r="AT214" s="76"/>
      <c r="AU214" s="76"/>
      <c r="AV214" s="76"/>
      <c r="AW214" s="76"/>
      <c r="AX214" s="76" t="b">
        <v>0</v>
      </c>
      <c r="AY214" s="76"/>
      <c r="AZ214" s="76"/>
      <c r="BA214" s="76" t="b">
        <v>0</v>
      </c>
      <c r="BB214" s="76" t="b">
        <v>1</v>
      </c>
      <c r="BC214" s="76" t="b">
        <v>1</v>
      </c>
      <c r="BD214" s="76" t="b">
        <v>0</v>
      </c>
      <c r="BE214" s="76" t="b">
        <v>0</v>
      </c>
      <c r="BF214" s="76" t="b">
        <v>0</v>
      </c>
      <c r="BG214" s="76" t="b">
        <v>0</v>
      </c>
      <c r="BH214" s="82" t="str">
        <f>HYPERLINK("https://pbs.twimg.com/profile_banners/938727653422505984/1519034376")</f>
        <v>https://pbs.twimg.com/profile_banners/938727653422505984/1519034376</v>
      </c>
      <c r="BI214" s="76"/>
      <c r="BJ214" s="76" t="s">
        <v>7188</v>
      </c>
      <c r="BK214" s="76" t="b">
        <v>0</v>
      </c>
      <c r="BL214" s="76"/>
      <c r="BM214" s="76" t="s">
        <v>65</v>
      </c>
      <c r="BN214" s="76" t="s">
        <v>7190</v>
      </c>
      <c r="BO214" s="82" t="str">
        <f>HYPERLINK("https://twitter.com/nandi_tyres")</f>
        <v>https://twitter.com/nandi_tyres</v>
      </c>
      <c r="BP214" s="46"/>
      <c r="BQ214" s="46"/>
      <c r="BR214" s="46"/>
      <c r="BS214" s="46"/>
      <c r="BT214" s="46"/>
      <c r="BU214" s="46"/>
      <c r="BV214" s="46"/>
      <c r="BW214" s="46"/>
      <c r="BX214" s="46"/>
      <c r="BY214" s="46"/>
      <c r="BZ214" s="2"/>
    </row>
    <row r="215" spans="1:78" ht="15">
      <c r="A215" s="62" t="s">
        <v>326</v>
      </c>
      <c r="B215" s="63"/>
      <c r="C215" s="63"/>
      <c r="D215" s="64"/>
      <c r="E215" s="66"/>
      <c r="F215" s="100" t="str">
        <f>HYPERLINK("https://pbs.twimg.com/profile_images/793451736061079552/mzm0DXCC_normal.jpg")</f>
        <v>https://pbs.twimg.com/profile_images/793451736061079552/mzm0DXCC_normal.jpg</v>
      </c>
      <c r="G215" s="63"/>
      <c r="H215" s="67"/>
      <c r="I215" s="68"/>
      <c r="J215" s="68"/>
      <c r="K215" s="67" t="s">
        <v>7402</v>
      </c>
      <c r="L215" s="71"/>
      <c r="M215" s="72">
        <v>5998.4951171875</v>
      </c>
      <c r="N215" s="72">
        <v>9610.1181640625</v>
      </c>
      <c r="O215" s="73"/>
      <c r="P215" s="74"/>
      <c r="Q215" s="74"/>
      <c r="R215" s="86"/>
      <c r="S215" s="46">
        <v>0</v>
      </c>
      <c r="T215" s="46">
        <v>1</v>
      </c>
      <c r="U215" s="47">
        <v>0</v>
      </c>
      <c r="V215" s="47">
        <v>0.214691</v>
      </c>
      <c r="W215" s="47">
        <v>0.062026</v>
      </c>
      <c r="X215" s="47">
        <v>0.002499</v>
      </c>
      <c r="Y215" s="47">
        <v>0</v>
      </c>
      <c r="Z215" s="47">
        <v>0</v>
      </c>
      <c r="AA215" s="69">
        <v>215</v>
      </c>
      <c r="AB215" s="69"/>
      <c r="AC215" s="70"/>
      <c r="AD215" s="76" t="s">
        <v>6076</v>
      </c>
      <c r="AE215" s="83" t="s">
        <v>6346</v>
      </c>
      <c r="AF215" s="76">
        <v>3036</v>
      </c>
      <c r="AG215" s="76">
        <v>3290</v>
      </c>
      <c r="AH215" s="76">
        <v>14786</v>
      </c>
      <c r="AI215" s="76">
        <v>109</v>
      </c>
      <c r="AJ215" s="76">
        <v>1081</v>
      </c>
      <c r="AK215" s="76">
        <v>1835</v>
      </c>
      <c r="AL215" s="76" t="b">
        <v>0</v>
      </c>
      <c r="AM215" s="78">
        <v>40613.573645833334</v>
      </c>
      <c r="AN215" s="76" t="s">
        <v>6564</v>
      </c>
      <c r="AO215" s="76" t="s">
        <v>6822</v>
      </c>
      <c r="AP215" s="82" t="str">
        <f>HYPERLINK("https://t.co/6uVvGBiCKB")</f>
        <v>https://t.co/6uVvGBiCKB</v>
      </c>
      <c r="AQ215" s="82" t="str">
        <f>HYPERLINK("http://www.redbookproductions.co.uk")</f>
        <v>http://www.redbookproductions.co.uk</v>
      </c>
      <c r="AR215" s="76" t="s">
        <v>7063</v>
      </c>
      <c r="AS215" s="76"/>
      <c r="AT215" s="76"/>
      <c r="AU215" s="76"/>
      <c r="AV215" s="76"/>
      <c r="AW215" s="82" t="str">
        <f>HYPERLINK("https://t.co/6uVvGBiCKB")</f>
        <v>https://t.co/6uVvGBiCKB</v>
      </c>
      <c r="AX215" s="76" t="b">
        <v>0</v>
      </c>
      <c r="AY215" s="76"/>
      <c r="AZ215" s="76"/>
      <c r="BA215" s="76" t="b">
        <v>0</v>
      </c>
      <c r="BB215" s="76" t="b">
        <v>1</v>
      </c>
      <c r="BC215" s="76" t="b">
        <v>0</v>
      </c>
      <c r="BD215" s="76" t="b">
        <v>0</v>
      </c>
      <c r="BE215" s="76" t="b">
        <v>1</v>
      </c>
      <c r="BF215" s="76" t="b">
        <v>0</v>
      </c>
      <c r="BG215" s="76" t="b">
        <v>0</v>
      </c>
      <c r="BH215" s="82" t="str">
        <f>HYPERLINK("https://pbs.twimg.com/profile_banners/264184368/1478008633")</f>
        <v>https://pbs.twimg.com/profile_banners/264184368/1478008633</v>
      </c>
      <c r="BI215" s="76"/>
      <c r="BJ215" s="76" t="s">
        <v>7188</v>
      </c>
      <c r="BK215" s="76" t="b">
        <v>0</v>
      </c>
      <c r="BL215" s="76"/>
      <c r="BM215" s="76" t="s">
        <v>66</v>
      </c>
      <c r="BN215" s="76" t="s">
        <v>7190</v>
      </c>
      <c r="BO215" s="82" t="str">
        <f>HYPERLINK("https://twitter.com/redbookfilms")</f>
        <v>https://twitter.com/redbookfilms</v>
      </c>
      <c r="BP215" s="46" t="s">
        <v>7641</v>
      </c>
      <c r="BQ215" s="46" t="s">
        <v>7641</v>
      </c>
      <c r="BR215" s="46" t="s">
        <v>1984</v>
      </c>
      <c r="BS215" s="46" t="s">
        <v>1984</v>
      </c>
      <c r="BT215" s="46"/>
      <c r="BU215" s="46"/>
      <c r="BV215" s="105" t="s">
        <v>7883</v>
      </c>
      <c r="BW215" s="105" t="s">
        <v>7883</v>
      </c>
      <c r="BX215" s="105" t="s">
        <v>8114</v>
      </c>
      <c r="BY215" s="105" t="s">
        <v>8114</v>
      </c>
      <c r="BZ215" s="2"/>
    </row>
    <row r="216" spans="1:78" ht="15">
      <c r="A216" s="62" t="s">
        <v>327</v>
      </c>
      <c r="B216" s="63"/>
      <c r="C216" s="63"/>
      <c r="D216" s="64"/>
      <c r="E216" s="66"/>
      <c r="F216" s="100" t="str">
        <f>HYPERLINK("https://pbs.twimg.com/profile_images/796527478844096513/nfWOLST-_normal.jpg")</f>
        <v>https://pbs.twimg.com/profile_images/796527478844096513/nfWOLST-_normal.jpg</v>
      </c>
      <c r="G216" s="63"/>
      <c r="H216" s="67"/>
      <c r="I216" s="68"/>
      <c r="J216" s="68"/>
      <c r="K216" s="67" t="s">
        <v>7403</v>
      </c>
      <c r="L216" s="71"/>
      <c r="M216" s="72">
        <v>6025.13525390625</v>
      </c>
      <c r="N216" s="72">
        <v>9610.1181640625</v>
      </c>
      <c r="O216" s="73"/>
      <c r="P216" s="74"/>
      <c r="Q216" s="74"/>
      <c r="R216" s="86"/>
      <c r="S216" s="46">
        <v>0</v>
      </c>
      <c r="T216" s="46">
        <v>1</v>
      </c>
      <c r="U216" s="47">
        <v>0</v>
      </c>
      <c r="V216" s="47">
        <v>0.214691</v>
      </c>
      <c r="W216" s="47">
        <v>0.062026</v>
      </c>
      <c r="X216" s="47">
        <v>0.002499</v>
      </c>
      <c r="Y216" s="47">
        <v>0</v>
      </c>
      <c r="Z216" s="47">
        <v>0</v>
      </c>
      <c r="AA216" s="69">
        <v>216</v>
      </c>
      <c r="AB216" s="69"/>
      <c r="AC216" s="70"/>
      <c r="AD216" s="76" t="s">
        <v>6077</v>
      </c>
      <c r="AE216" s="83" t="s">
        <v>6347</v>
      </c>
      <c r="AF216" s="76">
        <v>2787</v>
      </c>
      <c r="AG216" s="76">
        <v>1425</v>
      </c>
      <c r="AH216" s="76">
        <v>8512</v>
      </c>
      <c r="AI216" s="76">
        <v>167</v>
      </c>
      <c r="AJ216" s="76">
        <v>2002</v>
      </c>
      <c r="AK216" s="76">
        <v>4107</v>
      </c>
      <c r="AL216" s="76" t="b">
        <v>0</v>
      </c>
      <c r="AM216" s="78">
        <v>41985.62769675926</v>
      </c>
      <c r="AN216" s="76" t="s">
        <v>6565</v>
      </c>
      <c r="AO216" s="76"/>
      <c r="AP216" s="82" t="str">
        <f>HYPERLINK("https://t.co/2KbnYwYbAe")</f>
        <v>https://t.co/2KbnYwYbAe</v>
      </c>
      <c r="AQ216" s="82" t="str">
        <f>HYPERLINK("http://www.codewright.net")</f>
        <v>http://www.codewright.net</v>
      </c>
      <c r="AR216" s="76" t="s">
        <v>7064</v>
      </c>
      <c r="AS216" s="76"/>
      <c r="AT216" s="76"/>
      <c r="AU216" s="76"/>
      <c r="AV216" s="76"/>
      <c r="AW216" s="82" t="str">
        <f>HYPERLINK("https://t.co/2KbnYwYbAe")</f>
        <v>https://t.co/2KbnYwYbAe</v>
      </c>
      <c r="AX216" s="76" t="b">
        <v>0</v>
      </c>
      <c r="AY216" s="76"/>
      <c r="AZ216" s="76"/>
      <c r="BA216" s="76" t="b">
        <v>1</v>
      </c>
      <c r="BB216" s="76" t="b">
        <v>1</v>
      </c>
      <c r="BC216" s="76" t="b">
        <v>1</v>
      </c>
      <c r="BD216" s="76" t="b">
        <v>0</v>
      </c>
      <c r="BE216" s="76" t="b">
        <v>0</v>
      </c>
      <c r="BF216" s="76" t="b">
        <v>0</v>
      </c>
      <c r="BG216" s="76" t="b">
        <v>0</v>
      </c>
      <c r="BH216" s="82" t="str">
        <f>HYPERLINK("https://pbs.twimg.com/profile_banners/2917786541/1478741596")</f>
        <v>https://pbs.twimg.com/profile_banners/2917786541/1478741596</v>
      </c>
      <c r="BI216" s="76"/>
      <c r="BJ216" s="76" t="s">
        <v>7188</v>
      </c>
      <c r="BK216" s="76" t="b">
        <v>0</v>
      </c>
      <c r="BL216" s="76"/>
      <c r="BM216" s="76" t="s">
        <v>66</v>
      </c>
      <c r="BN216" s="76" t="s">
        <v>7190</v>
      </c>
      <c r="BO216" s="82" t="str">
        <f>HYPERLINK("https://twitter.com/codeitwright")</f>
        <v>https://twitter.com/codeitwright</v>
      </c>
      <c r="BP216" s="46"/>
      <c r="BQ216" s="46"/>
      <c r="BR216" s="46"/>
      <c r="BS216" s="46"/>
      <c r="BT216" s="46" t="s">
        <v>1792</v>
      </c>
      <c r="BU216" s="46" t="s">
        <v>1792</v>
      </c>
      <c r="BV216" s="105" t="s">
        <v>7884</v>
      </c>
      <c r="BW216" s="105" t="s">
        <v>7992</v>
      </c>
      <c r="BX216" s="105" t="s">
        <v>8115</v>
      </c>
      <c r="BY216" s="105" t="s">
        <v>8215</v>
      </c>
      <c r="BZ216" s="2"/>
    </row>
    <row r="217" spans="1:78" ht="15">
      <c r="A217" s="62" t="s">
        <v>328</v>
      </c>
      <c r="B217" s="63"/>
      <c r="C217" s="63"/>
      <c r="D217" s="64"/>
      <c r="E217" s="66"/>
      <c r="F217" s="100" t="str">
        <f>HYPERLINK("https://pbs.twimg.com/profile_images/847289329361616896/5iVjgPZL_normal.jpg")</f>
        <v>https://pbs.twimg.com/profile_images/847289329361616896/5iVjgPZL_normal.jpg</v>
      </c>
      <c r="G217" s="63"/>
      <c r="H217" s="67"/>
      <c r="I217" s="68"/>
      <c r="J217" s="68"/>
      <c r="K217" s="67" t="s">
        <v>7404</v>
      </c>
      <c r="L217" s="71"/>
      <c r="M217" s="72">
        <v>6051.775390625</v>
      </c>
      <c r="N217" s="72">
        <v>9610.1181640625</v>
      </c>
      <c r="O217" s="73"/>
      <c r="P217" s="74"/>
      <c r="Q217" s="74"/>
      <c r="R217" s="86"/>
      <c r="S217" s="46">
        <v>0</v>
      </c>
      <c r="T217" s="46">
        <v>1</v>
      </c>
      <c r="U217" s="47">
        <v>0</v>
      </c>
      <c r="V217" s="47">
        <v>0.214691</v>
      </c>
      <c r="W217" s="47">
        <v>0.062026</v>
      </c>
      <c r="X217" s="47">
        <v>0.002499</v>
      </c>
      <c r="Y217" s="47">
        <v>0</v>
      </c>
      <c r="Z217" s="47">
        <v>0</v>
      </c>
      <c r="AA217" s="69">
        <v>217</v>
      </c>
      <c r="AB217" s="69"/>
      <c r="AC217" s="70"/>
      <c r="AD217" s="76" t="s">
        <v>6078</v>
      </c>
      <c r="AE217" s="83" t="s">
        <v>6348</v>
      </c>
      <c r="AF217" s="76">
        <v>6671</v>
      </c>
      <c r="AG217" s="76">
        <v>6882</v>
      </c>
      <c r="AH217" s="76">
        <v>22174</v>
      </c>
      <c r="AI217" s="76">
        <v>141</v>
      </c>
      <c r="AJ217" s="76">
        <v>149</v>
      </c>
      <c r="AK217" s="76">
        <v>2800</v>
      </c>
      <c r="AL217" s="76" t="b">
        <v>0</v>
      </c>
      <c r="AM217" s="78">
        <v>41227.122141203705</v>
      </c>
      <c r="AN217" s="76" t="s">
        <v>6566</v>
      </c>
      <c r="AO217" s="76" t="s">
        <v>6823</v>
      </c>
      <c r="AP217" s="82" t="str">
        <f>HYPERLINK("https://t.co/r8uqkOFqqd")</f>
        <v>https://t.co/r8uqkOFqqd</v>
      </c>
      <c r="AQ217" s="82" t="str">
        <f>HYPERLINK("http://www.micromanager.io")</f>
        <v>http://www.micromanager.io</v>
      </c>
      <c r="AR217" s="76" t="s">
        <v>7065</v>
      </c>
      <c r="AS217" s="76"/>
      <c r="AT217" s="76"/>
      <c r="AU217" s="76"/>
      <c r="AV217" s="76"/>
      <c r="AW217" s="82" t="str">
        <f>HYPERLINK("https://t.co/r8uqkOFqqd")</f>
        <v>https://t.co/r8uqkOFqqd</v>
      </c>
      <c r="AX217" s="76" t="b">
        <v>0</v>
      </c>
      <c r="AY217" s="76"/>
      <c r="AZ217" s="76"/>
      <c r="BA217" s="76" t="b">
        <v>0</v>
      </c>
      <c r="BB217" s="76" t="b">
        <v>1</v>
      </c>
      <c r="BC217" s="76" t="b">
        <v>0</v>
      </c>
      <c r="BD217" s="76" t="b">
        <v>0</v>
      </c>
      <c r="BE217" s="76" t="b">
        <v>0</v>
      </c>
      <c r="BF217" s="76" t="b">
        <v>0</v>
      </c>
      <c r="BG217" s="76" t="b">
        <v>0</v>
      </c>
      <c r="BH217" s="82" t="str">
        <f>HYPERLINK("https://pbs.twimg.com/profile_banners/946954957/1547175574")</f>
        <v>https://pbs.twimg.com/profile_banners/946954957/1547175574</v>
      </c>
      <c r="BI217" s="76"/>
      <c r="BJ217" s="76" t="s">
        <v>7188</v>
      </c>
      <c r="BK217" s="76" t="b">
        <v>0</v>
      </c>
      <c r="BL217" s="76"/>
      <c r="BM217" s="76" t="s">
        <v>66</v>
      </c>
      <c r="BN217" s="76" t="s">
        <v>7190</v>
      </c>
      <c r="BO217" s="82" t="str">
        <f>HYPERLINK("https://twitter.com/bullrushapp")</f>
        <v>https://twitter.com/bullrushapp</v>
      </c>
      <c r="BP217" s="46" t="s">
        <v>7642</v>
      </c>
      <c r="BQ217" s="46" t="s">
        <v>7642</v>
      </c>
      <c r="BR217" s="46" t="s">
        <v>2012</v>
      </c>
      <c r="BS217" s="46" t="s">
        <v>2012</v>
      </c>
      <c r="BT217" s="46"/>
      <c r="BU217" s="46"/>
      <c r="BV217" s="105" t="s">
        <v>7885</v>
      </c>
      <c r="BW217" s="105" t="s">
        <v>7885</v>
      </c>
      <c r="BX217" s="105" t="s">
        <v>8116</v>
      </c>
      <c r="BY217" s="105" t="s">
        <v>8116</v>
      </c>
      <c r="BZ217" s="2"/>
    </row>
    <row r="218" spans="1:78" ht="15">
      <c r="A218" s="62" t="s">
        <v>329</v>
      </c>
      <c r="B218" s="63"/>
      <c r="C218" s="63"/>
      <c r="D218" s="64"/>
      <c r="E218" s="66"/>
      <c r="F218" s="100" t="str">
        <f>HYPERLINK("https://pbs.twimg.com/profile_images/1882396335/MTV_normal.PNG")</f>
        <v>https://pbs.twimg.com/profile_images/1882396335/MTV_normal.PNG</v>
      </c>
      <c r="G218" s="63"/>
      <c r="H218" s="67"/>
      <c r="I218" s="68"/>
      <c r="J218" s="68"/>
      <c r="K218" s="67" t="s">
        <v>7405</v>
      </c>
      <c r="L218" s="71"/>
      <c r="M218" s="72">
        <v>6078.4150390625</v>
      </c>
      <c r="N218" s="72">
        <v>9610.1181640625</v>
      </c>
      <c r="O218" s="73"/>
      <c r="P218" s="74"/>
      <c r="Q218" s="74"/>
      <c r="R218" s="86"/>
      <c r="S218" s="46">
        <v>0</v>
      </c>
      <c r="T218" s="46">
        <v>1</v>
      </c>
      <c r="U218" s="47">
        <v>0</v>
      </c>
      <c r="V218" s="47">
        <v>0.214691</v>
      </c>
      <c r="W218" s="47">
        <v>0.062026</v>
      </c>
      <c r="X218" s="47">
        <v>0.002499</v>
      </c>
      <c r="Y218" s="47">
        <v>0</v>
      </c>
      <c r="Z218" s="47">
        <v>0</v>
      </c>
      <c r="AA218" s="69">
        <v>218</v>
      </c>
      <c r="AB218" s="69"/>
      <c r="AC218" s="70"/>
      <c r="AD218" s="76" t="s">
        <v>6079</v>
      </c>
      <c r="AE218" s="83" t="s">
        <v>6349</v>
      </c>
      <c r="AF218" s="76">
        <v>9569</v>
      </c>
      <c r="AG218" s="76">
        <v>10517</v>
      </c>
      <c r="AH218" s="76">
        <v>18827</v>
      </c>
      <c r="AI218" s="76">
        <v>322</v>
      </c>
      <c r="AJ218" s="76">
        <v>786</v>
      </c>
      <c r="AK218" s="76">
        <v>345</v>
      </c>
      <c r="AL218" s="76" t="b">
        <v>0</v>
      </c>
      <c r="AM218" s="78">
        <v>39920.939375</v>
      </c>
      <c r="AN218" s="76" t="s">
        <v>6567</v>
      </c>
      <c r="AO218" s="76" t="s">
        <v>6824</v>
      </c>
      <c r="AP218" s="82" t="str">
        <f>HYPERLINK("https://t.co/xc1ac7oqfB")</f>
        <v>https://t.co/xc1ac7oqfB</v>
      </c>
      <c r="AQ218" s="82" t="str">
        <f>HYPERLINK("https://www.microsoft.com/en-us/")</f>
        <v>https://www.microsoft.com/en-us/</v>
      </c>
      <c r="AR218" s="76" t="s">
        <v>7066</v>
      </c>
      <c r="AS218" s="76"/>
      <c r="AT218" s="76"/>
      <c r="AU218" s="76"/>
      <c r="AV218" s="76"/>
      <c r="AW218" s="82" t="str">
        <f>HYPERLINK("https://t.co/xc1ac7oqfB")</f>
        <v>https://t.co/xc1ac7oqfB</v>
      </c>
      <c r="AX218" s="76" t="b">
        <v>0</v>
      </c>
      <c r="AY218" s="76"/>
      <c r="AZ218" s="76"/>
      <c r="BA218" s="76" t="b">
        <v>0</v>
      </c>
      <c r="BB218" s="76" t="b">
        <v>1</v>
      </c>
      <c r="BC218" s="76" t="b">
        <v>0</v>
      </c>
      <c r="BD218" s="76" t="b">
        <v>0</v>
      </c>
      <c r="BE218" s="76" t="b">
        <v>0</v>
      </c>
      <c r="BF218" s="76" t="b">
        <v>0</v>
      </c>
      <c r="BG218" s="76" t="b">
        <v>0</v>
      </c>
      <c r="BH218" s="82" t="str">
        <f>HYPERLINK("https://pbs.twimg.com/profile_banners/32630040/1501622642")</f>
        <v>https://pbs.twimg.com/profile_banners/32630040/1501622642</v>
      </c>
      <c r="BI218" s="76"/>
      <c r="BJ218" s="76" t="s">
        <v>7188</v>
      </c>
      <c r="BK218" s="76" t="b">
        <v>0</v>
      </c>
      <c r="BL218" s="76"/>
      <c r="BM218" s="76" t="s">
        <v>66</v>
      </c>
      <c r="BN218" s="76" t="s">
        <v>7190</v>
      </c>
      <c r="BO218" s="82" t="str">
        <f>HYPERLINK("https://twitter.com/martintenvoorde")</f>
        <v>https://twitter.com/martintenvoorde</v>
      </c>
      <c r="BP218" s="46" t="s">
        <v>7643</v>
      </c>
      <c r="BQ218" s="46" t="s">
        <v>7643</v>
      </c>
      <c r="BR218" s="46" t="s">
        <v>2013</v>
      </c>
      <c r="BS218" s="46" t="s">
        <v>2013</v>
      </c>
      <c r="BT218" s="46"/>
      <c r="BU218" s="46"/>
      <c r="BV218" s="105" t="s">
        <v>7886</v>
      </c>
      <c r="BW218" s="105" t="s">
        <v>7886</v>
      </c>
      <c r="BX218" s="105" t="s">
        <v>8117</v>
      </c>
      <c r="BY218" s="105" t="s">
        <v>8117</v>
      </c>
      <c r="BZ218" s="2"/>
    </row>
    <row r="219" spans="1:78" ht="15">
      <c r="A219" s="62" t="s">
        <v>330</v>
      </c>
      <c r="B219" s="63"/>
      <c r="C219" s="63"/>
      <c r="D219" s="64"/>
      <c r="E219" s="66"/>
      <c r="F219" s="100" t="str">
        <f>HYPERLINK("https://pbs.twimg.com/profile_images/2109566961/rk-logo2_normal.png")</f>
        <v>https://pbs.twimg.com/profile_images/2109566961/rk-logo2_normal.png</v>
      </c>
      <c r="G219" s="63"/>
      <c r="H219" s="67"/>
      <c r="I219" s="68"/>
      <c r="J219" s="68"/>
      <c r="K219" s="67" t="s">
        <v>7406</v>
      </c>
      <c r="L219" s="71"/>
      <c r="M219" s="72">
        <v>6105.0546875</v>
      </c>
      <c r="N219" s="72">
        <v>9610.1181640625</v>
      </c>
      <c r="O219" s="73"/>
      <c r="P219" s="74"/>
      <c r="Q219" s="74"/>
      <c r="R219" s="86"/>
      <c r="S219" s="46">
        <v>1</v>
      </c>
      <c r="T219" s="46">
        <v>1</v>
      </c>
      <c r="U219" s="47">
        <v>0</v>
      </c>
      <c r="V219" s="47">
        <v>0</v>
      </c>
      <c r="W219" s="47">
        <v>0</v>
      </c>
      <c r="X219" s="47">
        <v>0.002882</v>
      </c>
      <c r="Y219" s="47">
        <v>0</v>
      </c>
      <c r="Z219" s="47">
        <v>0</v>
      </c>
      <c r="AA219" s="69">
        <v>219</v>
      </c>
      <c r="AB219" s="69"/>
      <c r="AC219" s="70"/>
      <c r="AD219" s="76" t="s">
        <v>6080</v>
      </c>
      <c r="AE219" s="83" t="s">
        <v>6350</v>
      </c>
      <c r="AF219" s="76">
        <v>23</v>
      </c>
      <c r="AG219" s="76">
        <v>9</v>
      </c>
      <c r="AH219" s="76">
        <v>3293</v>
      </c>
      <c r="AI219" s="76">
        <v>0</v>
      </c>
      <c r="AJ219" s="76">
        <v>0</v>
      </c>
      <c r="AK219" s="76">
        <v>6</v>
      </c>
      <c r="AL219" s="76" t="b">
        <v>0</v>
      </c>
      <c r="AM219" s="78">
        <v>41010.24366898148</v>
      </c>
      <c r="AN219" s="76" t="s">
        <v>3910</v>
      </c>
      <c r="AO219" s="76"/>
      <c r="AP219" s="82" t="str">
        <f>HYPERLINK("http://t.co/I43hU6qS7i")</f>
        <v>http://t.co/I43hU6qS7i</v>
      </c>
      <c r="AQ219" s="82" t="str">
        <f>HYPERLINK("http://www.rkbhai.in")</f>
        <v>http://www.rkbhai.in</v>
      </c>
      <c r="AR219" s="76" t="s">
        <v>7067</v>
      </c>
      <c r="AS219" s="76"/>
      <c r="AT219" s="76"/>
      <c r="AU219" s="76"/>
      <c r="AV219" s="76"/>
      <c r="AW219" s="82" t="str">
        <f>HYPERLINK("http://t.co/I43hU6qS7i")</f>
        <v>http://t.co/I43hU6qS7i</v>
      </c>
      <c r="AX219" s="76" t="b">
        <v>0</v>
      </c>
      <c r="AY219" s="76"/>
      <c r="AZ219" s="76"/>
      <c r="BA219" s="76" t="b">
        <v>0</v>
      </c>
      <c r="BB219" s="76" t="b">
        <v>1</v>
      </c>
      <c r="BC219" s="76" t="b">
        <v>0</v>
      </c>
      <c r="BD219" s="76" t="b">
        <v>0</v>
      </c>
      <c r="BE219" s="76" t="b">
        <v>0</v>
      </c>
      <c r="BF219" s="76" t="b">
        <v>0</v>
      </c>
      <c r="BG219" s="76" t="b">
        <v>0</v>
      </c>
      <c r="BH219" s="76"/>
      <c r="BI219" s="76"/>
      <c r="BJ219" s="76" t="s">
        <v>7188</v>
      </c>
      <c r="BK219" s="76" t="b">
        <v>0</v>
      </c>
      <c r="BL219" s="76"/>
      <c r="BM219" s="76" t="s">
        <v>66</v>
      </c>
      <c r="BN219" s="76" t="s">
        <v>7190</v>
      </c>
      <c r="BO219" s="82" t="str">
        <f>HYPERLINK("https://twitter.com/rkbhaai")</f>
        <v>https://twitter.com/rkbhaai</v>
      </c>
      <c r="BP219" s="46" t="s">
        <v>7644</v>
      </c>
      <c r="BQ219" s="46" t="s">
        <v>7644</v>
      </c>
      <c r="BR219" s="46" t="s">
        <v>1988</v>
      </c>
      <c r="BS219" s="46" t="s">
        <v>1988</v>
      </c>
      <c r="BT219" s="46"/>
      <c r="BU219" s="46"/>
      <c r="BV219" s="105" t="s">
        <v>7887</v>
      </c>
      <c r="BW219" s="105" t="s">
        <v>7887</v>
      </c>
      <c r="BX219" s="105" t="s">
        <v>8118</v>
      </c>
      <c r="BY219" s="105" t="s">
        <v>8118</v>
      </c>
      <c r="BZ219" s="2"/>
    </row>
    <row r="220" spans="1:78" ht="15">
      <c r="A220" s="62" t="s">
        <v>331</v>
      </c>
      <c r="B220" s="63"/>
      <c r="C220" s="63"/>
      <c r="D220" s="64"/>
      <c r="E220" s="66"/>
      <c r="F220" s="100" t="str">
        <f>HYPERLINK("https://pbs.twimg.com/profile_images/1690220484103675904/uAZHWHyZ_normal.jpg")</f>
        <v>https://pbs.twimg.com/profile_images/1690220484103675904/uAZHWHyZ_normal.jpg</v>
      </c>
      <c r="G220" s="63"/>
      <c r="H220" s="67"/>
      <c r="I220" s="68"/>
      <c r="J220" s="68"/>
      <c r="K220" s="67" t="s">
        <v>7407</v>
      </c>
      <c r="L220" s="71"/>
      <c r="M220" s="72">
        <v>6131.69482421875</v>
      </c>
      <c r="N220" s="72">
        <v>9610.1181640625</v>
      </c>
      <c r="O220" s="73"/>
      <c r="P220" s="74"/>
      <c r="Q220" s="74"/>
      <c r="R220" s="86"/>
      <c r="S220" s="46">
        <v>1</v>
      </c>
      <c r="T220" s="46">
        <v>1</v>
      </c>
      <c r="U220" s="47">
        <v>0</v>
      </c>
      <c r="V220" s="47">
        <v>0</v>
      </c>
      <c r="W220" s="47">
        <v>0</v>
      </c>
      <c r="X220" s="47">
        <v>0.002882</v>
      </c>
      <c r="Y220" s="47">
        <v>0</v>
      </c>
      <c r="Z220" s="47">
        <v>0</v>
      </c>
      <c r="AA220" s="69">
        <v>220</v>
      </c>
      <c r="AB220" s="69"/>
      <c r="AC220" s="70"/>
      <c r="AD220" s="76" t="s">
        <v>6081</v>
      </c>
      <c r="AE220" s="83" t="s">
        <v>6351</v>
      </c>
      <c r="AF220" s="76">
        <v>3844</v>
      </c>
      <c r="AG220" s="76">
        <v>3460</v>
      </c>
      <c r="AH220" s="76">
        <v>213790</v>
      </c>
      <c r="AI220" s="76">
        <v>404</v>
      </c>
      <c r="AJ220" s="76">
        <v>4813</v>
      </c>
      <c r="AK220" s="76">
        <v>68119</v>
      </c>
      <c r="AL220" s="76" t="b">
        <v>0</v>
      </c>
      <c r="AM220" s="78">
        <v>41805.26925925926</v>
      </c>
      <c r="AN220" s="76" t="s">
        <v>6568</v>
      </c>
      <c r="AO220" s="76" t="s">
        <v>6825</v>
      </c>
      <c r="AP220" s="76"/>
      <c r="AQ220" s="76"/>
      <c r="AR220" s="76"/>
      <c r="AS220" s="76"/>
      <c r="AT220" s="76"/>
      <c r="AU220" s="76"/>
      <c r="AV220" s="76"/>
      <c r="AW220" s="76"/>
      <c r="AX220" s="76" t="b">
        <v>0</v>
      </c>
      <c r="AY220" s="76"/>
      <c r="AZ220" s="76"/>
      <c r="BA220" s="76" t="b">
        <v>0</v>
      </c>
      <c r="BB220" s="76" t="b">
        <v>0</v>
      </c>
      <c r="BC220" s="76" t="b">
        <v>1</v>
      </c>
      <c r="BD220" s="76" t="b">
        <v>0</v>
      </c>
      <c r="BE220" s="76" t="b">
        <v>1</v>
      </c>
      <c r="BF220" s="76" t="b">
        <v>0</v>
      </c>
      <c r="BG220" s="76" t="b">
        <v>0</v>
      </c>
      <c r="BH220" s="82" t="str">
        <f>HYPERLINK("https://pbs.twimg.com/profile_banners/2568495517/1647352450")</f>
        <v>https://pbs.twimg.com/profile_banners/2568495517/1647352450</v>
      </c>
      <c r="BI220" s="76"/>
      <c r="BJ220" s="76" t="s">
        <v>7188</v>
      </c>
      <c r="BK220" s="76" t="b">
        <v>0</v>
      </c>
      <c r="BL220" s="76"/>
      <c r="BM220" s="76" t="s">
        <v>66</v>
      </c>
      <c r="BN220" s="76" t="s">
        <v>7190</v>
      </c>
      <c r="BO220" s="82" t="str">
        <f>HYPERLINK("https://twitter.com/bfriedle")</f>
        <v>https://twitter.com/bfriedle</v>
      </c>
      <c r="BP220" s="46" t="s">
        <v>7551</v>
      </c>
      <c r="BQ220" s="46" t="s">
        <v>7551</v>
      </c>
      <c r="BR220" s="46" t="s">
        <v>2000</v>
      </c>
      <c r="BS220" s="46" t="s">
        <v>2000</v>
      </c>
      <c r="BT220" s="46"/>
      <c r="BU220" s="46"/>
      <c r="BV220" s="105" t="s">
        <v>7888</v>
      </c>
      <c r="BW220" s="105" t="s">
        <v>7888</v>
      </c>
      <c r="BX220" s="105" t="s">
        <v>8119</v>
      </c>
      <c r="BY220" s="105" t="s">
        <v>8119</v>
      </c>
      <c r="BZ220" s="2"/>
    </row>
    <row r="221" spans="1:78" ht="15">
      <c r="A221" s="62" t="s">
        <v>332</v>
      </c>
      <c r="B221" s="63"/>
      <c r="C221" s="63"/>
      <c r="D221" s="64"/>
      <c r="E221" s="66"/>
      <c r="F221" s="100" t="str">
        <f>HYPERLINK("https://abs.twimg.com/sticky/default_profile_images/default_profile_normal.png")</f>
        <v>https://abs.twimg.com/sticky/default_profile_images/default_profile_normal.png</v>
      </c>
      <c r="G221" s="63"/>
      <c r="H221" s="67"/>
      <c r="I221" s="68"/>
      <c r="J221" s="68"/>
      <c r="K221" s="67" t="s">
        <v>7408</v>
      </c>
      <c r="L221" s="71"/>
      <c r="M221" s="72">
        <v>6158.3349609375</v>
      </c>
      <c r="N221" s="72">
        <v>9610.1181640625</v>
      </c>
      <c r="O221" s="73"/>
      <c r="P221" s="74"/>
      <c r="Q221" s="74"/>
      <c r="R221" s="86"/>
      <c r="S221" s="46">
        <v>0</v>
      </c>
      <c r="T221" s="46">
        <v>2</v>
      </c>
      <c r="U221" s="47">
        <v>2</v>
      </c>
      <c r="V221" s="47">
        <v>0.00578</v>
      </c>
      <c r="W221" s="47">
        <v>0</v>
      </c>
      <c r="X221" s="47">
        <v>0.003258</v>
      </c>
      <c r="Y221" s="47">
        <v>0</v>
      </c>
      <c r="Z221" s="47">
        <v>0</v>
      </c>
      <c r="AA221" s="69">
        <v>221</v>
      </c>
      <c r="AB221" s="69"/>
      <c r="AC221" s="70"/>
      <c r="AD221" s="76" t="s">
        <v>6082</v>
      </c>
      <c r="AE221" s="83" t="s">
        <v>5812</v>
      </c>
      <c r="AF221" s="76">
        <v>2</v>
      </c>
      <c r="AG221" s="76">
        <v>62</v>
      </c>
      <c r="AH221" s="76">
        <v>33</v>
      </c>
      <c r="AI221" s="76">
        <v>0</v>
      </c>
      <c r="AJ221" s="76">
        <v>2</v>
      </c>
      <c r="AK221" s="76">
        <v>0</v>
      </c>
      <c r="AL221" s="76" t="b">
        <v>0</v>
      </c>
      <c r="AM221" s="78">
        <v>42656.85091435185</v>
      </c>
      <c r="AN221" s="76"/>
      <c r="AO221" s="76"/>
      <c r="AP221" s="76"/>
      <c r="AQ221" s="76"/>
      <c r="AR221" s="76"/>
      <c r="AS221" s="76"/>
      <c r="AT221" s="76"/>
      <c r="AU221" s="76"/>
      <c r="AV221" s="76"/>
      <c r="AW221" s="76"/>
      <c r="AX221" s="76" t="b">
        <v>0</v>
      </c>
      <c r="AY221" s="76"/>
      <c r="AZ221" s="76"/>
      <c r="BA221" s="76" t="b">
        <v>0</v>
      </c>
      <c r="BB221" s="76" t="b">
        <v>1</v>
      </c>
      <c r="BC221" s="76" t="b">
        <v>1</v>
      </c>
      <c r="BD221" s="76" t="b">
        <v>1</v>
      </c>
      <c r="BE221" s="76" t="b">
        <v>0</v>
      </c>
      <c r="BF221" s="76" t="b">
        <v>0</v>
      </c>
      <c r="BG221" s="76" t="b">
        <v>0</v>
      </c>
      <c r="BH221" s="76"/>
      <c r="BI221" s="76"/>
      <c r="BJ221" s="76" t="s">
        <v>7188</v>
      </c>
      <c r="BK221" s="76" t="b">
        <v>0</v>
      </c>
      <c r="BL221" s="76"/>
      <c r="BM221" s="76" t="s">
        <v>66</v>
      </c>
      <c r="BN221" s="76" t="s">
        <v>7190</v>
      </c>
      <c r="BO221" s="82" t="str">
        <f>HYPERLINK("https://twitter.com/sandy_gile")</f>
        <v>https://twitter.com/sandy_gile</v>
      </c>
      <c r="BP221" s="46"/>
      <c r="BQ221" s="46"/>
      <c r="BR221" s="46"/>
      <c r="BS221" s="46"/>
      <c r="BT221" s="46"/>
      <c r="BU221" s="46"/>
      <c r="BV221" s="105" t="s">
        <v>7889</v>
      </c>
      <c r="BW221" s="105" t="s">
        <v>7889</v>
      </c>
      <c r="BX221" s="105" t="s">
        <v>8120</v>
      </c>
      <c r="BY221" s="105" t="s">
        <v>8120</v>
      </c>
      <c r="BZ221" s="2"/>
    </row>
    <row r="222" spans="1:78" ht="15">
      <c r="A222" s="62" t="s">
        <v>526</v>
      </c>
      <c r="B222" s="63"/>
      <c r="C222" s="63"/>
      <c r="D222" s="64"/>
      <c r="E222" s="66"/>
      <c r="F222" s="100" t="str">
        <f>HYPERLINK("https://pbs.twimg.com/profile_images/1513192956978683905/vFfSWde-_normal.jpg")</f>
        <v>https://pbs.twimg.com/profile_images/1513192956978683905/vFfSWde-_normal.jpg</v>
      </c>
      <c r="G222" s="63"/>
      <c r="H222" s="67"/>
      <c r="I222" s="68"/>
      <c r="J222" s="68"/>
      <c r="K222" s="67" t="s">
        <v>7409</v>
      </c>
      <c r="L222" s="71"/>
      <c r="M222" s="72">
        <v>6184.974609375</v>
      </c>
      <c r="N222" s="72">
        <v>9610.1181640625</v>
      </c>
      <c r="O222" s="73"/>
      <c r="P222" s="74"/>
      <c r="Q222" s="74"/>
      <c r="R222" s="86"/>
      <c r="S222" s="46">
        <v>1</v>
      </c>
      <c r="T222" s="46">
        <v>0</v>
      </c>
      <c r="U222" s="47">
        <v>0</v>
      </c>
      <c r="V222" s="47">
        <v>0.003854</v>
      </c>
      <c r="W222" s="47">
        <v>0</v>
      </c>
      <c r="X222" s="47">
        <v>0.002694</v>
      </c>
      <c r="Y222" s="47">
        <v>0</v>
      </c>
      <c r="Z222" s="47">
        <v>0</v>
      </c>
      <c r="AA222" s="69">
        <v>222</v>
      </c>
      <c r="AB222" s="69"/>
      <c r="AC222" s="70"/>
      <c r="AD222" s="76" t="s">
        <v>6083</v>
      </c>
      <c r="AE222" s="83" t="s">
        <v>6352</v>
      </c>
      <c r="AF222" s="76">
        <v>76329</v>
      </c>
      <c r="AG222" s="76">
        <v>559</v>
      </c>
      <c r="AH222" s="76">
        <v>14989</v>
      </c>
      <c r="AI222" s="76">
        <v>395</v>
      </c>
      <c r="AJ222" s="76">
        <v>2889</v>
      </c>
      <c r="AK222" s="76">
        <v>530</v>
      </c>
      <c r="AL222" s="76" t="b">
        <v>0</v>
      </c>
      <c r="AM222" s="78">
        <v>40050.09373842592</v>
      </c>
      <c r="AN222" s="76" t="s">
        <v>6569</v>
      </c>
      <c r="AO222" s="76" t="s">
        <v>6826</v>
      </c>
      <c r="AP222" s="82" t="str">
        <f>HYPERLINK("https://t.co/Ogr032uuzl")</f>
        <v>https://t.co/Ogr032uuzl</v>
      </c>
      <c r="AQ222" s="82" t="str">
        <f>HYPERLINK("http://changeourfuture.org")</f>
        <v>http://changeourfuture.org</v>
      </c>
      <c r="AR222" s="76" t="s">
        <v>7068</v>
      </c>
      <c r="AS222" s="76"/>
      <c r="AT222" s="76"/>
      <c r="AU222" s="76"/>
      <c r="AV222" s="76"/>
      <c r="AW222" s="82" t="str">
        <f>HYPERLINK("https://t.co/Ogr032uuzl")</f>
        <v>https://t.co/Ogr032uuzl</v>
      </c>
      <c r="AX222" s="76" t="b">
        <v>0</v>
      </c>
      <c r="AY222" s="76"/>
      <c r="AZ222" s="76"/>
      <c r="BA222" s="76" t="b">
        <v>0</v>
      </c>
      <c r="BB222" s="76" t="b">
        <v>1</v>
      </c>
      <c r="BC222" s="76" t="b">
        <v>0</v>
      </c>
      <c r="BD222" s="76" t="b">
        <v>0</v>
      </c>
      <c r="BE222" s="76" t="b">
        <v>1</v>
      </c>
      <c r="BF222" s="76" t="b">
        <v>0</v>
      </c>
      <c r="BG222" s="76" t="b">
        <v>0</v>
      </c>
      <c r="BH222" s="82" t="str">
        <f>HYPERLINK("https://pbs.twimg.com/profile_banners/68580526/1649608853")</f>
        <v>https://pbs.twimg.com/profile_banners/68580526/1649608853</v>
      </c>
      <c r="BI222" s="76"/>
      <c r="BJ222" s="76" t="s">
        <v>7188</v>
      </c>
      <c r="BK222" s="76" t="b">
        <v>0</v>
      </c>
      <c r="BL222" s="76"/>
      <c r="BM222" s="76" t="s">
        <v>65</v>
      </c>
      <c r="BN222" s="76" t="s">
        <v>7190</v>
      </c>
      <c r="BO222" s="82" t="str">
        <f>HYPERLINK("https://twitter.com/rodney_mcleod4")</f>
        <v>https://twitter.com/rodney_mcleod4</v>
      </c>
      <c r="BP222" s="46"/>
      <c r="BQ222" s="46"/>
      <c r="BR222" s="46"/>
      <c r="BS222" s="46"/>
      <c r="BT222" s="46"/>
      <c r="BU222" s="46"/>
      <c r="BV222" s="46"/>
      <c r="BW222" s="46"/>
      <c r="BX222" s="46"/>
      <c r="BY222" s="46"/>
      <c r="BZ222" s="2"/>
    </row>
    <row r="223" spans="1:78" ht="15">
      <c r="A223" s="62" t="s">
        <v>527</v>
      </c>
      <c r="B223" s="63"/>
      <c r="C223" s="63"/>
      <c r="D223" s="64"/>
      <c r="E223" s="66"/>
      <c r="F223" s="100" t="str">
        <f>HYPERLINK("https://pbs.twimg.com/profile_images/1737578744284336128/iUs9cFgn_normal.jpg")</f>
        <v>https://pbs.twimg.com/profile_images/1737578744284336128/iUs9cFgn_normal.jpg</v>
      </c>
      <c r="G223" s="63"/>
      <c r="H223" s="67"/>
      <c r="I223" s="68"/>
      <c r="J223" s="68"/>
      <c r="K223" s="67" t="s">
        <v>7410</v>
      </c>
      <c r="L223" s="71"/>
      <c r="M223" s="72">
        <v>6211.6142578125</v>
      </c>
      <c r="N223" s="72">
        <v>9610.1181640625</v>
      </c>
      <c r="O223" s="73"/>
      <c r="P223" s="74"/>
      <c r="Q223" s="74"/>
      <c r="R223" s="86"/>
      <c r="S223" s="46">
        <v>1</v>
      </c>
      <c r="T223" s="46">
        <v>0</v>
      </c>
      <c r="U223" s="47">
        <v>0</v>
      </c>
      <c r="V223" s="47">
        <v>0.003854</v>
      </c>
      <c r="W223" s="47">
        <v>0</v>
      </c>
      <c r="X223" s="47">
        <v>0.002694</v>
      </c>
      <c r="Y223" s="47">
        <v>0</v>
      </c>
      <c r="Z223" s="47">
        <v>0</v>
      </c>
      <c r="AA223" s="69">
        <v>223</v>
      </c>
      <c r="AB223" s="69"/>
      <c r="AC223" s="70"/>
      <c r="AD223" s="76" t="s">
        <v>6084</v>
      </c>
      <c r="AE223" s="83" t="s">
        <v>5760</v>
      </c>
      <c r="AF223" s="76">
        <v>3833249</v>
      </c>
      <c r="AG223" s="76">
        <v>146</v>
      </c>
      <c r="AH223" s="76">
        <v>67362</v>
      </c>
      <c r="AI223" s="76">
        <v>9576</v>
      </c>
      <c r="AJ223" s="76">
        <v>5114</v>
      </c>
      <c r="AK223" s="76">
        <v>30036</v>
      </c>
      <c r="AL223" s="76" t="b">
        <v>0</v>
      </c>
      <c r="AM223" s="78">
        <v>40409.83628472222</v>
      </c>
      <c r="AN223" s="76" t="s">
        <v>6570</v>
      </c>
      <c r="AO223" s="76" t="s">
        <v>6827</v>
      </c>
      <c r="AP223" s="82" t="str">
        <f>HYPERLINK("https://t.co/2Mcxb33f99")</f>
        <v>https://t.co/2Mcxb33f99</v>
      </c>
      <c r="AQ223" s="82" t="str">
        <f>HYPERLINK("http://www.philadelphiaeagles.com/")</f>
        <v>http://www.philadelphiaeagles.com/</v>
      </c>
      <c r="AR223" s="76" t="s">
        <v>7069</v>
      </c>
      <c r="AS223" s="76"/>
      <c r="AT223" s="76"/>
      <c r="AU223" s="76"/>
      <c r="AV223" s="76"/>
      <c r="AW223" s="82" t="str">
        <f>HYPERLINK("https://t.co/2Mcxb33f99")</f>
        <v>https://t.co/2Mcxb33f99</v>
      </c>
      <c r="AX223" s="76" t="b">
        <v>1</v>
      </c>
      <c r="AY223" s="76"/>
      <c r="AZ223" s="76"/>
      <c r="BA223" s="76" t="b">
        <v>0</v>
      </c>
      <c r="BB223" s="76" t="b">
        <v>1</v>
      </c>
      <c r="BC223" s="76" t="b">
        <v>0</v>
      </c>
      <c r="BD223" s="76" t="b">
        <v>0</v>
      </c>
      <c r="BE223" s="76" t="b">
        <v>1</v>
      </c>
      <c r="BF223" s="76" t="b">
        <v>0</v>
      </c>
      <c r="BG223" s="76" t="b">
        <v>0</v>
      </c>
      <c r="BH223" s="82" t="str">
        <f>HYPERLINK("https://pbs.twimg.com/profile_banners/180503626/1703106030")</f>
        <v>https://pbs.twimg.com/profile_banners/180503626/1703106030</v>
      </c>
      <c r="BI223" s="76"/>
      <c r="BJ223" s="76" t="s">
        <v>7189</v>
      </c>
      <c r="BK223" s="76" t="b">
        <v>0</v>
      </c>
      <c r="BL223" s="76"/>
      <c r="BM223" s="76" t="s">
        <v>65</v>
      </c>
      <c r="BN223" s="76" t="s">
        <v>7190</v>
      </c>
      <c r="BO223" s="82" t="str">
        <f>HYPERLINK("https://twitter.com/eagles")</f>
        <v>https://twitter.com/eagles</v>
      </c>
      <c r="BP223" s="46"/>
      <c r="BQ223" s="46"/>
      <c r="BR223" s="46"/>
      <c r="BS223" s="46"/>
      <c r="BT223" s="46"/>
      <c r="BU223" s="46"/>
      <c r="BV223" s="46"/>
      <c r="BW223" s="46"/>
      <c r="BX223" s="46"/>
      <c r="BY223" s="46"/>
      <c r="BZ223" s="2"/>
    </row>
    <row r="224" spans="1:78" ht="15">
      <c r="A224" s="62" t="s">
        <v>333</v>
      </c>
      <c r="B224" s="63"/>
      <c r="C224" s="63"/>
      <c r="D224" s="64"/>
      <c r="E224" s="66"/>
      <c r="F224" s="100" t="str">
        <f>HYPERLINK("https://pbs.twimg.com/profile_images/758744455109148675/VCIhvOS9_normal.jpg")</f>
        <v>https://pbs.twimg.com/profile_images/758744455109148675/VCIhvOS9_normal.jpg</v>
      </c>
      <c r="G224" s="63"/>
      <c r="H224" s="67"/>
      <c r="I224" s="68"/>
      <c r="J224" s="68"/>
      <c r="K224" s="67" t="s">
        <v>7411</v>
      </c>
      <c r="L224" s="71"/>
      <c r="M224" s="72">
        <v>6238.25439453125</v>
      </c>
      <c r="N224" s="72">
        <v>9610.1181640625</v>
      </c>
      <c r="O224" s="73"/>
      <c r="P224" s="74"/>
      <c r="Q224" s="74"/>
      <c r="R224" s="86"/>
      <c r="S224" s="46">
        <v>0</v>
      </c>
      <c r="T224" s="46">
        <v>3</v>
      </c>
      <c r="U224" s="47">
        <v>74</v>
      </c>
      <c r="V224" s="47">
        <v>0.022668</v>
      </c>
      <c r="W224" s="47">
        <v>0</v>
      </c>
      <c r="X224" s="47">
        <v>0.003357</v>
      </c>
      <c r="Y224" s="47">
        <v>0</v>
      </c>
      <c r="Z224" s="47">
        <v>0</v>
      </c>
      <c r="AA224" s="69">
        <v>224</v>
      </c>
      <c r="AB224" s="69"/>
      <c r="AC224" s="70"/>
      <c r="AD224" s="76" t="s">
        <v>6085</v>
      </c>
      <c r="AE224" s="83" t="s">
        <v>6353</v>
      </c>
      <c r="AF224" s="76">
        <v>2278</v>
      </c>
      <c r="AG224" s="76">
        <v>1729</v>
      </c>
      <c r="AH224" s="76">
        <v>16442</v>
      </c>
      <c r="AI224" s="76">
        <v>0</v>
      </c>
      <c r="AJ224" s="76">
        <v>13779</v>
      </c>
      <c r="AK224" s="76">
        <v>3325</v>
      </c>
      <c r="AL224" s="76" t="b">
        <v>0</v>
      </c>
      <c r="AM224" s="78">
        <v>41555.1415625</v>
      </c>
      <c r="AN224" s="76" t="s">
        <v>6571</v>
      </c>
      <c r="AO224" s="76" t="s">
        <v>6828</v>
      </c>
      <c r="AP224" s="82" t="str">
        <f>HYPERLINK("https://t.co/wmYnDZczfD")</f>
        <v>https://t.co/wmYnDZczfD</v>
      </c>
      <c r="AQ224" s="82" t="str">
        <f>HYPERLINK("http://www.robinchodak.com")</f>
        <v>http://www.robinchodak.com</v>
      </c>
      <c r="AR224" s="76" t="s">
        <v>7070</v>
      </c>
      <c r="AS224" s="76"/>
      <c r="AT224" s="76"/>
      <c r="AU224" s="76"/>
      <c r="AV224" s="76">
        <v>1.01760037526691E+18</v>
      </c>
      <c r="AW224" s="82" t="str">
        <f>HYPERLINK("https://t.co/wmYnDZczfD")</f>
        <v>https://t.co/wmYnDZczfD</v>
      </c>
      <c r="AX224" s="76" t="b">
        <v>0</v>
      </c>
      <c r="AY224" s="76"/>
      <c r="AZ224" s="76"/>
      <c r="BA224" s="76" t="b">
        <v>1</v>
      </c>
      <c r="BB224" s="76" t="b">
        <v>1</v>
      </c>
      <c r="BC224" s="76" t="b">
        <v>1</v>
      </c>
      <c r="BD224" s="76" t="b">
        <v>0</v>
      </c>
      <c r="BE224" s="76" t="b">
        <v>1</v>
      </c>
      <c r="BF224" s="76" t="b">
        <v>0</v>
      </c>
      <c r="BG224" s="76" t="b">
        <v>0</v>
      </c>
      <c r="BH224" s="82" t="str">
        <f>HYPERLINK("https://pbs.twimg.com/profile_banners/1945813453/1471961539")</f>
        <v>https://pbs.twimg.com/profile_banners/1945813453/1471961539</v>
      </c>
      <c r="BI224" s="76"/>
      <c r="BJ224" s="76" t="s">
        <v>7188</v>
      </c>
      <c r="BK224" s="76" t="b">
        <v>0</v>
      </c>
      <c r="BL224" s="76"/>
      <c r="BM224" s="76" t="s">
        <v>66</v>
      </c>
      <c r="BN224" s="76" t="s">
        <v>7190</v>
      </c>
      <c r="BO224" s="82" t="str">
        <f>HYPERLINK("https://twitter.com/suiciderecovery")</f>
        <v>https://twitter.com/suiciderecovery</v>
      </c>
      <c r="BP224" s="46" t="s">
        <v>7645</v>
      </c>
      <c r="BQ224" s="46" t="s">
        <v>7645</v>
      </c>
      <c r="BR224" s="46" t="s">
        <v>2014</v>
      </c>
      <c r="BS224" s="46" t="s">
        <v>2014</v>
      </c>
      <c r="BT224" s="46" t="s">
        <v>7738</v>
      </c>
      <c r="BU224" s="46" t="s">
        <v>7765</v>
      </c>
      <c r="BV224" s="105" t="s">
        <v>7890</v>
      </c>
      <c r="BW224" s="105" t="s">
        <v>7993</v>
      </c>
      <c r="BX224" s="105" t="s">
        <v>8121</v>
      </c>
      <c r="BY224" s="105" t="s">
        <v>8216</v>
      </c>
      <c r="BZ224" s="2"/>
    </row>
    <row r="225" spans="1:78" ht="15">
      <c r="A225" s="62" t="s">
        <v>528</v>
      </c>
      <c r="B225" s="63"/>
      <c r="C225" s="63"/>
      <c r="D225" s="64"/>
      <c r="E225" s="66"/>
      <c r="F225" s="100" t="str">
        <f>HYPERLINK("https://pbs.twimg.com/profile_images/766751841321414657/S1yt13TC_normal.jpg")</f>
        <v>https://pbs.twimg.com/profile_images/766751841321414657/S1yt13TC_normal.jpg</v>
      </c>
      <c r="G225" s="63"/>
      <c r="H225" s="67"/>
      <c r="I225" s="68"/>
      <c r="J225" s="68"/>
      <c r="K225" s="67" t="s">
        <v>7412</v>
      </c>
      <c r="L225" s="71"/>
      <c r="M225" s="72">
        <v>6264.89404296875</v>
      </c>
      <c r="N225" s="72">
        <v>9610.1181640625</v>
      </c>
      <c r="O225" s="73"/>
      <c r="P225" s="74"/>
      <c r="Q225" s="74"/>
      <c r="R225" s="86"/>
      <c r="S225" s="46">
        <v>1</v>
      </c>
      <c r="T225" s="46">
        <v>0</v>
      </c>
      <c r="U225" s="47">
        <v>0</v>
      </c>
      <c r="V225" s="47">
        <v>0.016515</v>
      </c>
      <c r="W225" s="47">
        <v>0</v>
      </c>
      <c r="X225" s="47">
        <v>0.002617</v>
      </c>
      <c r="Y225" s="47">
        <v>0</v>
      </c>
      <c r="Z225" s="47">
        <v>0</v>
      </c>
      <c r="AA225" s="69">
        <v>225</v>
      </c>
      <c r="AB225" s="69"/>
      <c r="AC225" s="70"/>
      <c r="AD225" s="76" t="s">
        <v>6086</v>
      </c>
      <c r="AE225" s="83" t="s">
        <v>6354</v>
      </c>
      <c r="AF225" s="76">
        <v>448</v>
      </c>
      <c r="AG225" s="76">
        <v>1473</v>
      </c>
      <c r="AH225" s="76">
        <v>354</v>
      </c>
      <c r="AI225" s="76">
        <v>7</v>
      </c>
      <c r="AJ225" s="76">
        <v>58</v>
      </c>
      <c r="AK225" s="76">
        <v>130</v>
      </c>
      <c r="AL225" s="76" t="b">
        <v>0</v>
      </c>
      <c r="AM225" s="78">
        <v>42580.65967592593</v>
      </c>
      <c r="AN225" s="76" t="s">
        <v>6572</v>
      </c>
      <c r="AO225" s="76" t="s">
        <v>6829</v>
      </c>
      <c r="AP225" s="82" t="str">
        <f>HYPERLINK("https://t.co/pkaJ6uFxEa")</f>
        <v>https://t.co/pkaJ6uFxEa</v>
      </c>
      <c r="AQ225" s="82" t="str">
        <f>HYPERLINK("http://wendyvandepoll.com")</f>
        <v>http://wendyvandepoll.com</v>
      </c>
      <c r="AR225" s="76" t="s">
        <v>7071</v>
      </c>
      <c r="AS225" s="76"/>
      <c r="AT225" s="76"/>
      <c r="AU225" s="76"/>
      <c r="AV225" s="76"/>
      <c r="AW225" s="82" t="str">
        <f>HYPERLINK("https://t.co/pkaJ6uFxEa")</f>
        <v>https://t.co/pkaJ6uFxEa</v>
      </c>
      <c r="AX225" s="76" t="b">
        <v>0</v>
      </c>
      <c r="AY225" s="76"/>
      <c r="AZ225" s="76"/>
      <c r="BA225" s="76" t="b">
        <v>0</v>
      </c>
      <c r="BB225" s="76" t="b">
        <v>1</v>
      </c>
      <c r="BC225" s="76" t="b">
        <v>0</v>
      </c>
      <c r="BD225" s="76" t="b">
        <v>0</v>
      </c>
      <c r="BE225" s="76" t="b">
        <v>0</v>
      </c>
      <c r="BF225" s="76" t="b">
        <v>0</v>
      </c>
      <c r="BG225" s="76" t="b">
        <v>0</v>
      </c>
      <c r="BH225" s="82" t="str">
        <f>HYPERLINK("https://pbs.twimg.com/profile_banners/759053350432280576/1558973265")</f>
        <v>https://pbs.twimg.com/profile_banners/759053350432280576/1558973265</v>
      </c>
      <c r="BI225" s="76"/>
      <c r="BJ225" s="76" t="s">
        <v>7188</v>
      </c>
      <c r="BK225" s="76" t="b">
        <v>0</v>
      </c>
      <c r="BL225" s="76"/>
      <c r="BM225" s="76" t="s">
        <v>65</v>
      </c>
      <c r="BN225" s="76" t="s">
        <v>7190</v>
      </c>
      <c r="BO225" s="82" t="str">
        <f>HYPERLINK("https://twitter.com/wendyvandepoll")</f>
        <v>https://twitter.com/wendyvandepoll</v>
      </c>
      <c r="BP225" s="46"/>
      <c r="BQ225" s="46"/>
      <c r="BR225" s="46"/>
      <c r="BS225" s="46"/>
      <c r="BT225" s="46"/>
      <c r="BU225" s="46"/>
      <c r="BV225" s="46"/>
      <c r="BW225" s="46"/>
      <c r="BX225" s="46"/>
      <c r="BY225" s="46"/>
      <c r="BZ225" s="2"/>
    </row>
    <row r="226" spans="1:78" ht="15">
      <c r="A226" s="62" t="s">
        <v>529</v>
      </c>
      <c r="B226" s="63"/>
      <c r="C226" s="63"/>
      <c r="D226" s="64"/>
      <c r="E226" s="66"/>
      <c r="F226" s="100" t="str">
        <f>HYPERLINK("https://pbs.twimg.com/profile_images/914312721444851712/ujzpKWJ8_normal.jpg")</f>
        <v>https://pbs.twimg.com/profile_images/914312721444851712/ujzpKWJ8_normal.jpg</v>
      </c>
      <c r="G226" s="63"/>
      <c r="H226" s="67"/>
      <c r="I226" s="68"/>
      <c r="J226" s="68"/>
      <c r="K226" s="67" t="s">
        <v>7413</v>
      </c>
      <c r="L226" s="71"/>
      <c r="M226" s="72">
        <v>6291.53369140625</v>
      </c>
      <c r="N226" s="72">
        <v>9610.1181640625</v>
      </c>
      <c r="O226" s="73"/>
      <c r="P226" s="74"/>
      <c r="Q226" s="74"/>
      <c r="R226" s="86"/>
      <c r="S226" s="46">
        <v>1</v>
      </c>
      <c r="T226" s="46">
        <v>0</v>
      </c>
      <c r="U226" s="47">
        <v>0</v>
      </c>
      <c r="V226" s="47">
        <v>0.016515</v>
      </c>
      <c r="W226" s="47">
        <v>0</v>
      </c>
      <c r="X226" s="47">
        <v>0.002617</v>
      </c>
      <c r="Y226" s="47">
        <v>0</v>
      </c>
      <c r="Z226" s="47">
        <v>0</v>
      </c>
      <c r="AA226" s="69">
        <v>226</v>
      </c>
      <c r="AB226" s="69"/>
      <c r="AC226" s="70"/>
      <c r="AD226" s="76" t="s">
        <v>6087</v>
      </c>
      <c r="AE226" s="83" t="s">
        <v>5761</v>
      </c>
      <c r="AF226" s="76">
        <v>4318</v>
      </c>
      <c r="AG226" s="76">
        <v>4996</v>
      </c>
      <c r="AH226" s="76">
        <v>27</v>
      </c>
      <c r="AI226" s="76">
        <v>9</v>
      </c>
      <c r="AJ226" s="76">
        <v>87</v>
      </c>
      <c r="AK226" s="76">
        <v>15</v>
      </c>
      <c r="AL226" s="76" t="b">
        <v>0</v>
      </c>
      <c r="AM226" s="78">
        <v>43009.092997685184</v>
      </c>
      <c r="AN226" s="76" t="s">
        <v>6573</v>
      </c>
      <c r="AO226" s="76" t="s">
        <v>6830</v>
      </c>
      <c r="AP226" s="82" t="str">
        <f>HYPERLINK("https://t.co/farB8LTnx2")</f>
        <v>https://t.co/farB8LTnx2</v>
      </c>
      <c r="AQ226" s="82" t="str">
        <f>HYPERLINK("http://www.asirvia.com/bostman")</f>
        <v>http://www.asirvia.com/bostman</v>
      </c>
      <c r="AR226" s="76" t="s">
        <v>7072</v>
      </c>
      <c r="AS226" s="76"/>
      <c r="AT226" s="76"/>
      <c r="AU226" s="76"/>
      <c r="AV226" s="76"/>
      <c r="AW226" s="82" t="str">
        <f>HYPERLINK("https://t.co/farB8LTnx2")</f>
        <v>https://t.co/farB8LTnx2</v>
      </c>
      <c r="AX226" s="76" t="b">
        <v>0</v>
      </c>
      <c r="AY226" s="76"/>
      <c r="AZ226" s="76"/>
      <c r="BA226" s="76" t="b">
        <v>0</v>
      </c>
      <c r="BB226" s="76" t="b">
        <v>1</v>
      </c>
      <c r="BC226" s="76" t="b">
        <v>1</v>
      </c>
      <c r="BD226" s="76" t="b">
        <v>0</v>
      </c>
      <c r="BE226" s="76" t="b">
        <v>0</v>
      </c>
      <c r="BF226" s="76" t="b">
        <v>0</v>
      </c>
      <c r="BG226" s="76" t="b">
        <v>0</v>
      </c>
      <c r="BH226" s="82" t="str">
        <f>HYPERLINK("https://pbs.twimg.com/profile_banners/914312388685520897/1508857835")</f>
        <v>https://pbs.twimg.com/profile_banners/914312388685520897/1508857835</v>
      </c>
      <c r="BI226" s="76"/>
      <c r="BJ226" s="76" t="s">
        <v>7188</v>
      </c>
      <c r="BK226" s="76" t="b">
        <v>0</v>
      </c>
      <c r="BL226" s="76"/>
      <c r="BM226" s="76" t="s">
        <v>65</v>
      </c>
      <c r="BN226" s="76" t="s">
        <v>7190</v>
      </c>
      <c r="BO226" s="82" t="str">
        <f>HYPERLINK("https://twitter.com/goasirvia")</f>
        <v>https://twitter.com/goasirvia</v>
      </c>
      <c r="BP226" s="46"/>
      <c r="BQ226" s="46"/>
      <c r="BR226" s="46"/>
      <c r="BS226" s="46"/>
      <c r="BT226" s="46"/>
      <c r="BU226" s="46"/>
      <c r="BV226" s="46"/>
      <c r="BW226" s="46"/>
      <c r="BX226" s="46"/>
      <c r="BY226" s="46"/>
      <c r="BZ226" s="2"/>
    </row>
    <row r="227" spans="1:78" ht="15">
      <c r="A227" s="62" t="s">
        <v>334</v>
      </c>
      <c r="B227" s="63"/>
      <c r="C227" s="63"/>
      <c r="D227" s="64"/>
      <c r="E227" s="66"/>
      <c r="F227" s="100" t="str">
        <f>HYPERLINK("https://pbs.twimg.com/profile_images/1126385359426711552/JHMh8p21_normal.png")</f>
        <v>https://pbs.twimg.com/profile_images/1126385359426711552/JHMh8p21_normal.png</v>
      </c>
      <c r="G227" s="63"/>
      <c r="H227" s="67"/>
      <c r="I227" s="68"/>
      <c r="J227" s="68"/>
      <c r="K227" s="67" t="s">
        <v>7414</v>
      </c>
      <c r="L227" s="71"/>
      <c r="M227" s="72">
        <v>6318.173828125</v>
      </c>
      <c r="N227" s="72">
        <v>9610.1181640625</v>
      </c>
      <c r="O227" s="73"/>
      <c r="P227" s="74"/>
      <c r="Q227" s="74"/>
      <c r="R227" s="86"/>
      <c r="S227" s="46">
        <v>1</v>
      </c>
      <c r="T227" s="46">
        <v>1</v>
      </c>
      <c r="U227" s="47">
        <v>0</v>
      </c>
      <c r="V227" s="47">
        <v>0</v>
      </c>
      <c r="W227" s="47">
        <v>0</v>
      </c>
      <c r="X227" s="47">
        <v>0.002882</v>
      </c>
      <c r="Y227" s="47">
        <v>0</v>
      </c>
      <c r="Z227" s="47">
        <v>0</v>
      </c>
      <c r="AA227" s="69">
        <v>227</v>
      </c>
      <c r="AB227" s="69"/>
      <c r="AC227" s="70"/>
      <c r="AD227" s="76" t="s">
        <v>6088</v>
      </c>
      <c r="AE227" s="83" t="s">
        <v>5813</v>
      </c>
      <c r="AF227" s="76">
        <v>4515</v>
      </c>
      <c r="AG227" s="76">
        <v>3869</v>
      </c>
      <c r="AH227" s="76">
        <v>80365</v>
      </c>
      <c r="AI227" s="76">
        <v>333</v>
      </c>
      <c r="AJ227" s="76">
        <v>4384</v>
      </c>
      <c r="AK227" s="76">
        <v>48252</v>
      </c>
      <c r="AL227" s="76" t="b">
        <v>0</v>
      </c>
      <c r="AM227" s="78">
        <v>42688.28791666667</v>
      </c>
      <c r="AN227" s="76" t="s">
        <v>6574</v>
      </c>
      <c r="AO227" s="76" t="s">
        <v>6831</v>
      </c>
      <c r="AP227" s="82" t="str">
        <f>HYPERLINK("https://t.co/jPXdPDlAzF")</f>
        <v>https://t.co/jPXdPDlAzF</v>
      </c>
      <c r="AQ227" s="82" t="str">
        <f>HYPERLINK("http://www.modernwebz.com/")</f>
        <v>http://www.modernwebz.com/</v>
      </c>
      <c r="AR227" s="76" t="s">
        <v>7073</v>
      </c>
      <c r="AS227" s="76"/>
      <c r="AT227" s="76"/>
      <c r="AU227" s="76"/>
      <c r="AV227" s="76">
        <v>1.50954984776624E+18</v>
      </c>
      <c r="AW227" s="82" t="str">
        <f>HYPERLINK("https://t.co/jPXdPDlAzF")</f>
        <v>https://t.co/jPXdPDlAzF</v>
      </c>
      <c r="AX227" s="76" t="b">
        <v>0</v>
      </c>
      <c r="AY227" s="76"/>
      <c r="AZ227" s="76"/>
      <c r="BA227" s="76" t="b">
        <v>1</v>
      </c>
      <c r="BB227" s="76" t="b">
        <v>1</v>
      </c>
      <c r="BC227" s="76" t="b">
        <v>0</v>
      </c>
      <c r="BD227" s="76" t="b">
        <v>0</v>
      </c>
      <c r="BE227" s="76" t="b">
        <v>0</v>
      </c>
      <c r="BF227" s="76" t="b">
        <v>0</v>
      </c>
      <c r="BG227" s="76" t="b">
        <v>0</v>
      </c>
      <c r="BH227" s="82" t="str">
        <f>HYPERLINK("https://pbs.twimg.com/profile_banners/798056522181971968/1482315412")</f>
        <v>https://pbs.twimg.com/profile_banners/798056522181971968/1482315412</v>
      </c>
      <c r="BI227" s="76"/>
      <c r="BJ227" s="76" t="s">
        <v>7188</v>
      </c>
      <c r="BK227" s="76" t="b">
        <v>0</v>
      </c>
      <c r="BL227" s="76"/>
      <c r="BM227" s="76" t="s">
        <v>66</v>
      </c>
      <c r="BN227" s="76" t="s">
        <v>7190</v>
      </c>
      <c r="BO227" s="82" t="str">
        <f>HYPERLINK("https://twitter.com/modern_webz")</f>
        <v>https://twitter.com/modern_webz</v>
      </c>
      <c r="BP227" s="46" t="s">
        <v>7646</v>
      </c>
      <c r="BQ227" s="46" t="s">
        <v>7646</v>
      </c>
      <c r="BR227" s="46" t="s">
        <v>7714</v>
      </c>
      <c r="BS227" s="46" t="s">
        <v>7723</v>
      </c>
      <c r="BT227" s="46"/>
      <c r="BU227" s="46"/>
      <c r="BV227" s="105" t="s">
        <v>7891</v>
      </c>
      <c r="BW227" s="105" t="s">
        <v>7891</v>
      </c>
      <c r="BX227" s="105" t="s">
        <v>8122</v>
      </c>
      <c r="BY227" s="105" t="s">
        <v>8122</v>
      </c>
      <c r="BZ227" s="2"/>
    </row>
    <row r="228" spans="1:78" ht="15">
      <c r="A228" s="62" t="s">
        <v>335</v>
      </c>
      <c r="B228" s="63"/>
      <c r="C228" s="63"/>
      <c r="D228" s="64"/>
      <c r="E228" s="66"/>
      <c r="F228" s="100" t="str">
        <f>HYPERLINK("https://pbs.twimg.com/profile_images/1631805669832638465/3rIgk94z_normal.png")</f>
        <v>https://pbs.twimg.com/profile_images/1631805669832638465/3rIgk94z_normal.png</v>
      </c>
      <c r="G228" s="63"/>
      <c r="H228" s="67"/>
      <c r="I228" s="68"/>
      <c r="J228" s="68"/>
      <c r="K228" s="67" t="s">
        <v>7415</v>
      </c>
      <c r="L228" s="71"/>
      <c r="M228" s="72">
        <v>6344.8134765625</v>
      </c>
      <c r="N228" s="72">
        <v>9596.9609375</v>
      </c>
      <c r="O228" s="73"/>
      <c r="P228" s="74"/>
      <c r="Q228" s="74"/>
      <c r="R228" s="86"/>
      <c r="S228" s="46">
        <v>0</v>
      </c>
      <c r="T228" s="46">
        <v>1</v>
      </c>
      <c r="U228" s="47">
        <v>0</v>
      </c>
      <c r="V228" s="47">
        <v>0.214691</v>
      </c>
      <c r="W228" s="47">
        <v>0.062026</v>
      </c>
      <c r="X228" s="47">
        <v>0.002499</v>
      </c>
      <c r="Y228" s="47">
        <v>0</v>
      </c>
      <c r="Z228" s="47">
        <v>0</v>
      </c>
      <c r="AA228" s="69">
        <v>228</v>
      </c>
      <c r="AB228" s="69"/>
      <c r="AC228" s="70"/>
      <c r="AD228" s="76" t="s">
        <v>6089</v>
      </c>
      <c r="AE228" s="83" t="s">
        <v>6355</v>
      </c>
      <c r="AF228" s="76">
        <v>2294</v>
      </c>
      <c r="AG228" s="76">
        <v>4806</v>
      </c>
      <c r="AH228" s="76">
        <v>2633</v>
      </c>
      <c r="AI228" s="76">
        <v>0</v>
      </c>
      <c r="AJ228" s="76">
        <v>40</v>
      </c>
      <c r="AK228" s="76">
        <v>1051</v>
      </c>
      <c r="AL228" s="76" t="b">
        <v>0</v>
      </c>
      <c r="AM228" s="78">
        <v>42369.354375</v>
      </c>
      <c r="AN228" s="76" t="s">
        <v>6575</v>
      </c>
      <c r="AO228" s="76" t="s">
        <v>6832</v>
      </c>
      <c r="AP228" s="82" t="str">
        <f>HYPERLINK("https://t.co/c6MCfXnXZU")</f>
        <v>https://t.co/c6MCfXnXZU</v>
      </c>
      <c r="AQ228" s="82" t="str">
        <f>HYPERLINK("https://promote.news/")</f>
        <v>https://promote.news/</v>
      </c>
      <c r="AR228" s="76" t="s">
        <v>7074</v>
      </c>
      <c r="AS228" s="82" t="str">
        <f>HYPERLINK("https://t.co/qSFBOmKEfE")</f>
        <v>https://t.co/qSFBOmKEfE</v>
      </c>
      <c r="AT228" s="82" t="str">
        <f>HYPERLINK("http://promote.news")</f>
        <v>http://promote.news</v>
      </c>
      <c r="AU228" s="76" t="s">
        <v>7074</v>
      </c>
      <c r="AV228" s="76"/>
      <c r="AW228" s="82" t="str">
        <f>HYPERLINK("https://t.co/c6MCfXnXZU")</f>
        <v>https://t.co/c6MCfXnXZU</v>
      </c>
      <c r="AX228" s="76" t="b">
        <v>0</v>
      </c>
      <c r="AY228" s="76"/>
      <c r="AZ228" s="76"/>
      <c r="BA228" s="76" t="b">
        <v>0</v>
      </c>
      <c r="BB228" s="76" t="b">
        <v>1</v>
      </c>
      <c r="BC228" s="76" t="b">
        <v>0</v>
      </c>
      <c r="BD228" s="76" t="b">
        <v>0</v>
      </c>
      <c r="BE228" s="76" t="b">
        <v>0</v>
      </c>
      <c r="BF228" s="76" t="b">
        <v>0</v>
      </c>
      <c r="BG228" s="76" t="b">
        <v>0</v>
      </c>
      <c r="BH228" s="82" t="str">
        <f>HYPERLINK("https://pbs.twimg.com/profile_banners/4662675315/1586449925")</f>
        <v>https://pbs.twimg.com/profile_banners/4662675315/1586449925</v>
      </c>
      <c r="BI228" s="76"/>
      <c r="BJ228" s="76" t="s">
        <v>7188</v>
      </c>
      <c r="BK228" s="76" t="b">
        <v>0</v>
      </c>
      <c r="BL228" s="76"/>
      <c r="BM228" s="76" t="s">
        <v>66</v>
      </c>
      <c r="BN228" s="76" t="s">
        <v>7190</v>
      </c>
      <c r="BO228" s="82" t="str">
        <f>HYPERLINK("https://twitter.com/procharitynews")</f>
        <v>https://twitter.com/procharitynews</v>
      </c>
      <c r="BP228" s="46" t="s">
        <v>1961</v>
      </c>
      <c r="BQ228" s="46" t="s">
        <v>1961</v>
      </c>
      <c r="BR228" s="46" t="s">
        <v>2016</v>
      </c>
      <c r="BS228" s="46" t="s">
        <v>7724</v>
      </c>
      <c r="BT228" s="46"/>
      <c r="BU228" s="46"/>
      <c r="BV228" s="105" t="s">
        <v>7892</v>
      </c>
      <c r="BW228" s="105" t="s">
        <v>7892</v>
      </c>
      <c r="BX228" s="105" t="s">
        <v>8123</v>
      </c>
      <c r="BY228" s="105" t="s">
        <v>8123</v>
      </c>
      <c r="BZ228" s="2"/>
    </row>
    <row r="229" spans="1:78" ht="15">
      <c r="A229" s="62" t="s">
        <v>336</v>
      </c>
      <c r="B229" s="63"/>
      <c r="C229" s="63"/>
      <c r="D229" s="64"/>
      <c r="E229" s="66"/>
      <c r="F229" s="100" t="str">
        <f>HYPERLINK("https://pbs.twimg.com/profile_images/1245312280939683847/Rixe1nev_normal.jpg")</f>
        <v>https://pbs.twimg.com/profile_images/1245312280939683847/Rixe1nev_normal.jpg</v>
      </c>
      <c r="G229" s="63"/>
      <c r="H229" s="67"/>
      <c r="I229" s="68"/>
      <c r="J229" s="68"/>
      <c r="K229" s="67" t="s">
        <v>7416</v>
      </c>
      <c r="L229" s="71"/>
      <c r="M229" s="72">
        <v>6371.4541015625</v>
      </c>
      <c r="N229" s="72">
        <v>9552.1533203125</v>
      </c>
      <c r="O229" s="73"/>
      <c r="P229" s="74"/>
      <c r="Q229" s="74"/>
      <c r="R229" s="86"/>
      <c r="S229" s="46">
        <v>1</v>
      </c>
      <c r="T229" s="46">
        <v>1</v>
      </c>
      <c r="U229" s="47">
        <v>0</v>
      </c>
      <c r="V229" s="47">
        <v>0</v>
      </c>
      <c r="W229" s="47">
        <v>0</v>
      </c>
      <c r="X229" s="47">
        <v>0.002882</v>
      </c>
      <c r="Y229" s="47">
        <v>0</v>
      </c>
      <c r="Z229" s="47">
        <v>0</v>
      </c>
      <c r="AA229" s="69">
        <v>229</v>
      </c>
      <c r="AB229" s="69"/>
      <c r="AC229" s="70"/>
      <c r="AD229" s="76" t="s">
        <v>6090</v>
      </c>
      <c r="AE229" s="83" t="s">
        <v>6356</v>
      </c>
      <c r="AF229" s="76">
        <v>3668</v>
      </c>
      <c r="AG229" s="76">
        <v>2540</v>
      </c>
      <c r="AH229" s="76">
        <v>12585</v>
      </c>
      <c r="AI229" s="76">
        <v>14</v>
      </c>
      <c r="AJ229" s="76">
        <v>6266</v>
      </c>
      <c r="AK229" s="76">
        <v>528</v>
      </c>
      <c r="AL229" s="76" t="b">
        <v>0</v>
      </c>
      <c r="AM229" s="78">
        <v>41636.24700231481</v>
      </c>
      <c r="AN229" s="76" t="s">
        <v>6576</v>
      </c>
      <c r="AO229" s="76" t="s">
        <v>6833</v>
      </c>
      <c r="AP229" s="76"/>
      <c r="AQ229" s="76"/>
      <c r="AR229" s="76"/>
      <c r="AS229" s="76"/>
      <c r="AT229" s="76"/>
      <c r="AU229" s="76"/>
      <c r="AV229" s="76">
        <v>1.04049927742284E+18</v>
      </c>
      <c r="AW229" s="76"/>
      <c r="AX229" s="76" t="b">
        <v>0</v>
      </c>
      <c r="AY229" s="76"/>
      <c r="AZ229" s="76"/>
      <c r="BA229" s="76" t="b">
        <v>0</v>
      </c>
      <c r="BB229" s="76" t="b">
        <v>1</v>
      </c>
      <c r="BC229" s="76" t="b">
        <v>0</v>
      </c>
      <c r="BD229" s="76" t="b">
        <v>0</v>
      </c>
      <c r="BE229" s="76" t="b">
        <v>1</v>
      </c>
      <c r="BF229" s="76" t="b">
        <v>0</v>
      </c>
      <c r="BG229" s="76" t="b">
        <v>0</v>
      </c>
      <c r="BH229" s="82" t="str">
        <f>HYPERLINK("https://pbs.twimg.com/profile_banners/2247508505/1532942136")</f>
        <v>https://pbs.twimg.com/profile_banners/2247508505/1532942136</v>
      </c>
      <c r="BI229" s="76"/>
      <c r="BJ229" s="76" t="s">
        <v>7188</v>
      </c>
      <c r="BK229" s="76" t="b">
        <v>0</v>
      </c>
      <c r="BL229" s="76"/>
      <c r="BM229" s="76" t="s">
        <v>66</v>
      </c>
      <c r="BN229" s="76" t="s">
        <v>7190</v>
      </c>
      <c r="BO229" s="82" t="str">
        <f>HYPERLINK("https://twitter.com/breathinuari")</f>
        <v>https://twitter.com/breathinuari</v>
      </c>
      <c r="BP229" s="46"/>
      <c r="BQ229" s="46"/>
      <c r="BR229" s="46"/>
      <c r="BS229" s="46"/>
      <c r="BT229" s="46"/>
      <c r="BU229" s="46"/>
      <c r="BV229" s="105" t="s">
        <v>7893</v>
      </c>
      <c r="BW229" s="105" t="s">
        <v>7893</v>
      </c>
      <c r="BX229" s="105" t="s">
        <v>8124</v>
      </c>
      <c r="BY229" s="105" t="s">
        <v>8124</v>
      </c>
      <c r="BZ229" s="2"/>
    </row>
    <row r="230" spans="1:78" ht="15">
      <c r="A230" s="62" t="s">
        <v>337</v>
      </c>
      <c r="B230" s="63"/>
      <c r="C230" s="63"/>
      <c r="D230" s="64"/>
      <c r="E230" s="66"/>
      <c r="F230" s="100" t="str">
        <f>HYPERLINK("https://pbs.twimg.com/profile_images/858921667778707458/C6z43mLf_normal.jpg")</f>
        <v>https://pbs.twimg.com/profile_images/858921667778707458/C6z43mLf_normal.jpg</v>
      </c>
      <c r="G230" s="63"/>
      <c r="H230" s="67"/>
      <c r="I230" s="68"/>
      <c r="J230" s="68"/>
      <c r="K230" s="67" t="s">
        <v>7417</v>
      </c>
      <c r="L230" s="71"/>
      <c r="M230" s="72">
        <v>6398.0927734375</v>
      </c>
      <c r="N230" s="72">
        <v>9501.4443359375</v>
      </c>
      <c r="O230" s="73"/>
      <c r="P230" s="74"/>
      <c r="Q230" s="74"/>
      <c r="R230" s="86"/>
      <c r="S230" s="46">
        <v>1</v>
      </c>
      <c r="T230" s="46">
        <v>1</v>
      </c>
      <c r="U230" s="47">
        <v>0</v>
      </c>
      <c r="V230" s="47">
        <v>0</v>
      </c>
      <c r="W230" s="47">
        <v>0</v>
      </c>
      <c r="X230" s="47">
        <v>0.002882</v>
      </c>
      <c r="Y230" s="47">
        <v>0</v>
      </c>
      <c r="Z230" s="47">
        <v>0</v>
      </c>
      <c r="AA230" s="69">
        <v>230</v>
      </c>
      <c r="AB230" s="69"/>
      <c r="AC230" s="70"/>
      <c r="AD230" s="76" t="s">
        <v>6091</v>
      </c>
      <c r="AE230" s="83" t="s">
        <v>5814</v>
      </c>
      <c r="AF230" s="76">
        <v>15</v>
      </c>
      <c r="AG230" s="76">
        <v>51</v>
      </c>
      <c r="AH230" s="76">
        <v>4</v>
      </c>
      <c r="AI230" s="76">
        <v>0</v>
      </c>
      <c r="AJ230" s="76">
        <v>1</v>
      </c>
      <c r="AK230" s="76">
        <v>2</v>
      </c>
      <c r="AL230" s="76" t="b">
        <v>0</v>
      </c>
      <c r="AM230" s="78">
        <v>42850.2487962963</v>
      </c>
      <c r="AN230" s="76" t="s">
        <v>3895</v>
      </c>
      <c r="AO230" s="76" t="s">
        <v>6834</v>
      </c>
      <c r="AP230" s="76"/>
      <c r="AQ230" s="76"/>
      <c r="AR230" s="76"/>
      <c r="AS230" s="76"/>
      <c r="AT230" s="76"/>
      <c r="AU230" s="76"/>
      <c r="AV230" s="76"/>
      <c r="AW230" s="76"/>
      <c r="AX230" s="76" t="b">
        <v>0</v>
      </c>
      <c r="AY230" s="76"/>
      <c r="AZ230" s="76"/>
      <c r="BA230" s="76" t="b">
        <v>0</v>
      </c>
      <c r="BB230" s="76" t="b">
        <v>1</v>
      </c>
      <c r="BC230" s="76" t="b">
        <v>1</v>
      </c>
      <c r="BD230" s="76" t="b">
        <v>0</v>
      </c>
      <c r="BE230" s="76" t="b">
        <v>0</v>
      </c>
      <c r="BF230" s="76" t="b">
        <v>0</v>
      </c>
      <c r="BG230" s="76" t="b">
        <v>0</v>
      </c>
      <c r="BH230" s="76"/>
      <c r="BI230" s="76"/>
      <c r="BJ230" s="76" t="s">
        <v>7188</v>
      </c>
      <c r="BK230" s="76" t="b">
        <v>0</v>
      </c>
      <c r="BL230" s="76"/>
      <c r="BM230" s="76" t="s">
        <v>66</v>
      </c>
      <c r="BN230" s="76" t="s">
        <v>7190</v>
      </c>
      <c r="BO230" s="82" t="str">
        <f>HYPERLINK("https://twitter.com/fairsoftguntur")</f>
        <v>https://twitter.com/fairsoftguntur</v>
      </c>
      <c r="BP230" s="46"/>
      <c r="BQ230" s="46"/>
      <c r="BR230" s="46"/>
      <c r="BS230" s="46"/>
      <c r="BT230" s="46" t="s">
        <v>7739</v>
      </c>
      <c r="BU230" s="46" t="s">
        <v>7739</v>
      </c>
      <c r="BV230" s="105" t="s">
        <v>7894</v>
      </c>
      <c r="BW230" s="105" t="s">
        <v>7894</v>
      </c>
      <c r="BX230" s="105" t="s">
        <v>8125</v>
      </c>
      <c r="BY230" s="105" t="s">
        <v>8125</v>
      </c>
      <c r="BZ230" s="2"/>
    </row>
    <row r="231" spans="1:78" ht="15">
      <c r="A231" s="62" t="s">
        <v>338</v>
      </c>
      <c r="B231" s="63"/>
      <c r="C231" s="63"/>
      <c r="D231" s="64"/>
      <c r="E231" s="66"/>
      <c r="F231" s="100" t="str">
        <f>HYPERLINK("https://pbs.twimg.com/profile_images/1615185356646715393/oA_77GyC_normal.jpg")</f>
        <v>https://pbs.twimg.com/profile_images/1615185356646715393/oA_77GyC_normal.jpg</v>
      </c>
      <c r="G231" s="63"/>
      <c r="H231" s="67"/>
      <c r="I231" s="68"/>
      <c r="J231" s="68"/>
      <c r="K231" s="67" t="s">
        <v>7418</v>
      </c>
      <c r="L231" s="71"/>
      <c r="M231" s="72">
        <v>6424.7333984375</v>
      </c>
      <c r="N231" s="72">
        <v>9444.8984375</v>
      </c>
      <c r="O231" s="73"/>
      <c r="P231" s="74"/>
      <c r="Q231" s="74"/>
      <c r="R231" s="86"/>
      <c r="S231" s="46">
        <v>1</v>
      </c>
      <c r="T231" s="46">
        <v>1</v>
      </c>
      <c r="U231" s="47">
        <v>0</v>
      </c>
      <c r="V231" s="47">
        <v>0</v>
      </c>
      <c r="W231" s="47">
        <v>0</v>
      </c>
      <c r="X231" s="47">
        <v>0.002882</v>
      </c>
      <c r="Y231" s="47">
        <v>0</v>
      </c>
      <c r="Z231" s="47">
        <v>0</v>
      </c>
      <c r="AA231" s="69">
        <v>231</v>
      </c>
      <c r="AB231" s="69"/>
      <c r="AC231" s="70"/>
      <c r="AD231" s="76" t="s">
        <v>6092</v>
      </c>
      <c r="AE231" s="83" t="s">
        <v>6357</v>
      </c>
      <c r="AF231" s="76">
        <v>155</v>
      </c>
      <c r="AG231" s="76">
        <v>221</v>
      </c>
      <c r="AH231" s="76">
        <v>1905</v>
      </c>
      <c r="AI231" s="76">
        <v>0</v>
      </c>
      <c r="AJ231" s="76">
        <v>1445</v>
      </c>
      <c r="AK231" s="76">
        <v>89</v>
      </c>
      <c r="AL231" s="76" t="b">
        <v>0</v>
      </c>
      <c r="AM231" s="78">
        <v>41049.64618055556</v>
      </c>
      <c r="AN231" s="76"/>
      <c r="AO231" s="76" t="s">
        <v>6835</v>
      </c>
      <c r="AP231" s="76"/>
      <c r="AQ231" s="76"/>
      <c r="AR231" s="76"/>
      <c r="AS231" s="76"/>
      <c r="AT231" s="76"/>
      <c r="AU231" s="76"/>
      <c r="AV231" s="76"/>
      <c r="AW231" s="76"/>
      <c r="AX231" s="76" t="b">
        <v>0</v>
      </c>
      <c r="AY231" s="76"/>
      <c r="AZ231" s="76"/>
      <c r="BA231" s="76" t="b">
        <v>0</v>
      </c>
      <c r="BB231" s="76" t="b">
        <v>1</v>
      </c>
      <c r="BC231" s="76" t="b">
        <v>1</v>
      </c>
      <c r="BD231" s="76" t="b">
        <v>0</v>
      </c>
      <c r="BE231" s="76" t="b">
        <v>1</v>
      </c>
      <c r="BF231" s="76" t="b">
        <v>0</v>
      </c>
      <c r="BG231" s="76" t="b">
        <v>0</v>
      </c>
      <c r="BH231" s="82" t="str">
        <f>HYPERLINK("https://pbs.twimg.com/profile_banners/585752033/1673925183")</f>
        <v>https://pbs.twimg.com/profile_banners/585752033/1673925183</v>
      </c>
      <c r="BI231" s="76"/>
      <c r="BJ231" s="76" t="s">
        <v>7188</v>
      </c>
      <c r="BK231" s="76" t="b">
        <v>0</v>
      </c>
      <c r="BL231" s="76"/>
      <c r="BM231" s="76" t="s">
        <v>66</v>
      </c>
      <c r="BN231" s="76" t="s">
        <v>7190</v>
      </c>
      <c r="BO231" s="82" t="str">
        <f>HYPERLINK("https://twitter.com/tanner_mosier")</f>
        <v>https://twitter.com/tanner_mosier</v>
      </c>
      <c r="BP231" s="46"/>
      <c r="BQ231" s="46"/>
      <c r="BR231" s="46"/>
      <c r="BS231" s="46"/>
      <c r="BT231" s="46"/>
      <c r="BU231" s="46"/>
      <c r="BV231" s="105" t="s">
        <v>7895</v>
      </c>
      <c r="BW231" s="105" t="s">
        <v>7895</v>
      </c>
      <c r="BX231" s="105" t="s">
        <v>8126</v>
      </c>
      <c r="BY231" s="105" t="s">
        <v>8126</v>
      </c>
      <c r="BZ231" s="2"/>
    </row>
    <row r="232" spans="1:78" ht="15">
      <c r="A232" s="62" t="s">
        <v>339</v>
      </c>
      <c r="B232" s="63"/>
      <c r="C232" s="63"/>
      <c r="D232" s="64"/>
      <c r="E232" s="66"/>
      <c r="F232" s="100" t="str">
        <f>HYPERLINK("https://pbs.twimg.com/profile_images/999613544919252992/nKI-aX4q_normal.jpg")</f>
        <v>https://pbs.twimg.com/profile_images/999613544919252992/nKI-aX4q_normal.jpg</v>
      </c>
      <c r="G232" s="63"/>
      <c r="H232" s="67"/>
      <c r="I232" s="68"/>
      <c r="J232" s="68"/>
      <c r="K232" s="67" t="s">
        <v>7419</v>
      </c>
      <c r="L232" s="71"/>
      <c r="M232" s="72">
        <v>6451.373046875</v>
      </c>
      <c r="N232" s="72">
        <v>9382.5888671875</v>
      </c>
      <c r="O232" s="73"/>
      <c r="P232" s="74"/>
      <c r="Q232" s="74"/>
      <c r="R232" s="86"/>
      <c r="S232" s="46">
        <v>1</v>
      </c>
      <c r="T232" s="46">
        <v>1</v>
      </c>
      <c r="U232" s="47">
        <v>0</v>
      </c>
      <c r="V232" s="47">
        <v>0</v>
      </c>
      <c r="W232" s="47">
        <v>0</v>
      </c>
      <c r="X232" s="47">
        <v>0.002882</v>
      </c>
      <c r="Y232" s="47">
        <v>0</v>
      </c>
      <c r="Z232" s="47">
        <v>0</v>
      </c>
      <c r="AA232" s="69">
        <v>232</v>
      </c>
      <c r="AB232" s="69"/>
      <c r="AC232" s="70"/>
      <c r="AD232" s="76" t="s">
        <v>6093</v>
      </c>
      <c r="AE232" s="83" t="s">
        <v>6358</v>
      </c>
      <c r="AF232" s="76">
        <v>3</v>
      </c>
      <c r="AG232" s="76">
        <v>23</v>
      </c>
      <c r="AH232" s="76">
        <v>426</v>
      </c>
      <c r="AI232" s="76">
        <v>0</v>
      </c>
      <c r="AJ232" s="76">
        <v>1598</v>
      </c>
      <c r="AK232" s="76">
        <v>5</v>
      </c>
      <c r="AL232" s="76" t="b">
        <v>0</v>
      </c>
      <c r="AM232" s="78">
        <v>41262.000555555554</v>
      </c>
      <c r="AN232" s="76"/>
      <c r="AO232" s="76"/>
      <c r="AP232" s="76"/>
      <c r="AQ232" s="76"/>
      <c r="AR232" s="76"/>
      <c r="AS232" s="76"/>
      <c r="AT232" s="76"/>
      <c r="AU232" s="76"/>
      <c r="AV232" s="76"/>
      <c r="AW232" s="76"/>
      <c r="AX232" s="76" t="b">
        <v>0</v>
      </c>
      <c r="AY232" s="76"/>
      <c r="AZ232" s="76"/>
      <c r="BA232" s="76" t="b">
        <v>0</v>
      </c>
      <c r="BB232" s="76" t="b">
        <v>1</v>
      </c>
      <c r="BC232" s="76" t="b">
        <v>1</v>
      </c>
      <c r="BD232" s="76" t="b">
        <v>0</v>
      </c>
      <c r="BE232" s="76" t="b">
        <v>1</v>
      </c>
      <c r="BF232" s="76" t="b">
        <v>0</v>
      </c>
      <c r="BG232" s="76" t="b">
        <v>0</v>
      </c>
      <c r="BH232" s="76"/>
      <c r="BI232" s="76"/>
      <c r="BJ232" s="76" t="s">
        <v>7188</v>
      </c>
      <c r="BK232" s="76" t="b">
        <v>0</v>
      </c>
      <c r="BL232" s="76"/>
      <c r="BM232" s="76" t="s">
        <v>66</v>
      </c>
      <c r="BN232" s="76" t="s">
        <v>7190</v>
      </c>
      <c r="BO232" s="82" t="str">
        <f>HYPERLINK("https://twitter.com/kkaverill")</f>
        <v>https://twitter.com/kkaverill</v>
      </c>
      <c r="BP232" s="46"/>
      <c r="BQ232" s="46"/>
      <c r="BR232" s="46"/>
      <c r="BS232" s="46"/>
      <c r="BT232" s="46"/>
      <c r="BU232" s="46"/>
      <c r="BV232" s="105" t="s">
        <v>7896</v>
      </c>
      <c r="BW232" s="105" t="s">
        <v>7896</v>
      </c>
      <c r="BX232" s="105" t="s">
        <v>8127</v>
      </c>
      <c r="BY232" s="105" t="s">
        <v>8127</v>
      </c>
      <c r="BZ232" s="2"/>
    </row>
    <row r="233" spans="1:78" ht="15">
      <c r="A233" s="62" t="s">
        <v>340</v>
      </c>
      <c r="B233" s="63"/>
      <c r="C233" s="63"/>
      <c r="D233" s="64"/>
      <c r="E233" s="66"/>
      <c r="F233" s="100" t="str">
        <f>HYPERLINK("https://pbs.twimg.com/profile_images/602153095900975104/mH9hcZ5y_normal.jpg")</f>
        <v>https://pbs.twimg.com/profile_images/602153095900975104/mH9hcZ5y_normal.jpg</v>
      </c>
      <c r="G233" s="63"/>
      <c r="H233" s="67"/>
      <c r="I233" s="68"/>
      <c r="J233" s="68"/>
      <c r="K233" s="67" t="s">
        <v>7420</v>
      </c>
      <c r="L233" s="71"/>
      <c r="M233" s="72">
        <v>6478.01318359375</v>
      </c>
      <c r="N233" s="72">
        <v>9314.5986328125</v>
      </c>
      <c r="O233" s="73"/>
      <c r="P233" s="74"/>
      <c r="Q233" s="74"/>
      <c r="R233" s="86"/>
      <c r="S233" s="46">
        <v>0</v>
      </c>
      <c r="T233" s="46">
        <v>1</v>
      </c>
      <c r="U233" s="47">
        <v>0</v>
      </c>
      <c r="V233" s="47">
        <v>0.003854</v>
      </c>
      <c r="W233" s="47">
        <v>0</v>
      </c>
      <c r="X233" s="47">
        <v>0.002694</v>
      </c>
      <c r="Y233" s="47">
        <v>0</v>
      </c>
      <c r="Z233" s="47">
        <v>0</v>
      </c>
      <c r="AA233" s="69">
        <v>233</v>
      </c>
      <c r="AB233" s="69"/>
      <c r="AC233" s="70"/>
      <c r="AD233" s="76" t="s">
        <v>6094</v>
      </c>
      <c r="AE233" s="83" t="s">
        <v>6359</v>
      </c>
      <c r="AF233" s="76">
        <v>246</v>
      </c>
      <c r="AG233" s="76">
        <v>392</v>
      </c>
      <c r="AH233" s="76">
        <v>5841</v>
      </c>
      <c r="AI233" s="76">
        <v>3</v>
      </c>
      <c r="AJ233" s="76">
        <v>45</v>
      </c>
      <c r="AK233" s="76">
        <v>3699</v>
      </c>
      <c r="AL233" s="76" t="b">
        <v>0</v>
      </c>
      <c r="AM233" s="78">
        <v>40288.17534722222</v>
      </c>
      <c r="AN233" s="76" t="s">
        <v>6577</v>
      </c>
      <c r="AO233" s="76"/>
      <c r="AP233" s="82" t="str">
        <f>HYPERLINK("http://t.co/HNoQQyqSz6")</f>
        <v>http://t.co/HNoQQyqSz6</v>
      </c>
      <c r="AQ233" s="82" t="str">
        <f>HYPERLINK("http://www.rktoday.in")</f>
        <v>http://www.rktoday.in</v>
      </c>
      <c r="AR233" s="76" t="s">
        <v>7075</v>
      </c>
      <c r="AS233" s="76"/>
      <c r="AT233" s="76"/>
      <c r="AU233" s="76"/>
      <c r="AV233" s="76"/>
      <c r="AW233" s="82" t="str">
        <f>HYPERLINK("http://t.co/HNoQQyqSz6")</f>
        <v>http://t.co/HNoQQyqSz6</v>
      </c>
      <c r="AX233" s="76" t="b">
        <v>0</v>
      </c>
      <c r="AY233" s="76"/>
      <c r="AZ233" s="76"/>
      <c r="BA233" s="76" t="b">
        <v>0</v>
      </c>
      <c r="BB233" s="76" t="b">
        <v>1</v>
      </c>
      <c r="BC233" s="76" t="b">
        <v>0</v>
      </c>
      <c r="BD233" s="76" t="b">
        <v>0</v>
      </c>
      <c r="BE233" s="76" t="b">
        <v>1</v>
      </c>
      <c r="BF233" s="76" t="b">
        <v>0</v>
      </c>
      <c r="BG233" s="76" t="b">
        <v>0</v>
      </c>
      <c r="BH233" s="82" t="str">
        <f>HYPERLINK("https://pbs.twimg.com/profile_banners/135030410/1437243838")</f>
        <v>https://pbs.twimg.com/profile_banners/135030410/1437243838</v>
      </c>
      <c r="BI233" s="76"/>
      <c r="BJ233" s="76" t="s">
        <v>7188</v>
      </c>
      <c r="BK233" s="76" t="b">
        <v>0</v>
      </c>
      <c r="BL233" s="76"/>
      <c r="BM233" s="76" t="s">
        <v>66</v>
      </c>
      <c r="BN233" s="76" t="s">
        <v>7190</v>
      </c>
      <c r="BO233" s="82" t="str">
        <f>HYPERLINK("https://twitter.com/crkonline")</f>
        <v>https://twitter.com/crkonline</v>
      </c>
      <c r="BP233" s="46" t="s">
        <v>7647</v>
      </c>
      <c r="BQ233" s="46" t="s">
        <v>7647</v>
      </c>
      <c r="BR233" s="46" t="s">
        <v>2017</v>
      </c>
      <c r="BS233" s="46" t="s">
        <v>2017</v>
      </c>
      <c r="BT233" s="46"/>
      <c r="BU233" s="46"/>
      <c r="BV233" s="105" t="s">
        <v>7897</v>
      </c>
      <c r="BW233" s="105" t="s">
        <v>7897</v>
      </c>
      <c r="BX233" s="105" t="s">
        <v>8128</v>
      </c>
      <c r="BY233" s="105" t="s">
        <v>8128</v>
      </c>
      <c r="BZ233" s="2"/>
    </row>
    <row r="234" spans="1:78" ht="15">
      <c r="A234" s="62" t="s">
        <v>530</v>
      </c>
      <c r="B234" s="63"/>
      <c r="C234" s="63"/>
      <c r="D234" s="64"/>
      <c r="E234" s="66"/>
      <c r="F234" s="100" t="str">
        <f>HYPERLINK("https://pbs.twimg.com/profile_images/1676657200734040069/bdfCz6ir_normal.jpg")</f>
        <v>https://pbs.twimg.com/profile_images/1676657200734040069/bdfCz6ir_normal.jpg</v>
      </c>
      <c r="G234" s="63"/>
      <c r="H234" s="67"/>
      <c r="I234" s="68"/>
      <c r="J234" s="68"/>
      <c r="K234" s="67" t="s">
        <v>7421</v>
      </c>
      <c r="L234" s="71"/>
      <c r="M234" s="72">
        <v>6504.65283203125</v>
      </c>
      <c r="N234" s="72">
        <v>9241.0146484375</v>
      </c>
      <c r="O234" s="73"/>
      <c r="P234" s="74"/>
      <c r="Q234" s="74"/>
      <c r="R234" s="86"/>
      <c r="S234" s="46">
        <v>2</v>
      </c>
      <c r="T234" s="46">
        <v>0</v>
      </c>
      <c r="U234" s="47">
        <v>2</v>
      </c>
      <c r="V234" s="47">
        <v>0.00578</v>
      </c>
      <c r="W234" s="47">
        <v>0</v>
      </c>
      <c r="X234" s="47">
        <v>0.003258</v>
      </c>
      <c r="Y234" s="47">
        <v>0</v>
      </c>
      <c r="Z234" s="47">
        <v>0</v>
      </c>
      <c r="AA234" s="69">
        <v>234</v>
      </c>
      <c r="AB234" s="69"/>
      <c r="AC234" s="70"/>
      <c r="AD234" s="76" t="s">
        <v>6095</v>
      </c>
      <c r="AE234" s="83" t="s">
        <v>6360</v>
      </c>
      <c r="AF234" s="76">
        <v>1895751</v>
      </c>
      <c r="AG234" s="76">
        <v>3960</v>
      </c>
      <c r="AH234" s="76">
        <v>6150</v>
      </c>
      <c r="AI234" s="76">
        <v>3799</v>
      </c>
      <c r="AJ234" s="76">
        <v>272</v>
      </c>
      <c r="AK234" s="76">
        <v>681</v>
      </c>
      <c r="AL234" s="76" t="b">
        <v>0</v>
      </c>
      <c r="AM234" s="78">
        <v>39517.82403935185</v>
      </c>
      <c r="AN234" s="76" t="s">
        <v>6578</v>
      </c>
      <c r="AO234" s="76" t="s">
        <v>6836</v>
      </c>
      <c r="AP234" s="82" t="str">
        <f>HYPERLINK("https://t.co/65mNgFUp27")</f>
        <v>https://t.co/65mNgFUp27</v>
      </c>
      <c r="AQ234" s="82" t="str">
        <f>HYPERLINK("https://www.sharethis.com/")</f>
        <v>https://www.sharethis.com/</v>
      </c>
      <c r="AR234" s="76" t="s">
        <v>7076</v>
      </c>
      <c r="AS234" s="76"/>
      <c r="AT234" s="76"/>
      <c r="AU234" s="76"/>
      <c r="AV234" s="76"/>
      <c r="AW234" s="82" t="str">
        <f>HYPERLINK("https://t.co/65mNgFUp27")</f>
        <v>https://t.co/65mNgFUp27</v>
      </c>
      <c r="AX234" s="76" t="b">
        <v>1</v>
      </c>
      <c r="AY234" s="76"/>
      <c r="AZ234" s="76"/>
      <c r="BA234" s="76" t="b">
        <v>0</v>
      </c>
      <c r="BB234" s="76" t="b">
        <v>1</v>
      </c>
      <c r="BC234" s="76" t="b">
        <v>0</v>
      </c>
      <c r="BD234" s="76" t="b">
        <v>0</v>
      </c>
      <c r="BE234" s="76" t="b">
        <v>0</v>
      </c>
      <c r="BF234" s="76" t="b">
        <v>0</v>
      </c>
      <c r="BG234" s="76" t="b">
        <v>0</v>
      </c>
      <c r="BH234" s="82" t="str">
        <f>HYPERLINK("https://pbs.twimg.com/profile_banners/14116807/1615930472")</f>
        <v>https://pbs.twimg.com/profile_banners/14116807/1615930472</v>
      </c>
      <c r="BI234" s="76"/>
      <c r="BJ234" s="76" t="s">
        <v>7188</v>
      </c>
      <c r="BK234" s="76" t="b">
        <v>0</v>
      </c>
      <c r="BL234" s="76"/>
      <c r="BM234" s="76" t="s">
        <v>65</v>
      </c>
      <c r="BN234" s="76" t="s">
        <v>7190</v>
      </c>
      <c r="BO234" s="82" t="str">
        <f>HYPERLINK("https://twitter.com/sharethis")</f>
        <v>https://twitter.com/sharethis</v>
      </c>
      <c r="BP234" s="46"/>
      <c r="BQ234" s="46"/>
      <c r="BR234" s="46"/>
      <c r="BS234" s="46"/>
      <c r="BT234" s="46"/>
      <c r="BU234" s="46"/>
      <c r="BV234" s="46"/>
      <c r="BW234" s="46"/>
      <c r="BX234" s="46"/>
      <c r="BY234" s="46"/>
      <c r="BZ234" s="2"/>
    </row>
    <row r="235" spans="1:78" ht="15">
      <c r="A235" s="62" t="s">
        <v>341</v>
      </c>
      <c r="B235" s="63"/>
      <c r="C235" s="63"/>
      <c r="D235" s="64"/>
      <c r="E235" s="66"/>
      <c r="F235" s="100" t="str">
        <f>HYPERLINK("https://pbs.twimg.com/profile_images/604218556532707329/2Wpau9nX_normal.png")</f>
        <v>https://pbs.twimg.com/profile_images/604218556532707329/2Wpau9nX_normal.png</v>
      </c>
      <c r="G235" s="63"/>
      <c r="H235" s="67"/>
      <c r="I235" s="68"/>
      <c r="J235" s="68"/>
      <c r="K235" s="67" t="s">
        <v>7422</v>
      </c>
      <c r="L235" s="71"/>
      <c r="M235" s="72">
        <v>6531.29248046875</v>
      </c>
      <c r="N235" s="72">
        <v>9161.931640625</v>
      </c>
      <c r="O235" s="73"/>
      <c r="P235" s="74"/>
      <c r="Q235" s="74"/>
      <c r="R235" s="86"/>
      <c r="S235" s="46">
        <v>1</v>
      </c>
      <c r="T235" s="46">
        <v>1</v>
      </c>
      <c r="U235" s="47">
        <v>0</v>
      </c>
      <c r="V235" s="47">
        <v>0</v>
      </c>
      <c r="W235" s="47">
        <v>0</v>
      </c>
      <c r="X235" s="47">
        <v>0.002882</v>
      </c>
      <c r="Y235" s="47">
        <v>0</v>
      </c>
      <c r="Z235" s="47">
        <v>0</v>
      </c>
      <c r="AA235" s="69">
        <v>235</v>
      </c>
      <c r="AB235" s="69"/>
      <c r="AC235" s="70"/>
      <c r="AD235" s="76" t="s">
        <v>6096</v>
      </c>
      <c r="AE235" s="83" t="s">
        <v>6361</v>
      </c>
      <c r="AF235" s="76">
        <v>796</v>
      </c>
      <c r="AG235" s="76">
        <v>0</v>
      </c>
      <c r="AH235" s="76">
        <v>238920</v>
      </c>
      <c r="AI235" s="76">
        <v>169</v>
      </c>
      <c r="AJ235" s="76">
        <v>0</v>
      </c>
      <c r="AK235" s="76">
        <v>43820</v>
      </c>
      <c r="AL235" s="76" t="b">
        <v>0</v>
      </c>
      <c r="AM235" s="78">
        <v>42153.368842592594</v>
      </c>
      <c r="AN235" s="76" t="s">
        <v>3889</v>
      </c>
      <c r="AO235" s="76" t="s">
        <v>6837</v>
      </c>
      <c r="AP235" s="82" t="str">
        <f>HYPERLINK("http://t.co/5tW5bB6aUz")</f>
        <v>http://t.co/5tW5bB6aUz</v>
      </c>
      <c r="AQ235" s="82" t="str">
        <f>HYPERLINK("http://placementfloor.com")</f>
        <v>http://placementfloor.com</v>
      </c>
      <c r="AR235" s="76" t="s">
        <v>2018</v>
      </c>
      <c r="AS235" s="76"/>
      <c r="AT235" s="76"/>
      <c r="AU235" s="76"/>
      <c r="AV235" s="76"/>
      <c r="AW235" s="82" t="str">
        <f>HYPERLINK("http://t.co/5tW5bB6aUz")</f>
        <v>http://t.co/5tW5bB6aUz</v>
      </c>
      <c r="AX235" s="76" t="b">
        <v>0</v>
      </c>
      <c r="AY235" s="76"/>
      <c r="AZ235" s="76"/>
      <c r="BA235" s="76" t="b">
        <v>0</v>
      </c>
      <c r="BB235" s="76" t="b">
        <v>1</v>
      </c>
      <c r="BC235" s="76" t="b">
        <v>1</v>
      </c>
      <c r="BD235" s="76" t="b">
        <v>0</v>
      </c>
      <c r="BE235" s="76" t="b">
        <v>0</v>
      </c>
      <c r="BF235" s="76" t="b">
        <v>0</v>
      </c>
      <c r="BG235" s="76" t="b">
        <v>0</v>
      </c>
      <c r="BH235" s="82" t="str">
        <f>HYPERLINK("https://pbs.twimg.com/profile_banners/3229576766/1432892854")</f>
        <v>https://pbs.twimg.com/profile_banners/3229576766/1432892854</v>
      </c>
      <c r="BI235" s="76"/>
      <c r="BJ235" s="76" t="s">
        <v>7188</v>
      </c>
      <c r="BK235" s="76" t="b">
        <v>0</v>
      </c>
      <c r="BL235" s="76"/>
      <c r="BM235" s="76" t="s">
        <v>66</v>
      </c>
      <c r="BN235" s="76" t="s">
        <v>7190</v>
      </c>
      <c r="BO235" s="82" t="str">
        <f>HYPERLINK("https://twitter.com/placementfloor")</f>
        <v>https://twitter.com/placementfloor</v>
      </c>
      <c r="BP235" s="46" t="s">
        <v>7648</v>
      </c>
      <c r="BQ235" s="46" t="s">
        <v>7648</v>
      </c>
      <c r="BR235" s="46" t="s">
        <v>2018</v>
      </c>
      <c r="BS235" s="46" t="s">
        <v>2018</v>
      </c>
      <c r="BT235" s="46"/>
      <c r="BU235" s="46"/>
      <c r="BV235" s="105" t="s">
        <v>7898</v>
      </c>
      <c r="BW235" s="105" t="s">
        <v>7898</v>
      </c>
      <c r="BX235" s="105" t="s">
        <v>8129</v>
      </c>
      <c r="BY235" s="105" t="s">
        <v>8129</v>
      </c>
      <c r="BZ235" s="2"/>
    </row>
    <row r="236" spans="1:78" ht="15">
      <c r="A236" s="62" t="s">
        <v>342</v>
      </c>
      <c r="B236" s="63"/>
      <c r="C236" s="63"/>
      <c r="D236" s="64"/>
      <c r="E236" s="66"/>
      <c r="F236" s="100" t="str">
        <f>HYPERLINK("https://pbs.twimg.com/profile_images/590445746257842176/CW1LZYSf_normal.png")</f>
        <v>https://pbs.twimg.com/profile_images/590445746257842176/CW1LZYSf_normal.png</v>
      </c>
      <c r="G236" s="63"/>
      <c r="H236" s="67"/>
      <c r="I236" s="68"/>
      <c r="J236" s="68"/>
      <c r="K236" s="67" t="s">
        <v>7423</v>
      </c>
      <c r="L236" s="71"/>
      <c r="M236" s="72">
        <v>6557.9326171875</v>
      </c>
      <c r="N236" s="72">
        <v>9077.453125</v>
      </c>
      <c r="O236" s="73"/>
      <c r="P236" s="74"/>
      <c r="Q236" s="74"/>
      <c r="R236" s="86"/>
      <c r="S236" s="46">
        <v>1</v>
      </c>
      <c r="T236" s="46">
        <v>1</v>
      </c>
      <c r="U236" s="47">
        <v>0</v>
      </c>
      <c r="V236" s="47">
        <v>0</v>
      </c>
      <c r="W236" s="47">
        <v>0</v>
      </c>
      <c r="X236" s="47">
        <v>0.002882</v>
      </c>
      <c r="Y236" s="47">
        <v>0</v>
      </c>
      <c r="Z236" s="47">
        <v>0</v>
      </c>
      <c r="AA236" s="69">
        <v>236</v>
      </c>
      <c r="AB236" s="69"/>
      <c r="AC236" s="70"/>
      <c r="AD236" s="76" t="s">
        <v>2019</v>
      </c>
      <c r="AE236" s="83" t="s">
        <v>6362</v>
      </c>
      <c r="AF236" s="76">
        <v>1283</v>
      </c>
      <c r="AG236" s="76">
        <v>0</v>
      </c>
      <c r="AH236" s="76">
        <v>208320</v>
      </c>
      <c r="AI236" s="76">
        <v>29</v>
      </c>
      <c r="AJ236" s="76">
        <v>0</v>
      </c>
      <c r="AK236" s="76">
        <v>0</v>
      </c>
      <c r="AL236" s="76" t="b">
        <v>0</v>
      </c>
      <c r="AM236" s="78">
        <v>40569.23917824074</v>
      </c>
      <c r="AN236" s="76"/>
      <c r="AO236" s="76" t="s">
        <v>6838</v>
      </c>
      <c r="AP236" s="82" t="str">
        <f>HYPERLINK("https://t.co/PoHVj8bIgC")</f>
        <v>https://t.co/PoHVj8bIgC</v>
      </c>
      <c r="AQ236" s="82" t="str">
        <f>HYPERLINK("https://seeklogo.com")</f>
        <v>https://seeklogo.com</v>
      </c>
      <c r="AR236" s="76" t="s">
        <v>2019</v>
      </c>
      <c r="AS236" s="82" t="str">
        <f>HYPERLINK("https://t.co/E6sogfvoKR")</f>
        <v>https://t.co/E6sogfvoKR</v>
      </c>
      <c r="AT236" s="82" t="str">
        <f>HYPERLINK("http://seeklogo.com")</f>
        <v>http://seeklogo.com</v>
      </c>
      <c r="AU236" s="76" t="s">
        <v>2019</v>
      </c>
      <c r="AV236" s="76"/>
      <c r="AW236" s="82" t="str">
        <f>HYPERLINK("https://t.co/PoHVj8bIgC")</f>
        <v>https://t.co/PoHVj8bIgC</v>
      </c>
      <c r="AX236" s="76" t="b">
        <v>0</v>
      </c>
      <c r="AY236" s="76"/>
      <c r="AZ236" s="76"/>
      <c r="BA236" s="76" t="b">
        <v>0</v>
      </c>
      <c r="BB236" s="76" t="b">
        <v>1</v>
      </c>
      <c r="BC236" s="76" t="b">
        <v>0</v>
      </c>
      <c r="BD236" s="76" t="b">
        <v>0</v>
      </c>
      <c r="BE236" s="76" t="b">
        <v>0</v>
      </c>
      <c r="BF236" s="76" t="b">
        <v>0</v>
      </c>
      <c r="BG236" s="76" t="b">
        <v>0</v>
      </c>
      <c r="BH236" s="82" t="str">
        <f>HYPERLINK("https://pbs.twimg.com/profile_banners/243056487/1655976251")</f>
        <v>https://pbs.twimg.com/profile_banners/243056487/1655976251</v>
      </c>
      <c r="BI236" s="76"/>
      <c r="BJ236" s="76" t="s">
        <v>7188</v>
      </c>
      <c r="BK236" s="76" t="b">
        <v>0</v>
      </c>
      <c r="BL236" s="76"/>
      <c r="BM236" s="76" t="s">
        <v>66</v>
      </c>
      <c r="BN236" s="76" t="s">
        <v>7190</v>
      </c>
      <c r="BO236" s="82" t="str">
        <f>HYPERLINK("https://twitter.com/seeklogo")</f>
        <v>https://twitter.com/seeklogo</v>
      </c>
      <c r="BP236" s="46" t="s">
        <v>7649</v>
      </c>
      <c r="BQ236" s="46" t="s">
        <v>7649</v>
      </c>
      <c r="BR236" s="46" t="s">
        <v>2019</v>
      </c>
      <c r="BS236" s="46" t="s">
        <v>2019</v>
      </c>
      <c r="BT236" s="46" t="s">
        <v>1796</v>
      </c>
      <c r="BU236" s="46" t="s">
        <v>1796</v>
      </c>
      <c r="BV236" s="105" t="s">
        <v>7899</v>
      </c>
      <c r="BW236" s="105" t="s">
        <v>7899</v>
      </c>
      <c r="BX236" s="105" t="s">
        <v>8130</v>
      </c>
      <c r="BY236" s="105" t="s">
        <v>8130</v>
      </c>
      <c r="BZ236" s="2"/>
    </row>
    <row r="237" spans="1:78" ht="15">
      <c r="A237" s="62" t="s">
        <v>343</v>
      </c>
      <c r="B237" s="63"/>
      <c r="C237" s="63"/>
      <c r="D237" s="64"/>
      <c r="E237" s="66"/>
      <c r="F237" s="100" t="str">
        <f>HYPERLINK("https://pbs.twimg.com/profile_images/1561508418644430848/HgL79EuP_normal.jpg")</f>
        <v>https://pbs.twimg.com/profile_images/1561508418644430848/HgL79EuP_normal.jpg</v>
      </c>
      <c r="G237" s="63"/>
      <c r="H237" s="67"/>
      <c r="I237" s="68"/>
      <c r="J237" s="68"/>
      <c r="K237" s="67" t="s">
        <v>7424</v>
      </c>
      <c r="L237" s="71"/>
      <c r="M237" s="72">
        <v>6584.572265625</v>
      </c>
      <c r="N237" s="72">
        <v>8987.6875</v>
      </c>
      <c r="O237" s="73"/>
      <c r="P237" s="74"/>
      <c r="Q237" s="74"/>
      <c r="R237" s="86"/>
      <c r="S237" s="46">
        <v>0</v>
      </c>
      <c r="T237" s="46">
        <v>1</v>
      </c>
      <c r="U237" s="47">
        <v>0</v>
      </c>
      <c r="V237" s="47">
        <v>0.00289</v>
      </c>
      <c r="W237" s="47">
        <v>0</v>
      </c>
      <c r="X237" s="47">
        <v>0.002882</v>
      </c>
      <c r="Y237" s="47">
        <v>0</v>
      </c>
      <c r="Z237" s="47">
        <v>0</v>
      </c>
      <c r="AA237" s="69">
        <v>237</v>
      </c>
      <c r="AB237" s="69"/>
      <c r="AC237" s="70"/>
      <c r="AD237" s="76" t="s">
        <v>6097</v>
      </c>
      <c r="AE237" s="83" t="s">
        <v>6363</v>
      </c>
      <c r="AF237" s="76">
        <v>576</v>
      </c>
      <c r="AG237" s="76">
        <v>604</v>
      </c>
      <c r="AH237" s="76">
        <v>32560</v>
      </c>
      <c r="AI237" s="76">
        <v>2</v>
      </c>
      <c r="AJ237" s="76">
        <v>29212</v>
      </c>
      <c r="AK237" s="76">
        <v>1328</v>
      </c>
      <c r="AL237" s="76" t="b">
        <v>0</v>
      </c>
      <c r="AM237" s="78">
        <v>41203.78606481481</v>
      </c>
      <c r="AN237" s="76"/>
      <c r="AO237" s="76"/>
      <c r="AP237" s="82" t="str">
        <f>HYPERLINK("https://t.co/Fnu5cpC84O")</f>
        <v>https://t.co/Fnu5cpC84O</v>
      </c>
      <c r="AQ237" s="82" t="str">
        <f>HYPERLINK("http://Instagram.com/jacobisaak")</f>
        <v>http://Instagram.com/jacobisaak</v>
      </c>
      <c r="AR237" s="76" t="s">
        <v>7077</v>
      </c>
      <c r="AS237" s="76"/>
      <c r="AT237" s="76"/>
      <c r="AU237" s="76"/>
      <c r="AV237" s="76"/>
      <c r="AW237" s="82" t="str">
        <f>HYPERLINK("https://t.co/Fnu5cpC84O")</f>
        <v>https://t.co/Fnu5cpC84O</v>
      </c>
      <c r="AX237" s="76" t="b">
        <v>0</v>
      </c>
      <c r="AY237" s="76"/>
      <c r="AZ237" s="76"/>
      <c r="BA237" s="76" t="b">
        <v>1</v>
      </c>
      <c r="BB237" s="76" t="b">
        <v>0</v>
      </c>
      <c r="BC237" s="76" t="b">
        <v>0</v>
      </c>
      <c r="BD237" s="76" t="b">
        <v>0</v>
      </c>
      <c r="BE237" s="76" t="b">
        <v>1</v>
      </c>
      <c r="BF237" s="76" t="b">
        <v>0</v>
      </c>
      <c r="BG237" s="76" t="b">
        <v>0</v>
      </c>
      <c r="BH237" s="82" t="str">
        <f>HYPERLINK("https://pbs.twimg.com/profile_banners/895937264/1669682270")</f>
        <v>https://pbs.twimg.com/profile_banners/895937264/1669682270</v>
      </c>
      <c r="BI237" s="76"/>
      <c r="BJ237" s="76" t="s">
        <v>7188</v>
      </c>
      <c r="BK237" s="76" t="b">
        <v>0</v>
      </c>
      <c r="BL237" s="76"/>
      <c r="BM237" s="76" t="s">
        <v>66</v>
      </c>
      <c r="BN237" s="76" t="s">
        <v>7190</v>
      </c>
      <c r="BO237" s="82" t="str">
        <f>HYPERLINK("https://twitter.com/jcbisaak")</f>
        <v>https://twitter.com/jcbisaak</v>
      </c>
      <c r="BP237" s="46"/>
      <c r="BQ237" s="46"/>
      <c r="BR237" s="46"/>
      <c r="BS237" s="46"/>
      <c r="BT237" s="46"/>
      <c r="BU237" s="46"/>
      <c r="BV237" s="105" t="s">
        <v>7900</v>
      </c>
      <c r="BW237" s="105" t="s">
        <v>7900</v>
      </c>
      <c r="BX237" s="105" t="s">
        <v>8131</v>
      </c>
      <c r="BY237" s="105" t="s">
        <v>8131</v>
      </c>
      <c r="BZ237" s="2"/>
    </row>
    <row r="238" spans="1:78" ht="15">
      <c r="A238" s="62" t="s">
        <v>531</v>
      </c>
      <c r="B238" s="63"/>
      <c r="C238" s="63"/>
      <c r="D238" s="64"/>
      <c r="E238" s="66"/>
      <c r="F238" s="100" t="str">
        <f>HYPERLINK("https://pbs.twimg.com/profile_images/1254262830011871232/ENM7cwtf_normal.jpg")</f>
        <v>https://pbs.twimg.com/profile_images/1254262830011871232/ENM7cwtf_normal.jpg</v>
      </c>
      <c r="G238" s="63"/>
      <c r="H238" s="67"/>
      <c r="I238" s="68"/>
      <c r="J238" s="68"/>
      <c r="K238" s="67" t="s">
        <v>7425</v>
      </c>
      <c r="L238" s="71"/>
      <c r="M238" s="72">
        <v>6611.2119140625</v>
      </c>
      <c r="N238" s="72">
        <v>8892.751953125</v>
      </c>
      <c r="O238" s="73"/>
      <c r="P238" s="74"/>
      <c r="Q238" s="74"/>
      <c r="R238" s="86"/>
      <c r="S238" s="46">
        <v>1</v>
      </c>
      <c r="T238" s="46">
        <v>0</v>
      </c>
      <c r="U238" s="47">
        <v>0</v>
      </c>
      <c r="V238" s="47">
        <v>0.00289</v>
      </c>
      <c r="W238" s="47">
        <v>0</v>
      </c>
      <c r="X238" s="47">
        <v>0.002882</v>
      </c>
      <c r="Y238" s="47">
        <v>0</v>
      </c>
      <c r="Z238" s="47">
        <v>0</v>
      </c>
      <c r="AA238" s="69">
        <v>238</v>
      </c>
      <c r="AB238" s="69"/>
      <c r="AC238" s="70"/>
      <c r="AD238" s="76" t="s">
        <v>6098</v>
      </c>
      <c r="AE238" s="83" t="s">
        <v>5762</v>
      </c>
      <c r="AF238" s="76">
        <v>958</v>
      </c>
      <c r="AG238" s="76">
        <v>771</v>
      </c>
      <c r="AH238" s="76">
        <v>72705</v>
      </c>
      <c r="AI238" s="76">
        <v>0</v>
      </c>
      <c r="AJ238" s="76">
        <v>9698</v>
      </c>
      <c r="AK238" s="76">
        <v>2822</v>
      </c>
      <c r="AL238" s="76" t="b">
        <v>0</v>
      </c>
      <c r="AM238" s="78">
        <v>40637.80611111111</v>
      </c>
      <c r="AN238" s="76" t="s">
        <v>6579</v>
      </c>
      <c r="AO238" s="76" t="s">
        <v>6839</v>
      </c>
      <c r="AP238" s="82" t="str">
        <f>HYPERLINK("https://t.co/tDkrmYQdoL")</f>
        <v>https://t.co/tDkrmYQdoL</v>
      </c>
      <c r="AQ238" s="82" t="str">
        <f>HYPERLINK("http://Instagram.com/MissaAubree")</f>
        <v>http://Instagram.com/MissaAubree</v>
      </c>
      <c r="AR238" s="76" t="s">
        <v>7078</v>
      </c>
      <c r="AS238" s="76"/>
      <c r="AT238" s="76"/>
      <c r="AU238" s="76"/>
      <c r="AV238" s="76">
        <v>1.20577862255384E+18</v>
      </c>
      <c r="AW238" s="82" t="str">
        <f>HYPERLINK("https://t.co/tDkrmYQdoL")</f>
        <v>https://t.co/tDkrmYQdoL</v>
      </c>
      <c r="AX238" s="76" t="b">
        <v>0</v>
      </c>
      <c r="AY238" s="76"/>
      <c r="AZ238" s="76"/>
      <c r="BA238" s="76" t="b">
        <v>1</v>
      </c>
      <c r="BB238" s="76" t="b">
        <v>1</v>
      </c>
      <c r="BC238" s="76" t="b">
        <v>0</v>
      </c>
      <c r="BD238" s="76" t="b">
        <v>0</v>
      </c>
      <c r="BE238" s="76" t="b">
        <v>1</v>
      </c>
      <c r="BF238" s="76" t="b">
        <v>0</v>
      </c>
      <c r="BG238" s="76" t="b">
        <v>0</v>
      </c>
      <c r="BH238" s="82" t="str">
        <f>HYPERLINK("https://pbs.twimg.com/profile_banners/277131763/1587874537")</f>
        <v>https://pbs.twimg.com/profile_banners/277131763/1587874537</v>
      </c>
      <c r="BI238" s="76"/>
      <c r="BJ238" s="76" t="s">
        <v>7188</v>
      </c>
      <c r="BK238" s="76" t="b">
        <v>0</v>
      </c>
      <c r="BL238" s="76"/>
      <c r="BM238" s="76" t="s">
        <v>65</v>
      </c>
      <c r="BN238" s="76" t="s">
        <v>7190</v>
      </c>
      <c r="BO238" s="82" t="str">
        <f>HYPERLINK("https://twitter.com/missaaubree")</f>
        <v>https://twitter.com/missaaubree</v>
      </c>
      <c r="BP238" s="46"/>
      <c r="BQ238" s="46"/>
      <c r="BR238" s="46"/>
      <c r="BS238" s="46"/>
      <c r="BT238" s="46"/>
      <c r="BU238" s="46"/>
      <c r="BV238" s="46"/>
      <c r="BW238" s="46"/>
      <c r="BX238" s="46"/>
      <c r="BY238" s="46"/>
      <c r="BZ238" s="2"/>
    </row>
    <row r="239" spans="1:78" ht="15">
      <c r="A239" s="62" t="s">
        <v>344</v>
      </c>
      <c r="B239" s="63"/>
      <c r="C239" s="63"/>
      <c r="D239" s="64"/>
      <c r="E239" s="66"/>
      <c r="F239" s="100" t="str">
        <f>HYPERLINK("https://pbs.twimg.com/profile_images/1612840095442432002/LiJa4L8U_normal.jpg")</f>
        <v>https://pbs.twimg.com/profile_images/1612840095442432002/LiJa4L8U_normal.jpg</v>
      </c>
      <c r="G239" s="63"/>
      <c r="H239" s="67"/>
      <c r="I239" s="68"/>
      <c r="J239" s="68"/>
      <c r="K239" s="67" t="s">
        <v>7426</v>
      </c>
      <c r="L239" s="71"/>
      <c r="M239" s="72">
        <v>6637.8525390625</v>
      </c>
      <c r="N239" s="72">
        <v>8792.76953125</v>
      </c>
      <c r="O239" s="73"/>
      <c r="P239" s="74"/>
      <c r="Q239" s="74"/>
      <c r="R239" s="86"/>
      <c r="S239" s="46">
        <v>1</v>
      </c>
      <c r="T239" s="46">
        <v>1</v>
      </c>
      <c r="U239" s="47">
        <v>0</v>
      </c>
      <c r="V239" s="47">
        <v>0</v>
      </c>
      <c r="W239" s="47">
        <v>0</v>
      </c>
      <c r="X239" s="47">
        <v>0.002882</v>
      </c>
      <c r="Y239" s="47">
        <v>0</v>
      </c>
      <c r="Z239" s="47">
        <v>0</v>
      </c>
      <c r="AA239" s="69">
        <v>239</v>
      </c>
      <c r="AB239" s="69"/>
      <c r="AC239" s="70"/>
      <c r="AD239" s="76" t="s">
        <v>6099</v>
      </c>
      <c r="AE239" s="83" t="s">
        <v>6364</v>
      </c>
      <c r="AF239" s="76">
        <v>1142</v>
      </c>
      <c r="AG239" s="76">
        <v>178</v>
      </c>
      <c r="AH239" s="76">
        <v>15709</v>
      </c>
      <c r="AI239" s="76">
        <v>41</v>
      </c>
      <c r="AJ239" s="76">
        <v>189</v>
      </c>
      <c r="AK239" s="76">
        <v>13783</v>
      </c>
      <c r="AL239" s="76" t="b">
        <v>0</v>
      </c>
      <c r="AM239" s="78">
        <v>42124.44943287037</v>
      </c>
      <c r="AN239" s="76" t="s">
        <v>6495</v>
      </c>
      <c r="AO239" s="76" t="s">
        <v>6840</v>
      </c>
      <c r="AP239" s="82" t="str">
        <f>HYPERLINK("https://t.co/HeHRLibqwQ")</f>
        <v>https://t.co/HeHRLibqwQ</v>
      </c>
      <c r="AQ239" s="82" t="str">
        <f>HYPERLINK("https://www.bizoforce.com")</f>
        <v>https://www.bizoforce.com</v>
      </c>
      <c r="AR239" s="76" t="s">
        <v>7079</v>
      </c>
      <c r="AS239" s="76"/>
      <c r="AT239" s="76"/>
      <c r="AU239" s="76"/>
      <c r="AV239" s="76"/>
      <c r="AW239" s="82" t="str">
        <f>HYPERLINK("https://t.co/HeHRLibqwQ")</f>
        <v>https://t.co/HeHRLibqwQ</v>
      </c>
      <c r="AX239" s="76" t="b">
        <v>1</v>
      </c>
      <c r="AY239" s="76"/>
      <c r="AZ239" s="76"/>
      <c r="BA239" s="76" t="b">
        <v>0</v>
      </c>
      <c r="BB239" s="76" t="b">
        <v>1</v>
      </c>
      <c r="BC239" s="76" t="b">
        <v>0</v>
      </c>
      <c r="BD239" s="76" t="b">
        <v>0</v>
      </c>
      <c r="BE239" s="76" t="b">
        <v>0</v>
      </c>
      <c r="BF239" s="76" t="b">
        <v>0</v>
      </c>
      <c r="BG239" s="76" t="b">
        <v>0</v>
      </c>
      <c r="BH239" s="82" t="str">
        <f>HYPERLINK("https://pbs.twimg.com/profile_banners/3180433092/1673463869")</f>
        <v>https://pbs.twimg.com/profile_banners/3180433092/1673463869</v>
      </c>
      <c r="BI239" s="76"/>
      <c r="BJ239" s="76" t="s">
        <v>7188</v>
      </c>
      <c r="BK239" s="76" t="b">
        <v>0</v>
      </c>
      <c r="BL239" s="76"/>
      <c r="BM239" s="76" t="s">
        <v>66</v>
      </c>
      <c r="BN239" s="76" t="s">
        <v>7190</v>
      </c>
      <c r="BO239" s="82" t="str">
        <f>HYPERLINK("https://twitter.com/bizoforceinc")</f>
        <v>https://twitter.com/bizoforceinc</v>
      </c>
      <c r="BP239" s="46" t="s">
        <v>1962</v>
      </c>
      <c r="BQ239" s="46" t="s">
        <v>7698</v>
      </c>
      <c r="BR239" s="46" t="s">
        <v>2020</v>
      </c>
      <c r="BS239" s="46" t="s">
        <v>2020</v>
      </c>
      <c r="BT239" s="46"/>
      <c r="BU239" s="46"/>
      <c r="BV239" s="105" t="s">
        <v>7901</v>
      </c>
      <c r="BW239" s="105" t="s">
        <v>7901</v>
      </c>
      <c r="BX239" s="105" t="s">
        <v>8132</v>
      </c>
      <c r="BY239" s="105" t="s">
        <v>8132</v>
      </c>
      <c r="BZ239" s="2"/>
    </row>
    <row r="240" spans="1:78" ht="15">
      <c r="A240" s="62" t="s">
        <v>345</v>
      </c>
      <c r="B240" s="63"/>
      <c r="C240" s="63"/>
      <c r="D240" s="64"/>
      <c r="E240" s="66"/>
      <c r="F240" s="100" t="str">
        <f>HYPERLINK("https://abs.twimg.com/sticky/default_profile_images/default_profile_normal.png")</f>
        <v>https://abs.twimg.com/sticky/default_profile_images/default_profile_normal.png</v>
      </c>
      <c r="G240" s="63"/>
      <c r="H240" s="67"/>
      <c r="I240" s="68"/>
      <c r="J240" s="68"/>
      <c r="K240" s="67" t="s">
        <v>7427</v>
      </c>
      <c r="L240" s="71"/>
      <c r="M240" s="72">
        <v>6664.4921875</v>
      </c>
      <c r="N240" s="72">
        <v>8687.8701171875</v>
      </c>
      <c r="O240" s="73"/>
      <c r="P240" s="74"/>
      <c r="Q240" s="74"/>
      <c r="R240" s="86"/>
      <c r="S240" s="46">
        <v>1</v>
      </c>
      <c r="T240" s="46">
        <v>1</v>
      </c>
      <c r="U240" s="47">
        <v>0</v>
      </c>
      <c r="V240" s="47">
        <v>0</v>
      </c>
      <c r="W240" s="47">
        <v>0</v>
      </c>
      <c r="X240" s="47">
        <v>0.002882</v>
      </c>
      <c r="Y240" s="47">
        <v>0</v>
      </c>
      <c r="Z240" s="47">
        <v>0</v>
      </c>
      <c r="AA240" s="69">
        <v>240</v>
      </c>
      <c r="AB240" s="69"/>
      <c r="AC240" s="70"/>
      <c r="AD240" s="76" t="s">
        <v>6100</v>
      </c>
      <c r="AE240" s="83" t="s">
        <v>6365</v>
      </c>
      <c r="AF240" s="76">
        <v>85</v>
      </c>
      <c r="AG240" s="76">
        <v>65</v>
      </c>
      <c r="AH240" s="76">
        <v>70438</v>
      </c>
      <c r="AI240" s="76">
        <v>1</v>
      </c>
      <c r="AJ240" s="76">
        <v>0</v>
      </c>
      <c r="AK240" s="76">
        <v>30208</v>
      </c>
      <c r="AL240" s="76" t="b">
        <v>0</v>
      </c>
      <c r="AM240" s="78">
        <v>40704.66106481481</v>
      </c>
      <c r="AN240" s="76"/>
      <c r="AO240" s="76"/>
      <c r="AP240" s="82" t="str">
        <f>HYPERLINK("https://t.co/Yc5PM8siow")</f>
        <v>https://t.co/Yc5PM8siow</v>
      </c>
      <c r="AQ240" s="82" t="str">
        <f>HYPERLINK("https://careerjobs.co.in/")</f>
        <v>https://careerjobs.co.in/</v>
      </c>
      <c r="AR240" s="76" t="s">
        <v>7080</v>
      </c>
      <c r="AS240" s="76"/>
      <c r="AT240" s="76"/>
      <c r="AU240" s="76"/>
      <c r="AV240" s="76"/>
      <c r="AW240" s="82" t="str">
        <f>HYPERLINK("https://t.co/Yc5PM8siow")</f>
        <v>https://t.co/Yc5PM8siow</v>
      </c>
      <c r="AX240" s="76" t="b">
        <v>0</v>
      </c>
      <c r="AY240" s="76"/>
      <c r="AZ240" s="76"/>
      <c r="BA240" s="76" t="b">
        <v>0</v>
      </c>
      <c r="BB240" s="76" t="b">
        <v>1</v>
      </c>
      <c r="BC240" s="76" t="b">
        <v>1</v>
      </c>
      <c r="BD240" s="76" t="b">
        <v>1</v>
      </c>
      <c r="BE240" s="76" t="b">
        <v>0</v>
      </c>
      <c r="BF240" s="76" t="b">
        <v>0</v>
      </c>
      <c r="BG240" s="76" t="b">
        <v>0</v>
      </c>
      <c r="BH240" s="76"/>
      <c r="BI240" s="76"/>
      <c r="BJ240" s="76" t="s">
        <v>7188</v>
      </c>
      <c r="BK240" s="76" t="b">
        <v>0</v>
      </c>
      <c r="BL240" s="76"/>
      <c r="BM240" s="76" t="s">
        <v>66</v>
      </c>
      <c r="BN240" s="76" t="s">
        <v>7190</v>
      </c>
      <c r="BO240" s="82" t="str">
        <f>HYPERLINK("https://twitter.com/rafi1227")</f>
        <v>https://twitter.com/rafi1227</v>
      </c>
      <c r="BP240" s="46" t="s">
        <v>7650</v>
      </c>
      <c r="BQ240" s="46" t="s">
        <v>7650</v>
      </c>
      <c r="BR240" s="46" t="s">
        <v>2021</v>
      </c>
      <c r="BS240" s="46" t="s">
        <v>2021</v>
      </c>
      <c r="BT240" s="46"/>
      <c r="BU240" s="46"/>
      <c r="BV240" s="105" t="s">
        <v>7902</v>
      </c>
      <c r="BW240" s="105" t="s">
        <v>7902</v>
      </c>
      <c r="BX240" s="105" t="s">
        <v>8133</v>
      </c>
      <c r="BY240" s="105" t="s">
        <v>8133</v>
      </c>
      <c r="BZ240" s="2"/>
    </row>
    <row r="241" spans="1:78" ht="15">
      <c r="A241" s="62" t="s">
        <v>346</v>
      </c>
      <c r="B241" s="63"/>
      <c r="C241" s="63"/>
      <c r="D241" s="64"/>
      <c r="E241" s="66"/>
      <c r="F241" s="100" t="str">
        <f>HYPERLINK("https://pbs.twimg.com/profile_images/668861680198160385/2RDdhaG2_normal.png")</f>
        <v>https://pbs.twimg.com/profile_images/668861680198160385/2RDdhaG2_normal.png</v>
      </c>
      <c r="G241" s="63"/>
      <c r="H241" s="67"/>
      <c r="I241" s="68"/>
      <c r="J241" s="68"/>
      <c r="K241" s="67" t="s">
        <v>7428</v>
      </c>
      <c r="L241" s="71"/>
      <c r="M241" s="72">
        <v>6691.13232421875</v>
      </c>
      <c r="N241" s="72">
        <v>8578.1884765625</v>
      </c>
      <c r="O241" s="73"/>
      <c r="P241" s="74"/>
      <c r="Q241" s="74"/>
      <c r="R241" s="86"/>
      <c r="S241" s="46">
        <v>0</v>
      </c>
      <c r="T241" s="46">
        <v>1</v>
      </c>
      <c r="U241" s="47">
        <v>0</v>
      </c>
      <c r="V241" s="47">
        <v>0.214691</v>
      </c>
      <c r="W241" s="47">
        <v>0.062026</v>
      </c>
      <c r="X241" s="47">
        <v>0.002499</v>
      </c>
      <c r="Y241" s="47">
        <v>0</v>
      </c>
      <c r="Z241" s="47">
        <v>0</v>
      </c>
      <c r="AA241" s="69">
        <v>241</v>
      </c>
      <c r="AB241" s="69"/>
      <c r="AC241" s="70"/>
      <c r="AD241" s="76" t="s">
        <v>6101</v>
      </c>
      <c r="AE241" s="83" t="s">
        <v>6366</v>
      </c>
      <c r="AF241" s="76">
        <v>132659</v>
      </c>
      <c r="AG241" s="76">
        <v>23624</v>
      </c>
      <c r="AH241" s="76">
        <v>326339</v>
      </c>
      <c r="AI241" s="76">
        <v>2876</v>
      </c>
      <c r="AJ241" s="76">
        <v>11773</v>
      </c>
      <c r="AK241" s="76">
        <v>85635</v>
      </c>
      <c r="AL241" s="76" t="b">
        <v>0</v>
      </c>
      <c r="AM241" s="78">
        <v>40897.68282407407</v>
      </c>
      <c r="AN241" s="76" t="s">
        <v>6580</v>
      </c>
      <c r="AO241" s="76" t="s">
        <v>6841</v>
      </c>
      <c r="AP241" s="82" t="str">
        <f>HYPERLINK("https://t.co/VzFFc8I0wm")</f>
        <v>https://t.co/VzFFc8I0wm</v>
      </c>
      <c r="AQ241" s="82" t="str">
        <f>HYPERLINK("http://blog.thesocialms.com/")</f>
        <v>http://blog.thesocialms.com/</v>
      </c>
      <c r="AR241" s="76" t="s">
        <v>7081</v>
      </c>
      <c r="AS241" s="76" t="s">
        <v>7156</v>
      </c>
      <c r="AT241" s="76" t="s">
        <v>7160</v>
      </c>
      <c r="AU241" s="76" t="s">
        <v>7177</v>
      </c>
      <c r="AV241" s="76">
        <v>1.72250717951558E+18</v>
      </c>
      <c r="AW241" s="82" t="str">
        <f>HYPERLINK("https://t.co/VzFFc8I0wm")</f>
        <v>https://t.co/VzFFc8I0wm</v>
      </c>
      <c r="AX241" s="76" t="b">
        <v>0</v>
      </c>
      <c r="AY241" s="76"/>
      <c r="AZ241" s="76"/>
      <c r="BA241" s="76" t="b">
        <v>1</v>
      </c>
      <c r="BB241" s="76" t="b">
        <v>1</v>
      </c>
      <c r="BC241" s="76" t="b">
        <v>0</v>
      </c>
      <c r="BD241" s="76" t="b">
        <v>0</v>
      </c>
      <c r="BE241" s="76" t="b">
        <v>1</v>
      </c>
      <c r="BF241" s="76" t="b">
        <v>0</v>
      </c>
      <c r="BG241" s="76" t="b">
        <v>0</v>
      </c>
      <c r="BH241" s="82" t="str">
        <f>HYPERLINK("https://pbs.twimg.com/profile_banners/441970965/1448304953")</f>
        <v>https://pbs.twimg.com/profile_banners/441970965/1448304953</v>
      </c>
      <c r="BI241" s="76"/>
      <c r="BJ241" s="76" t="s">
        <v>7188</v>
      </c>
      <c r="BK241" s="76" t="b">
        <v>0</v>
      </c>
      <c r="BL241" s="76"/>
      <c r="BM241" s="76" t="s">
        <v>66</v>
      </c>
      <c r="BN241" s="76" t="s">
        <v>7190</v>
      </c>
      <c r="BO241" s="82" t="str">
        <f>HYPERLINK("https://twitter.com/tsm_b2b")</f>
        <v>https://twitter.com/tsm_b2b</v>
      </c>
      <c r="BP241" s="46" t="s">
        <v>7651</v>
      </c>
      <c r="BQ241" s="46" t="s">
        <v>7651</v>
      </c>
      <c r="BR241" s="46" t="s">
        <v>2015</v>
      </c>
      <c r="BS241" s="46" t="s">
        <v>2015</v>
      </c>
      <c r="BT241" s="46"/>
      <c r="BU241" s="46"/>
      <c r="BV241" s="105" t="s">
        <v>7903</v>
      </c>
      <c r="BW241" s="105" t="s">
        <v>7903</v>
      </c>
      <c r="BX241" s="105" t="s">
        <v>8134</v>
      </c>
      <c r="BY241" s="105" t="s">
        <v>8134</v>
      </c>
      <c r="BZ241" s="2"/>
    </row>
    <row r="242" spans="1:78" ht="15">
      <c r="A242" s="62" t="s">
        <v>347</v>
      </c>
      <c r="B242" s="63"/>
      <c r="C242" s="63"/>
      <c r="D242" s="64"/>
      <c r="E242" s="66"/>
      <c r="F242" s="100" t="str">
        <f>HYPERLINK("https://pbs.twimg.com/profile_images/1078411003/in-lgflag_normal.gif")</f>
        <v>https://pbs.twimg.com/profile_images/1078411003/in-lgflag_normal.gif</v>
      </c>
      <c r="G242" s="63"/>
      <c r="H242" s="67"/>
      <c r="I242" s="68"/>
      <c r="J242" s="68"/>
      <c r="K242" s="67" t="s">
        <v>7429</v>
      </c>
      <c r="L242" s="71"/>
      <c r="M242" s="72">
        <v>6717.77197265625</v>
      </c>
      <c r="N242" s="72">
        <v>8463.8681640625</v>
      </c>
      <c r="O242" s="73"/>
      <c r="P242" s="74"/>
      <c r="Q242" s="74"/>
      <c r="R242" s="86"/>
      <c r="S242" s="46">
        <v>1</v>
      </c>
      <c r="T242" s="46">
        <v>1</v>
      </c>
      <c r="U242" s="47">
        <v>0</v>
      </c>
      <c r="V242" s="47">
        <v>0</v>
      </c>
      <c r="W242" s="47">
        <v>0</v>
      </c>
      <c r="X242" s="47">
        <v>0.002882</v>
      </c>
      <c r="Y242" s="47">
        <v>0</v>
      </c>
      <c r="Z242" s="47">
        <v>0</v>
      </c>
      <c r="AA242" s="69">
        <v>242</v>
      </c>
      <c r="AB242" s="69"/>
      <c r="AC242" s="70"/>
      <c r="AD242" s="76" t="s">
        <v>6102</v>
      </c>
      <c r="AE242" s="83" t="s">
        <v>6367</v>
      </c>
      <c r="AF242" s="76">
        <v>2296</v>
      </c>
      <c r="AG242" s="76">
        <v>64</v>
      </c>
      <c r="AH242" s="76">
        <v>643968</v>
      </c>
      <c r="AI242" s="76">
        <v>12</v>
      </c>
      <c r="AJ242" s="76">
        <v>0</v>
      </c>
      <c r="AK242" s="76">
        <v>0</v>
      </c>
      <c r="AL242" s="76" t="b">
        <v>0</v>
      </c>
      <c r="AM242" s="78">
        <v>40373.847592592596</v>
      </c>
      <c r="AN242" s="76" t="s">
        <v>6581</v>
      </c>
      <c r="AO242" s="76" t="s">
        <v>6842</v>
      </c>
      <c r="AP242" s="82" t="str">
        <f>HYPERLINK("http://t.co/9OjQrDCVJV")</f>
        <v>http://t.co/9OjQrDCVJV</v>
      </c>
      <c r="AQ242" s="82" t="str">
        <f>HYPERLINK("http://www.linkedin.com/e/fps/82047491/")</f>
        <v>http://www.linkedin.com/e/fps/82047491/</v>
      </c>
      <c r="AR242" s="76" t="s">
        <v>7082</v>
      </c>
      <c r="AS242" s="76"/>
      <c r="AT242" s="76"/>
      <c r="AU242" s="76"/>
      <c r="AV242" s="76"/>
      <c r="AW242" s="82" t="str">
        <f>HYPERLINK("http://t.co/9OjQrDCVJV")</f>
        <v>http://t.co/9OjQrDCVJV</v>
      </c>
      <c r="AX242" s="76" t="b">
        <v>0</v>
      </c>
      <c r="AY242" s="76"/>
      <c r="AZ242" s="76"/>
      <c r="BA242" s="76" t="b">
        <v>0</v>
      </c>
      <c r="BB242" s="76" t="b">
        <v>1</v>
      </c>
      <c r="BC242" s="76" t="b">
        <v>1</v>
      </c>
      <c r="BD242" s="76" t="b">
        <v>0</v>
      </c>
      <c r="BE242" s="76" t="b">
        <v>0</v>
      </c>
      <c r="BF242" s="76" t="b">
        <v>0</v>
      </c>
      <c r="BG242" s="76" t="b">
        <v>0</v>
      </c>
      <c r="BH242" s="76"/>
      <c r="BI242" s="76"/>
      <c r="BJ242" s="76" t="s">
        <v>7188</v>
      </c>
      <c r="BK242" s="76" t="b">
        <v>0</v>
      </c>
      <c r="BL242" s="76"/>
      <c r="BM242" s="76" t="s">
        <v>66</v>
      </c>
      <c r="BN242" s="76" t="s">
        <v>7190</v>
      </c>
      <c r="BO242" s="82" t="str">
        <f>HYPERLINK("https://twitter.com/india_jobsearch")</f>
        <v>https://twitter.com/india_jobsearch</v>
      </c>
      <c r="BP242" s="46" t="s">
        <v>7652</v>
      </c>
      <c r="BQ242" s="46" t="s">
        <v>7652</v>
      </c>
      <c r="BR242" s="46" t="s">
        <v>1984</v>
      </c>
      <c r="BS242" s="46" t="s">
        <v>1984</v>
      </c>
      <c r="BT242" s="46" t="s">
        <v>7740</v>
      </c>
      <c r="BU242" s="46" t="s">
        <v>7766</v>
      </c>
      <c r="BV242" s="105" t="s">
        <v>7904</v>
      </c>
      <c r="BW242" s="105" t="s">
        <v>7994</v>
      </c>
      <c r="BX242" s="105" t="s">
        <v>8135</v>
      </c>
      <c r="BY242" s="105" t="s">
        <v>8217</v>
      </c>
      <c r="BZ242" s="2"/>
    </row>
    <row r="243" spans="1:78" ht="15">
      <c r="A243" s="62" t="s">
        <v>348</v>
      </c>
      <c r="B243" s="63"/>
      <c r="C243" s="63"/>
      <c r="D243" s="64"/>
      <c r="E243" s="66"/>
      <c r="F243" s="100" t="str">
        <f>HYPERLINK("https://pbs.twimg.com/profile_images/2498235042/polmjsfg6w4xuehvuq3m_normal.jpeg")</f>
        <v>https://pbs.twimg.com/profile_images/2498235042/polmjsfg6w4xuehvuq3m_normal.jpeg</v>
      </c>
      <c r="G243" s="63"/>
      <c r="H243" s="67"/>
      <c r="I243" s="68"/>
      <c r="J243" s="68"/>
      <c r="K243" s="67" t="s">
        <v>7430</v>
      </c>
      <c r="L243" s="71"/>
      <c r="M243" s="72">
        <v>6744.41162109375</v>
      </c>
      <c r="N243" s="72">
        <v>8345.056640625</v>
      </c>
      <c r="O243" s="73"/>
      <c r="P243" s="74"/>
      <c r="Q243" s="74"/>
      <c r="R243" s="86"/>
      <c r="S243" s="46">
        <v>1</v>
      </c>
      <c r="T243" s="46">
        <v>1</v>
      </c>
      <c r="U243" s="47">
        <v>0</v>
      </c>
      <c r="V243" s="47">
        <v>0</v>
      </c>
      <c r="W243" s="47">
        <v>0</v>
      </c>
      <c r="X243" s="47">
        <v>0.002882</v>
      </c>
      <c r="Y243" s="47">
        <v>0</v>
      </c>
      <c r="Z243" s="47">
        <v>0</v>
      </c>
      <c r="AA243" s="69">
        <v>243</v>
      </c>
      <c r="AB243" s="69"/>
      <c r="AC243" s="70"/>
      <c r="AD243" s="76" t="s">
        <v>6103</v>
      </c>
      <c r="AE243" s="83" t="s">
        <v>6368</v>
      </c>
      <c r="AF243" s="76">
        <v>152</v>
      </c>
      <c r="AG243" s="76">
        <v>0</v>
      </c>
      <c r="AH243" s="76">
        <v>21229</v>
      </c>
      <c r="AI243" s="76">
        <v>4</v>
      </c>
      <c r="AJ243" s="76">
        <v>0</v>
      </c>
      <c r="AK243" s="76">
        <v>14</v>
      </c>
      <c r="AL243" s="76" t="b">
        <v>0</v>
      </c>
      <c r="AM243" s="78">
        <v>41132.87605324074</v>
      </c>
      <c r="AN243" s="76"/>
      <c r="AO243" s="76" t="s">
        <v>6843</v>
      </c>
      <c r="AP243" s="82" t="str">
        <f>HYPERLINK("http://t.co/oWFOmU1JEH")</f>
        <v>http://t.co/oWFOmU1JEH</v>
      </c>
      <c r="AQ243" s="82" t="str">
        <f>HYPERLINK("http://freshjobupdates.com")</f>
        <v>http://freshjobupdates.com</v>
      </c>
      <c r="AR243" s="76" t="s">
        <v>7083</v>
      </c>
      <c r="AS243" s="76"/>
      <c r="AT243" s="76"/>
      <c r="AU243" s="76"/>
      <c r="AV243" s="76"/>
      <c r="AW243" s="82" t="str">
        <f>HYPERLINK("http://t.co/oWFOmU1JEH")</f>
        <v>http://t.co/oWFOmU1JEH</v>
      </c>
      <c r="AX243" s="76" t="b">
        <v>0</v>
      </c>
      <c r="AY243" s="76"/>
      <c r="AZ243" s="76"/>
      <c r="BA243" s="76" t="b">
        <v>0</v>
      </c>
      <c r="BB243" s="76" t="b">
        <v>1</v>
      </c>
      <c r="BC243" s="76" t="b">
        <v>0</v>
      </c>
      <c r="BD243" s="76" t="b">
        <v>0</v>
      </c>
      <c r="BE243" s="76" t="b">
        <v>0</v>
      </c>
      <c r="BF243" s="76" t="b">
        <v>0</v>
      </c>
      <c r="BG243" s="76" t="b">
        <v>0</v>
      </c>
      <c r="BH243" s="76"/>
      <c r="BI243" s="76"/>
      <c r="BJ243" s="76" t="s">
        <v>7188</v>
      </c>
      <c r="BK243" s="76" t="b">
        <v>0</v>
      </c>
      <c r="BL243" s="76"/>
      <c r="BM243" s="76" t="s">
        <v>66</v>
      </c>
      <c r="BN243" s="76" t="s">
        <v>7190</v>
      </c>
      <c r="BO243" s="82" t="str">
        <f>HYPERLINK("https://twitter.com/freshjobupdates")</f>
        <v>https://twitter.com/freshjobupdates</v>
      </c>
      <c r="BP243" s="46" t="s">
        <v>7653</v>
      </c>
      <c r="BQ243" s="46" t="s">
        <v>7699</v>
      </c>
      <c r="BR243" s="46" t="s">
        <v>1988</v>
      </c>
      <c r="BS243" s="46" t="s">
        <v>1988</v>
      </c>
      <c r="BT243" s="46"/>
      <c r="BU243" s="46"/>
      <c r="BV243" s="105" t="s">
        <v>7905</v>
      </c>
      <c r="BW243" s="105" t="s">
        <v>7995</v>
      </c>
      <c r="BX243" s="105" t="s">
        <v>8136</v>
      </c>
      <c r="BY243" s="105" t="s">
        <v>8218</v>
      </c>
      <c r="BZ243" s="2"/>
    </row>
    <row r="244" spans="1:78" ht="15">
      <c r="A244" s="62" t="s">
        <v>349</v>
      </c>
      <c r="B244" s="63"/>
      <c r="C244" s="63"/>
      <c r="D244" s="64"/>
      <c r="E244" s="66"/>
      <c r="F244" s="100" t="str">
        <f>HYPERLINK("https://pbs.twimg.com/profile_images/1296790366083899392/evocoOcC_normal.jpg")</f>
        <v>https://pbs.twimg.com/profile_images/1296790366083899392/evocoOcC_normal.jpg</v>
      </c>
      <c r="G244" s="63"/>
      <c r="H244" s="67"/>
      <c r="I244" s="68"/>
      <c r="J244" s="68"/>
      <c r="K244" s="67" t="s">
        <v>7431</v>
      </c>
      <c r="L244" s="71"/>
      <c r="M244" s="72">
        <v>6771.0517578125</v>
      </c>
      <c r="N244" s="72">
        <v>8221.908203125</v>
      </c>
      <c r="O244" s="73"/>
      <c r="P244" s="74"/>
      <c r="Q244" s="74"/>
      <c r="R244" s="86"/>
      <c r="S244" s="46">
        <v>2</v>
      </c>
      <c r="T244" s="46">
        <v>9</v>
      </c>
      <c r="U244" s="47">
        <v>442.5</v>
      </c>
      <c r="V244" s="47">
        <v>0.234361</v>
      </c>
      <c r="W244" s="47">
        <v>0.109269</v>
      </c>
      <c r="X244" s="47">
        <v>0.003191</v>
      </c>
      <c r="Y244" s="47">
        <v>0.2222222222222222</v>
      </c>
      <c r="Z244" s="47">
        <v>0.2222222222222222</v>
      </c>
      <c r="AA244" s="69">
        <v>244</v>
      </c>
      <c r="AB244" s="69"/>
      <c r="AC244" s="70"/>
      <c r="AD244" s="76" t="s">
        <v>6104</v>
      </c>
      <c r="AE244" s="83" t="s">
        <v>6369</v>
      </c>
      <c r="AF244" s="76">
        <v>3502</v>
      </c>
      <c r="AG244" s="76">
        <v>2701</v>
      </c>
      <c r="AH244" s="76">
        <v>4123</v>
      </c>
      <c r="AI244" s="76">
        <v>175</v>
      </c>
      <c r="AJ244" s="76">
        <v>8441</v>
      </c>
      <c r="AK244" s="76">
        <v>1625</v>
      </c>
      <c r="AL244" s="76" t="b">
        <v>0</v>
      </c>
      <c r="AM244" s="78">
        <v>40059.64833333333</v>
      </c>
      <c r="AN244" s="76" t="s">
        <v>6582</v>
      </c>
      <c r="AO244" s="76" t="s">
        <v>6844</v>
      </c>
      <c r="AP244" s="82" t="str">
        <f>HYPERLINK("https://t.co/yBgL9RyLqL")</f>
        <v>https://t.co/yBgL9RyLqL</v>
      </c>
      <c r="AQ244" s="82" t="str">
        <f>HYPERLINK("http://www.thriveagency.com")</f>
        <v>http://www.thriveagency.com</v>
      </c>
      <c r="AR244" s="76" t="s">
        <v>7084</v>
      </c>
      <c r="AS244" s="82" t="str">
        <f>HYPERLINK("https://t.co/GWZhY62bDm")</f>
        <v>https://t.co/GWZhY62bDm</v>
      </c>
      <c r="AT244" s="82" t="str">
        <f>HYPERLINK("https://lnk.bio/thriveagency")</f>
        <v>https://lnk.bio/thriveagency</v>
      </c>
      <c r="AU244" s="76" t="s">
        <v>7178</v>
      </c>
      <c r="AV244" s="76">
        <v>1.70884186900079E+18</v>
      </c>
      <c r="AW244" s="82" t="str">
        <f>HYPERLINK("https://t.co/yBgL9RyLqL")</f>
        <v>https://t.co/yBgL9RyLqL</v>
      </c>
      <c r="AX244" s="76" t="b">
        <v>0</v>
      </c>
      <c r="AY244" s="76"/>
      <c r="AZ244" s="76"/>
      <c r="BA244" s="76" t="b">
        <v>0</v>
      </c>
      <c r="BB244" s="76" t="b">
        <v>1</v>
      </c>
      <c r="BC244" s="76" t="b">
        <v>0</v>
      </c>
      <c r="BD244" s="76" t="b">
        <v>0</v>
      </c>
      <c r="BE244" s="76" t="b">
        <v>1</v>
      </c>
      <c r="BF244" s="76" t="b">
        <v>0</v>
      </c>
      <c r="BG244" s="76" t="b">
        <v>0</v>
      </c>
      <c r="BH244" s="82" t="str">
        <f>HYPERLINK("https://pbs.twimg.com/profile_banners/71281607/1483569058")</f>
        <v>https://pbs.twimg.com/profile_banners/71281607/1483569058</v>
      </c>
      <c r="BI244" s="76"/>
      <c r="BJ244" s="76" t="s">
        <v>7189</v>
      </c>
      <c r="BK244" s="76" t="b">
        <v>0</v>
      </c>
      <c r="BL244" s="76"/>
      <c r="BM244" s="76" t="s">
        <v>66</v>
      </c>
      <c r="BN244" s="76" t="s">
        <v>7190</v>
      </c>
      <c r="BO244" s="82" t="str">
        <f>HYPERLINK("https://twitter.com/thriveagency")</f>
        <v>https://twitter.com/thriveagency</v>
      </c>
      <c r="BP244" s="46"/>
      <c r="BQ244" s="46"/>
      <c r="BR244" s="46"/>
      <c r="BS244" s="46"/>
      <c r="BT244" s="46"/>
      <c r="BU244" s="46"/>
      <c r="BV244" s="105" t="s">
        <v>7906</v>
      </c>
      <c r="BW244" s="105" t="s">
        <v>7906</v>
      </c>
      <c r="BX244" s="105" t="s">
        <v>8137</v>
      </c>
      <c r="BY244" s="105" t="s">
        <v>8137</v>
      </c>
      <c r="BZ244" s="2"/>
    </row>
    <row r="245" spans="1:78" ht="15">
      <c r="A245" s="62" t="s">
        <v>351</v>
      </c>
      <c r="B245" s="63"/>
      <c r="C245" s="63"/>
      <c r="D245" s="64"/>
      <c r="E245" s="66"/>
      <c r="F245" s="100" t="str">
        <f>HYPERLINK("https://pbs.twimg.com/profile_images/1404941949140836358/OdlsLJut_normal.jpg")</f>
        <v>https://pbs.twimg.com/profile_images/1404941949140836358/OdlsLJut_normal.jpg</v>
      </c>
      <c r="G245" s="63"/>
      <c r="H245" s="67"/>
      <c r="I245" s="68"/>
      <c r="J245" s="68"/>
      <c r="K245" s="67" t="s">
        <v>7432</v>
      </c>
      <c r="L245" s="71"/>
      <c r="M245" s="72">
        <v>6797.69140625</v>
      </c>
      <c r="N245" s="72">
        <v>8094.58203125</v>
      </c>
      <c r="O245" s="73"/>
      <c r="P245" s="74"/>
      <c r="Q245" s="74"/>
      <c r="R245" s="86"/>
      <c r="S245" s="46">
        <v>1</v>
      </c>
      <c r="T245" s="46">
        <v>1</v>
      </c>
      <c r="U245" s="47">
        <v>0</v>
      </c>
      <c r="V245" s="47">
        <v>0</v>
      </c>
      <c r="W245" s="47">
        <v>0</v>
      </c>
      <c r="X245" s="47">
        <v>0.002882</v>
      </c>
      <c r="Y245" s="47">
        <v>0</v>
      </c>
      <c r="Z245" s="47">
        <v>0</v>
      </c>
      <c r="AA245" s="69">
        <v>245</v>
      </c>
      <c r="AB245" s="69"/>
      <c r="AC245" s="70"/>
      <c r="AD245" s="76" t="s">
        <v>6105</v>
      </c>
      <c r="AE245" s="83" t="s">
        <v>6370</v>
      </c>
      <c r="AF245" s="76">
        <v>798</v>
      </c>
      <c r="AG245" s="76">
        <v>1805</v>
      </c>
      <c r="AH245" s="76">
        <v>9873</v>
      </c>
      <c r="AI245" s="76">
        <v>14</v>
      </c>
      <c r="AJ245" s="76">
        <v>918</v>
      </c>
      <c r="AK245" s="76">
        <v>3862</v>
      </c>
      <c r="AL245" s="76" t="b">
        <v>0</v>
      </c>
      <c r="AM245" s="78">
        <v>41177.99810185185</v>
      </c>
      <c r="AN245" s="76" t="s">
        <v>6583</v>
      </c>
      <c r="AO245" s="76" t="s">
        <v>6845</v>
      </c>
      <c r="AP245" s="82" t="str">
        <f>HYPERLINK("http://t.co/5UAzebRKZf")</f>
        <v>http://t.co/5UAzebRKZf</v>
      </c>
      <c r="AQ245" s="82" t="str">
        <f>HYPERLINK("http://www.benannabakery.com")</f>
        <v>http://www.benannabakery.com</v>
      </c>
      <c r="AR245" s="76" t="s">
        <v>7085</v>
      </c>
      <c r="AS245" s="82" t="str">
        <f>HYPERLINK("http://t.co/BlZ8d6dv")</f>
        <v>http://t.co/BlZ8d6dv</v>
      </c>
      <c r="AT245" s="82" t="str">
        <f>HYPERLINK("http://www.benannabakery.com")</f>
        <v>http://www.benannabakery.com</v>
      </c>
      <c r="AU245" s="76" t="s">
        <v>7085</v>
      </c>
      <c r="AV245" s="76"/>
      <c r="AW245" s="82" t="str">
        <f>HYPERLINK("http://t.co/5UAzebRKZf")</f>
        <v>http://t.co/5UAzebRKZf</v>
      </c>
      <c r="AX245" s="76" t="b">
        <v>0</v>
      </c>
      <c r="AY245" s="76"/>
      <c r="AZ245" s="76"/>
      <c r="BA245" s="76" t="b">
        <v>0</v>
      </c>
      <c r="BB245" s="76" t="b">
        <v>1</v>
      </c>
      <c r="BC245" s="76" t="b">
        <v>0</v>
      </c>
      <c r="BD245" s="76" t="b">
        <v>0</v>
      </c>
      <c r="BE245" s="76" t="b">
        <v>0</v>
      </c>
      <c r="BF245" s="76" t="b">
        <v>0</v>
      </c>
      <c r="BG245" s="76" t="b">
        <v>0</v>
      </c>
      <c r="BH245" s="82" t="str">
        <f>HYPERLINK("https://pbs.twimg.com/profile_banners/846430350/1623799306")</f>
        <v>https://pbs.twimg.com/profile_banners/846430350/1623799306</v>
      </c>
      <c r="BI245" s="76"/>
      <c r="BJ245" s="76" t="s">
        <v>7188</v>
      </c>
      <c r="BK245" s="76" t="b">
        <v>0</v>
      </c>
      <c r="BL245" s="76"/>
      <c r="BM245" s="76" t="s">
        <v>66</v>
      </c>
      <c r="BN245" s="76" t="s">
        <v>7190</v>
      </c>
      <c r="BO245" s="82" t="str">
        <f>HYPERLINK("https://twitter.com/benannabakery")</f>
        <v>https://twitter.com/benannabakery</v>
      </c>
      <c r="BP245" s="46"/>
      <c r="BQ245" s="46"/>
      <c r="BR245" s="46"/>
      <c r="BS245" s="46"/>
      <c r="BT245" s="46"/>
      <c r="BU245" s="46"/>
      <c r="BV245" s="105" t="s">
        <v>7907</v>
      </c>
      <c r="BW245" s="105" t="s">
        <v>7907</v>
      </c>
      <c r="BX245" s="105" t="s">
        <v>8138</v>
      </c>
      <c r="BY245" s="105" t="s">
        <v>8138</v>
      </c>
      <c r="BZ245" s="2"/>
    </row>
    <row r="246" spans="1:78" ht="15">
      <c r="A246" s="62" t="s">
        <v>352</v>
      </c>
      <c r="B246" s="63"/>
      <c r="C246" s="63"/>
      <c r="D246" s="64"/>
      <c r="E246" s="66"/>
      <c r="F246" s="100" t="str">
        <f>HYPERLINK("https://abs.twimg.com/sticky/default_profile_images/default_profile_normal.png")</f>
        <v>https://abs.twimg.com/sticky/default_profile_images/default_profile_normal.png</v>
      </c>
      <c r="G246" s="63"/>
      <c r="H246" s="67"/>
      <c r="I246" s="68"/>
      <c r="J246" s="68"/>
      <c r="K246" s="67" t="s">
        <v>7433</v>
      </c>
      <c r="L246" s="71"/>
      <c r="M246" s="72">
        <v>6824.3310546875</v>
      </c>
      <c r="N246" s="72">
        <v>7963.24365234375</v>
      </c>
      <c r="O246" s="73"/>
      <c r="P246" s="74"/>
      <c r="Q246" s="74"/>
      <c r="R246" s="86"/>
      <c r="S246" s="46">
        <v>1</v>
      </c>
      <c r="T246" s="46">
        <v>1</v>
      </c>
      <c r="U246" s="47">
        <v>0</v>
      </c>
      <c r="V246" s="47">
        <v>0</v>
      </c>
      <c r="W246" s="47">
        <v>0</v>
      </c>
      <c r="X246" s="47">
        <v>0.002882</v>
      </c>
      <c r="Y246" s="47">
        <v>0</v>
      </c>
      <c r="Z246" s="47">
        <v>0</v>
      </c>
      <c r="AA246" s="69">
        <v>246</v>
      </c>
      <c r="AB246" s="69"/>
      <c r="AC246" s="70"/>
      <c r="AD246" s="76" t="s">
        <v>6106</v>
      </c>
      <c r="AE246" s="83" t="s">
        <v>6371</v>
      </c>
      <c r="AF246" s="76">
        <v>134</v>
      </c>
      <c r="AG246" s="76">
        <v>0</v>
      </c>
      <c r="AH246" s="76">
        <v>4083</v>
      </c>
      <c r="AI246" s="76">
        <v>2</v>
      </c>
      <c r="AJ246" s="76">
        <v>0</v>
      </c>
      <c r="AK246" s="76">
        <v>0</v>
      </c>
      <c r="AL246" s="76" t="b">
        <v>0</v>
      </c>
      <c r="AM246" s="78">
        <v>40333.303032407406</v>
      </c>
      <c r="AN246" s="76"/>
      <c r="AO246" s="76"/>
      <c r="AP246" s="76"/>
      <c r="AQ246" s="76"/>
      <c r="AR246" s="76"/>
      <c r="AS246" s="76"/>
      <c r="AT246" s="76"/>
      <c r="AU246" s="76"/>
      <c r="AV246" s="76"/>
      <c r="AW246" s="76"/>
      <c r="AX246" s="76" t="b">
        <v>0</v>
      </c>
      <c r="AY246" s="76"/>
      <c r="AZ246" s="76"/>
      <c r="BA246" s="76" t="b">
        <v>0</v>
      </c>
      <c r="BB246" s="76" t="b">
        <v>1</v>
      </c>
      <c r="BC246" s="76" t="b">
        <v>1</v>
      </c>
      <c r="BD246" s="76" t="b">
        <v>1</v>
      </c>
      <c r="BE246" s="76" t="b">
        <v>0</v>
      </c>
      <c r="BF246" s="76" t="b">
        <v>0</v>
      </c>
      <c r="BG246" s="76" t="b">
        <v>0</v>
      </c>
      <c r="BH246" s="76"/>
      <c r="BI246" s="76"/>
      <c r="BJ246" s="76" t="s">
        <v>7188</v>
      </c>
      <c r="BK246" s="76" t="b">
        <v>0</v>
      </c>
      <c r="BL246" s="76"/>
      <c r="BM246" s="76" t="s">
        <v>66</v>
      </c>
      <c r="BN246" s="76" t="s">
        <v>7190</v>
      </c>
      <c r="BO246" s="82" t="str">
        <f>HYPERLINK("https://twitter.com/jobsin_india")</f>
        <v>https://twitter.com/jobsin_india</v>
      </c>
      <c r="BP246" s="46"/>
      <c r="BQ246" s="46"/>
      <c r="BR246" s="46"/>
      <c r="BS246" s="46"/>
      <c r="BT246" s="46"/>
      <c r="BU246" s="46"/>
      <c r="BV246" s="105" t="s">
        <v>7908</v>
      </c>
      <c r="BW246" s="105" t="s">
        <v>7996</v>
      </c>
      <c r="BX246" s="105" t="s">
        <v>8139</v>
      </c>
      <c r="BY246" s="105" t="s">
        <v>8219</v>
      </c>
      <c r="BZ246" s="2"/>
    </row>
    <row r="247" spans="1:78" ht="15">
      <c r="A247" s="62" t="s">
        <v>353</v>
      </c>
      <c r="B247" s="63"/>
      <c r="C247" s="63"/>
      <c r="D247" s="64"/>
      <c r="E247" s="66"/>
      <c r="F247" s="100" t="str">
        <f>HYPERLINK("https://pbs.twimg.com/profile_images/811184680871591936/8de1HSMQ_normal.jpg")</f>
        <v>https://pbs.twimg.com/profile_images/811184680871591936/8de1HSMQ_normal.jpg</v>
      </c>
      <c r="G247" s="63"/>
      <c r="H247" s="67"/>
      <c r="I247" s="68"/>
      <c r="J247" s="68"/>
      <c r="K247" s="67" t="s">
        <v>7434</v>
      </c>
      <c r="L247" s="71"/>
      <c r="M247" s="72">
        <v>6850.970703125</v>
      </c>
      <c r="N247" s="72">
        <v>7828.06396484375</v>
      </c>
      <c r="O247" s="73"/>
      <c r="P247" s="74"/>
      <c r="Q247" s="74"/>
      <c r="R247" s="86"/>
      <c r="S247" s="46">
        <v>0</v>
      </c>
      <c r="T247" s="46">
        <v>1</v>
      </c>
      <c r="U247" s="47">
        <v>0</v>
      </c>
      <c r="V247" s="47">
        <v>0.214691</v>
      </c>
      <c r="W247" s="47">
        <v>0.062026</v>
      </c>
      <c r="X247" s="47">
        <v>0.002499</v>
      </c>
      <c r="Y247" s="47">
        <v>0</v>
      </c>
      <c r="Z247" s="47">
        <v>0</v>
      </c>
      <c r="AA247" s="69">
        <v>247</v>
      </c>
      <c r="AB247" s="69"/>
      <c r="AC247" s="70"/>
      <c r="AD247" s="76" t="s">
        <v>6107</v>
      </c>
      <c r="AE247" s="83" t="s">
        <v>5815</v>
      </c>
      <c r="AF247" s="76">
        <v>7366</v>
      </c>
      <c r="AG247" s="76">
        <v>9503</v>
      </c>
      <c r="AH247" s="76">
        <v>22921</v>
      </c>
      <c r="AI247" s="76">
        <v>44</v>
      </c>
      <c r="AJ247" s="76">
        <v>8572</v>
      </c>
      <c r="AK247" s="76">
        <v>22287</v>
      </c>
      <c r="AL247" s="76" t="b">
        <v>0</v>
      </c>
      <c r="AM247" s="78">
        <v>42724.51210648148</v>
      </c>
      <c r="AN247" s="76" t="s">
        <v>6584</v>
      </c>
      <c r="AO247" s="76" t="s">
        <v>6846</v>
      </c>
      <c r="AP247" s="82" t="str">
        <f>HYPERLINK("https://t.co/TpMiFLA7Bj")</f>
        <v>https://t.co/TpMiFLA7Bj</v>
      </c>
      <c r="AQ247" s="82" t="str">
        <f>HYPERLINK("http://www.shanebruwer.com")</f>
        <v>http://www.shanebruwer.com</v>
      </c>
      <c r="AR247" s="76" t="s">
        <v>7086</v>
      </c>
      <c r="AS247" s="76"/>
      <c r="AT247" s="76"/>
      <c r="AU247" s="76"/>
      <c r="AV247" s="76">
        <v>1.22218172328015E+18</v>
      </c>
      <c r="AW247" s="82" t="str">
        <f>HYPERLINK("https://t.co/TpMiFLA7Bj")</f>
        <v>https://t.co/TpMiFLA7Bj</v>
      </c>
      <c r="AX247" s="76" t="b">
        <v>0</v>
      </c>
      <c r="AY247" s="76" t="b">
        <v>1</v>
      </c>
      <c r="AZ247" s="76"/>
      <c r="BA247" s="76" t="b">
        <v>1</v>
      </c>
      <c r="BB247" s="76" t="b">
        <v>1</v>
      </c>
      <c r="BC247" s="76" t="b">
        <v>0</v>
      </c>
      <c r="BD247" s="76" t="b">
        <v>0</v>
      </c>
      <c r="BE247" s="76" t="b">
        <v>0</v>
      </c>
      <c r="BF247" s="76" t="b">
        <v>0</v>
      </c>
      <c r="BG247" s="76" t="b">
        <v>0</v>
      </c>
      <c r="BH247" s="82" t="str">
        <f>HYPERLINK("https://pbs.twimg.com/profile_banners/811183726591954944/1482952288")</f>
        <v>https://pbs.twimg.com/profile_banners/811183726591954944/1482952288</v>
      </c>
      <c r="BI247" s="76"/>
      <c r="BJ247" s="76" t="s">
        <v>7188</v>
      </c>
      <c r="BK247" s="76" t="b">
        <v>0</v>
      </c>
      <c r="BL247" s="76"/>
      <c r="BM247" s="76" t="s">
        <v>66</v>
      </c>
      <c r="BN247" s="76" t="s">
        <v>7190</v>
      </c>
      <c r="BO247" s="82" t="str">
        <f>HYPERLINK("https://twitter.com/shanebruwer")</f>
        <v>https://twitter.com/shanebruwer</v>
      </c>
      <c r="BP247" s="46"/>
      <c r="BQ247" s="46"/>
      <c r="BR247" s="46"/>
      <c r="BS247" s="46"/>
      <c r="BT247" s="46"/>
      <c r="BU247" s="46"/>
      <c r="BV247" s="105" t="s">
        <v>7909</v>
      </c>
      <c r="BW247" s="105" t="s">
        <v>7909</v>
      </c>
      <c r="BX247" s="105" t="s">
        <v>8140</v>
      </c>
      <c r="BY247" s="105" t="s">
        <v>8140</v>
      </c>
      <c r="BZ247" s="2"/>
    </row>
    <row r="248" spans="1:78" ht="15">
      <c r="A248" s="62" t="s">
        <v>354</v>
      </c>
      <c r="B248" s="63"/>
      <c r="C248" s="63"/>
      <c r="D248" s="64"/>
      <c r="E248" s="66"/>
      <c r="F248" s="100" t="str">
        <f>HYPERLINK("https://pbs.twimg.com/profile_images/1058753500450934784/1SxfU7eV_normal.jpg")</f>
        <v>https://pbs.twimg.com/profile_images/1058753500450934784/1SxfU7eV_normal.jpg</v>
      </c>
      <c r="G248" s="63"/>
      <c r="H248" s="67"/>
      <c r="I248" s="68"/>
      <c r="J248" s="68"/>
      <c r="K248" s="67" t="s">
        <v>7435</v>
      </c>
      <c r="L248" s="71"/>
      <c r="M248" s="72">
        <v>6877.611328125</v>
      </c>
      <c r="N248" s="72">
        <v>7689.216796875</v>
      </c>
      <c r="O248" s="73"/>
      <c r="P248" s="74"/>
      <c r="Q248" s="74"/>
      <c r="R248" s="86"/>
      <c r="S248" s="46">
        <v>1</v>
      </c>
      <c r="T248" s="46">
        <v>1</v>
      </c>
      <c r="U248" s="47">
        <v>0</v>
      </c>
      <c r="V248" s="47">
        <v>0</v>
      </c>
      <c r="W248" s="47">
        <v>0</v>
      </c>
      <c r="X248" s="47">
        <v>0.002882</v>
      </c>
      <c r="Y248" s="47">
        <v>0</v>
      </c>
      <c r="Z248" s="47">
        <v>0</v>
      </c>
      <c r="AA248" s="69">
        <v>248</v>
      </c>
      <c r="AB248" s="69"/>
      <c r="AC248" s="70"/>
      <c r="AD248" s="76" t="s">
        <v>6108</v>
      </c>
      <c r="AE248" s="83" t="s">
        <v>6372</v>
      </c>
      <c r="AF248" s="76">
        <v>163</v>
      </c>
      <c r="AG248" s="76">
        <v>85</v>
      </c>
      <c r="AH248" s="76">
        <v>5684</v>
      </c>
      <c r="AI248" s="76">
        <v>1</v>
      </c>
      <c r="AJ248" s="76">
        <v>4293</v>
      </c>
      <c r="AK248" s="76">
        <v>57</v>
      </c>
      <c r="AL248" s="76" t="b">
        <v>0</v>
      </c>
      <c r="AM248" s="78">
        <v>41492.85925925926</v>
      </c>
      <c r="AN248" s="76"/>
      <c r="AO248" s="76" t="s">
        <v>6847</v>
      </c>
      <c r="AP248" s="76"/>
      <c r="AQ248" s="76"/>
      <c r="AR248" s="76"/>
      <c r="AS248" s="76"/>
      <c r="AT248" s="76"/>
      <c r="AU248" s="76"/>
      <c r="AV248" s="76"/>
      <c r="AW248" s="76"/>
      <c r="AX248" s="76" t="b">
        <v>0</v>
      </c>
      <c r="AY248" s="76"/>
      <c r="AZ248" s="76"/>
      <c r="BA248" s="76" t="b">
        <v>0</v>
      </c>
      <c r="BB248" s="76" t="b">
        <v>1</v>
      </c>
      <c r="BC248" s="76" t="b">
        <v>1</v>
      </c>
      <c r="BD248" s="76" t="b">
        <v>0</v>
      </c>
      <c r="BE248" s="76" t="b">
        <v>0</v>
      </c>
      <c r="BF248" s="76" t="b">
        <v>0</v>
      </c>
      <c r="BG248" s="76" t="b">
        <v>0</v>
      </c>
      <c r="BH248" s="82" t="str">
        <f>HYPERLINK("https://pbs.twimg.com/profile_banners/1651193642/1453100699")</f>
        <v>https://pbs.twimg.com/profile_banners/1651193642/1453100699</v>
      </c>
      <c r="BI248" s="76"/>
      <c r="BJ248" s="76" t="s">
        <v>7188</v>
      </c>
      <c r="BK248" s="76" t="b">
        <v>0</v>
      </c>
      <c r="BL248" s="76"/>
      <c r="BM248" s="76" t="s">
        <v>66</v>
      </c>
      <c r="BN248" s="76" t="s">
        <v>7190</v>
      </c>
      <c r="BO248" s="82" t="str">
        <f>HYPERLINK("https://twitter.com/valeriaordaz00")</f>
        <v>https://twitter.com/valeriaordaz00</v>
      </c>
      <c r="BP248" s="46"/>
      <c r="BQ248" s="46"/>
      <c r="BR248" s="46"/>
      <c r="BS248" s="46"/>
      <c r="BT248" s="46"/>
      <c r="BU248" s="46"/>
      <c r="BV248" s="105" t="s">
        <v>7910</v>
      </c>
      <c r="BW248" s="105" t="s">
        <v>7910</v>
      </c>
      <c r="BX248" s="105" t="s">
        <v>8141</v>
      </c>
      <c r="BY248" s="105" t="s">
        <v>8141</v>
      </c>
      <c r="BZ248" s="2"/>
    </row>
    <row r="249" spans="1:78" ht="15">
      <c r="A249" s="62" t="s">
        <v>356</v>
      </c>
      <c r="B249" s="63"/>
      <c r="C249" s="63"/>
      <c r="D249" s="64"/>
      <c r="E249" s="66"/>
      <c r="F249" s="100" t="str">
        <f>HYPERLINK("https://pbs.twimg.com/profile_images/114680511/twitter_logo_bg_normal.gif")</f>
        <v>https://pbs.twimg.com/profile_images/114680511/twitter_logo_bg_normal.gif</v>
      </c>
      <c r="G249" s="63"/>
      <c r="H249" s="67"/>
      <c r="I249" s="68"/>
      <c r="J249" s="68"/>
      <c r="K249" s="67" t="s">
        <v>7436</v>
      </c>
      <c r="L249" s="71"/>
      <c r="M249" s="72">
        <v>6904.25048828125</v>
      </c>
      <c r="N249" s="72">
        <v>7546.8828125</v>
      </c>
      <c r="O249" s="73"/>
      <c r="P249" s="74"/>
      <c r="Q249" s="74"/>
      <c r="R249" s="86"/>
      <c r="S249" s="46">
        <v>1</v>
      </c>
      <c r="T249" s="46">
        <v>1</v>
      </c>
      <c r="U249" s="47">
        <v>0</v>
      </c>
      <c r="V249" s="47">
        <v>0</v>
      </c>
      <c r="W249" s="47">
        <v>0</v>
      </c>
      <c r="X249" s="47">
        <v>0.002882</v>
      </c>
      <c r="Y249" s="47">
        <v>0</v>
      </c>
      <c r="Z249" s="47">
        <v>0</v>
      </c>
      <c r="AA249" s="69">
        <v>249</v>
      </c>
      <c r="AB249" s="69"/>
      <c r="AC249" s="70"/>
      <c r="AD249" s="76" t="s">
        <v>6109</v>
      </c>
      <c r="AE249" s="83" t="s">
        <v>6373</v>
      </c>
      <c r="AF249" s="76">
        <v>4216</v>
      </c>
      <c r="AG249" s="76">
        <v>0</v>
      </c>
      <c r="AH249" s="76">
        <v>478521</v>
      </c>
      <c r="AI249" s="76">
        <v>137</v>
      </c>
      <c r="AJ249" s="76">
        <v>3</v>
      </c>
      <c r="AK249" s="76">
        <v>0</v>
      </c>
      <c r="AL249" s="76" t="b">
        <v>0</v>
      </c>
      <c r="AM249" s="78">
        <v>39899.22221064815</v>
      </c>
      <c r="AN249" s="76"/>
      <c r="AO249" s="76" t="s">
        <v>6848</v>
      </c>
      <c r="AP249" s="82" t="str">
        <f>HYPERLINK("http://t.co/C3PozQX3yU")</f>
        <v>http://t.co/C3PozQX3yU</v>
      </c>
      <c r="AQ249" s="82" t="str">
        <f>HYPERLINK("http://www.CareerAge.com")</f>
        <v>http://www.CareerAge.com</v>
      </c>
      <c r="AR249" s="76" t="s">
        <v>6109</v>
      </c>
      <c r="AS249" s="76"/>
      <c r="AT249" s="76"/>
      <c r="AU249" s="76"/>
      <c r="AV249" s="76"/>
      <c r="AW249" s="82" t="str">
        <f>HYPERLINK("http://t.co/C3PozQX3yU")</f>
        <v>http://t.co/C3PozQX3yU</v>
      </c>
      <c r="AX249" s="76" t="b">
        <v>0</v>
      </c>
      <c r="AY249" s="76"/>
      <c r="AZ249" s="76"/>
      <c r="BA249" s="76" t="b">
        <v>0</v>
      </c>
      <c r="BB249" s="76" t="b">
        <v>1</v>
      </c>
      <c r="BC249" s="76" t="b">
        <v>1</v>
      </c>
      <c r="BD249" s="76" t="b">
        <v>0</v>
      </c>
      <c r="BE249" s="76" t="b">
        <v>0</v>
      </c>
      <c r="BF249" s="76" t="b">
        <v>0</v>
      </c>
      <c r="BG249" s="76" t="b">
        <v>0</v>
      </c>
      <c r="BH249" s="76"/>
      <c r="BI249" s="76"/>
      <c r="BJ249" s="76" t="s">
        <v>7188</v>
      </c>
      <c r="BK249" s="76" t="b">
        <v>0</v>
      </c>
      <c r="BL249" s="76"/>
      <c r="BM249" s="76" t="s">
        <v>66</v>
      </c>
      <c r="BN249" s="76" t="s">
        <v>7190</v>
      </c>
      <c r="BO249" s="82" t="str">
        <f>HYPERLINK("https://twitter.com/careerage")</f>
        <v>https://twitter.com/careerage</v>
      </c>
      <c r="BP249" s="46" t="s">
        <v>7654</v>
      </c>
      <c r="BQ249" s="46" t="s">
        <v>7654</v>
      </c>
      <c r="BR249" s="46" t="s">
        <v>2023</v>
      </c>
      <c r="BS249" s="46" t="s">
        <v>2023</v>
      </c>
      <c r="BT249" s="46"/>
      <c r="BU249" s="46"/>
      <c r="BV249" s="105" t="s">
        <v>7911</v>
      </c>
      <c r="BW249" s="105" t="s">
        <v>7911</v>
      </c>
      <c r="BX249" s="105" t="s">
        <v>8142</v>
      </c>
      <c r="BY249" s="105" t="s">
        <v>8142</v>
      </c>
      <c r="BZ249" s="2"/>
    </row>
    <row r="250" spans="1:78" ht="15">
      <c r="A250" s="62" t="s">
        <v>357</v>
      </c>
      <c r="B250" s="63"/>
      <c r="C250" s="63"/>
      <c r="D250" s="64"/>
      <c r="E250" s="66"/>
      <c r="F250" s="100" t="str">
        <f>HYPERLINK("https://pbs.twimg.com/profile_images/457280069179027456/J2Da_bjk_normal.jpeg")</f>
        <v>https://pbs.twimg.com/profile_images/457280069179027456/J2Da_bjk_normal.jpeg</v>
      </c>
      <c r="G250" s="63"/>
      <c r="H250" s="67"/>
      <c r="I250" s="68"/>
      <c r="J250" s="68"/>
      <c r="K250" s="67" t="s">
        <v>7437</v>
      </c>
      <c r="L250" s="71"/>
      <c r="M250" s="72">
        <v>6930.89013671875</v>
      </c>
      <c r="N250" s="72">
        <v>7401.24658203125</v>
      </c>
      <c r="O250" s="73"/>
      <c r="P250" s="74"/>
      <c r="Q250" s="74"/>
      <c r="R250" s="86"/>
      <c r="S250" s="46">
        <v>0</v>
      </c>
      <c r="T250" s="46">
        <v>1</v>
      </c>
      <c r="U250" s="47">
        <v>0</v>
      </c>
      <c r="V250" s="47">
        <v>0.00289</v>
      </c>
      <c r="W250" s="47">
        <v>0</v>
      </c>
      <c r="X250" s="47">
        <v>0.002882</v>
      </c>
      <c r="Y250" s="47">
        <v>0</v>
      </c>
      <c r="Z250" s="47">
        <v>0</v>
      </c>
      <c r="AA250" s="69">
        <v>250</v>
      </c>
      <c r="AB250" s="69"/>
      <c r="AC250" s="70"/>
      <c r="AD250" s="76" t="s">
        <v>6110</v>
      </c>
      <c r="AE250" s="83" t="s">
        <v>6374</v>
      </c>
      <c r="AF250" s="76">
        <v>123</v>
      </c>
      <c r="AG250" s="76">
        <v>185</v>
      </c>
      <c r="AH250" s="76">
        <v>2379</v>
      </c>
      <c r="AI250" s="76">
        <v>0</v>
      </c>
      <c r="AJ250" s="76">
        <v>782</v>
      </c>
      <c r="AK250" s="76">
        <v>76</v>
      </c>
      <c r="AL250" s="76" t="b">
        <v>0</v>
      </c>
      <c r="AM250" s="78">
        <v>40675.91798611111</v>
      </c>
      <c r="AN250" s="76" t="s">
        <v>6585</v>
      </c>
      <c r="AO250" s="76" t="s">
        <v>6849</v>
      </c>
      <c r="AP250" s="76"/>
      <c r="AQ250" s="76"/>
      <c r="AR250" s="76"/>
      <c r="AS250" s="76"/>
      <c r="AT250" s="76"/>
      <c r="AU250" s="76"/>
      <c r="AV250" s="76"/>
      <c r="AW250" s="76"/>
      <c r="AX250" s="76" t="b">
        <v>0</v>
      </c>
      <c r="AY250" s="76"/>
      <c r="AZ250" s="76"/>
      <c r="BA250" s="76" t="b">
        <v>0</v>
      </c>
      <c r="BB250" s="76" t="b">
        <v>1</v>
      </c>
      <c r="BC250" s="76" t="b">
        <v>0</v>
      </c>
      <c r="BD250" s="76" t="b">
        <v>0</v>
      </c>
      <c r="BE250" s="76" t="b">
        <v>0</v>
      </c>
      <c r="BF250" s="76" t="b">
        <v>0</v>
      </c>
      <c r="BG250" s="76" t="b">
        <v>0</v>
      </c>
      <c r="BH250" s="76"/>
      <c r="BI250" s="76"/>
      <c r="BJ250" s="76" t="s">
        <v>7188</v>
      </c>
      <c r="BK250" s="76" t="b">
        <v>0</v>
      </c>
      <c r="BL250" s="76"/>
      <c r="BM250" s="76" t="s">
        <v>66</v>
      </c>
      <c r="BN250" s="76" t="s">
        <v>7190</v>
      </c>
      <c r="BO250" s="82" t="str">
        <f>HYPERLINK("https://twitter.com/markkyyymark")</f>
        <v>https://twitter.com/markkyyymark</v>
      </c>
      <c r="BP250" s="46"/>
      <c r="BQ250" s="46"/>
      <c r="BR250" s="46"/>
      <c r="BS250" s="46"/>
      <c r="BT250" s="46"/>
      <c r="BU250" s="46"/>
      <c r="BV250" s="105" t="s">
        <v>7912</v>
      </c>
      <c r="BW250" s="105" t="s">
        <v>7912</v>
      </c>
      <c r="BX250" s="105" t="s">
        <v>8143</v>
      </c>
      <c r="BY250" s="105" t="s">
        <v>8143</v>
      </c>
      <c r="BZ250" s="2"/>
    </row>
    <row r="251" spans="1:78" ht="15">
      <c r="A251" s="62" t="s">
        <v>532</v>
      </c>
      <c r="B251" s="63"/>
      <c r="C251" s="63"/>
      <c r="D251" s="64"/>
      <c r="E251" s="66"/>
      <c r="F251" s="100" t="str">
        <f>HYPERLINK("https://pbs.twimg.com/profile_images/815682134828609536/grMqyjWx_normal.jpg")</f>
        <v>https://pbs.twimg.com/profile_images/815682134828609536/grMqyjWx_normal.jpg</v>
      </c>
      <c r="G251" s="63"/>
      <c r="H251" s="67"/>
      <c r="I251" s="68"/>
      <c r="J251" s="68"/>
      <c r="K251" s="67" t="s">
        <v>7438</v>
      </c>
      <c r="L251" s="71"/>
      <c r="M251" s="72">
        <v>6957.53076171875</v>
      </c>
      <c r="N251" s="72">
        <v>7252.49658203125</v>
      </c>
      <c r="O251" s="73"/>
      <c r="P251" s="74"/>
      <c r="Q251" s="74"/>
      <c r="R251" s="86"/>
      <c r="S251" s="46">
        <v>1</v>
      </c>
      <c r="T251" s="46">
        <v>0</v>
      </c>
      <c r="U251" s="47">
        <v>0</v>
      </c>
      <c r="V251" s="47">
        <v>0.00289</v>
      </c>
      <c r="W251" s="47">
        <v>0</v>
      </c>
      <c r="X251" s="47">
        <v>0.002882</v>
      </c>
      <c r="Y251" s="47">
        <v>0</v>
      </c>
      <c r="Z251" s="47">
        <v>0</v>
      </c>
      <c r="AA251" s="69">
        <v>251</v>
      </c>
      <c r="AB251" s="69"/>
      <c r="AC251" s="70"/>
      <c r="AD251" s="76" t="s">
        <v>6111</v>
      </c>
      <c r="AE251" s="83" t="s">
        <v>5765</v>
      </c>
      <c r="AF251" s="76">
        <v>83</v>
      </c>
      <c r="AG251" s="76">
        <v>173</v>
      </c>
      <c r="AH251" s="76">
        <v>1639</v>
      </c>
      <c r="AI251" s="76">
        <v>1</v>
      </c>
      <c r="AJ251" s="76">
        <v>4238</v>
      </c>
      <c r="AK251" s="76">
        <v>21</v>
      </c>
      <c r="AL251" s="76" t="b">
        <v>0</v>
      </c>
      <c r="AM251" s="78">
        <v>41372.18667824074</v>
      </c>
      <c r="AN251" s="76"/>
      <c r="AO251" s="76" t="s">
        <v>6850</v>
      </c>
      <c r="AP251" s="76"/>
      <c r="AQ251" s="76"/>
      <c r="AR251" s="76"/>
      <c r="AS251" s="76"/>
      <c r="AT251" s="76"/>
      <c r="AU251" s="76"/>
      <c r="AV251" s="76"/>
      <c r="AW251" s="76"/>
      <c r="AX251" s="76" t="b">
        <v>0</v>
      </c>
      <c r="AY251" s="76"/>
      <c r="AZ251" s="76"/>
      <c r="BA251" s="76" t="b">
        <v>0</v>
      </c>
      <c r="BB251" s="76" t="b">
        <v>1</v>
      </c>
      <c r="BC251" s="76" t="b">
        <v>1</v>
      </c>
      <c r="BD251" s="76" t="b">
        <v>0</v>
      </c>
      <c r="BE251" s="76" t="b">
        <v>1</v>
      </c>
      <c r="BF251" s="76" t="b">
        <v>0</v>
      </c>
      <c r="BG251" s="76" t="b">
        <v>0</v>
      </c>
      <c r="BH251" s="82" t="str">
        <f>HYPERLINK("https://pbs.twimg.com/profile_banners/1335720570/1418764302")</f>
        <v>https://pbs.twimg.com/profile_banners/1335720570/1418764302</v>
      </c>
      <c r="BI251" s="76"/>
      <c r="BJ251" s="76" t="s">
        <v>7188</v>
      </c>
      <c r="BK251" s="76" t="b">
        <v>0</v>
      </c>
      <c r="BL251" s="76"/>
      <c r="BM251" s="76" t="s">
        <v>65</v>
      </c>
      <c r="BN251" s="76" t="s">
        <v>7190</v>
      </c>
      <c r="BO251" s="82" t="str">
        <f>HYPERLINK("https://twitter.com/mattcino1")</f>
        <v>https://twitter.com/mattcino1</v>
      </c>
      <c r="BP251" s="46"/>
      <c r="BQ251" s="46"/>
      <c r="BR251" s="46"/>
      <c r="BS251" s="46"/>
      <c r="BT251" s="46"/>
      <c r="BU251" s="46"/>
      <c r="BV251" s="46"/>
      <c r="BW251" s="46"/>
      <c r="BX251" s="46"/>
      <c r="BY251" s="46"/>
      <c r="BZ251" s="2"/>
    </row>
    <row r="252" spans="1:78" ht="15">
      <c r="A252" s="62" t="s">
        <v>358</v>
      </c>
      <c r="B252" s="63"/>
      <c r="C252" s="63"/>
      <c r="D252" s="64"/>
      <c r="E252" s="66"/>
      <c r="F252" s="100" t="str">
        <f>HYPERLINK("https://pbs.twimg.com/profile_images/1516015260859314176/Y_NZNcW8_normal.jpg")</f>
        <v>https://pbs.twimg.com/profile_images/1516015260859314176/Y_NZNcW8_normal.jpg</v>
      </c>
      <c r="G252" s="63"/>
      <c r="H252" s="67"/>
      <c r="I252" s="68"/>
      <c r="J252" s="68"/>
      <c r="K252" s="67" t="s">
        <v>7439</v>
      </c>
      <c r="L252" s="71"/>
      <c r="M252" s="72">
        <v>6984.17041015625</v>
      </c>
      <c r="N252" s="72">
        <v>7100.82666015625</v>
      </c>
      <c r="O252" s="73"/>
      <c r="P252" s="74"/>
      <c r="Q252" s="74"/>
      <c r="R252" s="86"/>
      <c r="S252" s="46">
        <v>0</v>
      </c>
      <c r="T252" s="46">
        <v>1</v>
      </c>
      <c r="U252" s="47">
        <v>0</v>
      </c>
      <c r="V252" s="47">
        <v>0.00289</v>
      </c>
      <c r="W252" s="47">
        <v>0</v>
      </c>
      <c r="X252" s="47">
        <v>0.002882</v>
      </c>
      <c r="Y252" s="47">
        <v>0</v>
      </c>
      <c r="Z252" s="47">
        <v>0</v>
      </c>
      <c r="AA252" s="69">
        <v>252</v>
      </c>
      <c r="AB252" s="69"/>
      <c r="AC252" s="70"/>
      <c r="AD252" s="76" t="s">
        <v>6112</v>
      </c>
      <c r="AE252" s="83" t="s">
        <v>5816</v>
      </c>
      <c r="AF252" s="76">
        <v>118</v>
      </c>
      <c r="AG252" s="76">
        <v>273</v>
      </c>
      <c r="AH252" s="76">
        <v>22131</v>
      </c>
      <c r="AI252" s="76">
        <v>1</v>
      </c>
      <c r="AJ252" s="76">
        <v>29840</v>
      </c>
      <c r="AK252" s="76">
        <v>2410</v>
      </c>
      <c r="AL252" s="76" t="b">
        <v>0</v>
      </c>
      <c r="AM252" s="78">
        <v>44005.755532407406</v>
      </c>
      <c r="AN252" s="76"/>
      <c r="AO252" s="76" t="s">
        <v>6851</v>
      </c>
      <c r="AP252" s="82" t="str">
        <f>HYPERLINK("https://t.co/pdFo5o0Yz3")</f>
        <v>https://t.co/pdFo5o0Yz3</v>
      </c>
      <c r="AQ252" s="82" t="str">
        <f>HYPERLINK("https://www.youtube.com/channel/UCOh4aJIEODYXSmlZvW8a7gg")</f>
        <v>https://www.youtube.com/channel/UCOh4aJIEODYXSmlZvW8a7gg</v>
      </c>
      <c r="AR252" s="76" t="s">
        <v>7087</v>
      </c>
      <c r="AS252" s="76"/>
      <c r="AT252" s="76"/>
      <c r="AU252" s="76"/>
      <c r="AV252" s="76"/>
      <c r="AW252" s="82" t="str">
        <f>HYPERLINK("https://t.co/pdFo5o0Yz3")</f>
        <v>https://t.co/pdFo5o0Yz3</v>
      </c>
      <c r="AX252" s="76" t="b">
        <v>0</v>
      </c>
      <c r="AY252" s="76"/>
      <c r="AZ252" s="76"/>
      <c r="BA252" s="76" t="b">
        <v>0</v>
      </c>
      <c r="BB252" s="76" t="b">
        <v>1</v>
      </c>
      <c r="BC252" s="76" t="b">
        <v>1</v>
      </c>
      <c r="BD252" s="76" t="b">
        <v>0</v>
      </c>
      <c r="BE252" s="76" t="b">
        <v>1</v>
      </c>
      <c r="BF252" s="76" t="b">
        <v>0</v>
      </c>
      <c r="BG252" s="76" t="b">
        <v>0</v>
      </c>
      <c r="BH252" s="82" t="str">
        <f>HYPERLINK("https://pbs.twimg.com/profile_banners/1275490759031042048/1646665741")</f>
        <v>https://pbs.twimg.com/profile_banners/1275490759031042048/1646665741</v>
      </c>
      <c r="BI252" s="76"/>
      <c r="BJ252" s="76" t="s">
        <v>7188</v>
      </c>
      <c r="BK252" s="76" t="b">
        <v>0</v>
      </c>
      <c r="BL252" s="76"/>
      <c r="BM252" s="76" t="s">
        <v>66</v>
      </c>
      <c r="BN252" s="76" t="s">
        <v>7190</v>
      </c>
      <c r="BO252" s="82" t="str">
        <f>HYPERLINK("https://twitter.com/lapsiluco")</f>
        <v>https://twitter.com/lapsiluco</v>
      </c>
      <c r="BP252" s="46"/>
      <c r="BQ252" s="46"/>
      <c r="BR252" s="46"/>
      <c r="BS252" s="46"/>
      <c r="BT252" s="46"/>
      <c r="BU252" s="46"/>
      <c r="BV252" s="105" t="s">
        <v>7913</v>
      </c>
      <c r="BW252" s="105" t="s">
        <v>7913</v>
      </c>
      <c r="BX252" s="105" t="s">
        <v>8144</v>
      </c>
      <c r="BY252" s="105" t="s">
        <v>8144</v>
      </c>
      <c r="BZ252" s="2"/>
    </row>
    <row r="253" spans="1:78" ht="15">
      <c r="A253" s="62" t="s">
        <v>533</v>
      </c>
      <c r="B253" s="63"/>
      <c r="C253" s="63"/>
      <c r="D253" s="64"/>
      <c r="E253" s="66"/>
      <c r="F253" s="100" t="str">
        <f>HYPERLINK("https://pbs.twimg.com/profile_images/1429411228145881101/yeJPAbu2_normal.jpg")</f>
        <v>https://pbs.twimg.com/profile_images/1429411228145881101/yeJPAbu2_normal.jpg</v>
      </c>
      <c r="G253" s="63"/>
      <c r="H253" s="67"/>
      <c r="I253" s="68"/>
      <c r="J253" s="68"/>
      <c r="K253" s="67" t="s">
        <v>7440</v>
      </c>
      <c r="L253" s="71"/>
      <c r="M253" s="72">
        <v>7010.810546875</v>
      </c>
      <c r="N253" s="72">
        <v>6946.4326171875</v>
      </c>
      <c r="O253" s="73"/>
      <c r="P253" s="74"/>
      <c r="Q253" s="74"/>
      <c r="R253" s="86"/>
      <c r="S253" s="46">
        <v>1</v>
      </c>
      <c r="T253" s="46">
        <v>0</v>
      </c>
      <c r="U253" s="47">
        <v>0</v>
      </c>
      <c r="V253" s="47">
        <v>0.00289</v>
      </c>
      <c r="W253" s="47">
        <v>0</v>
      </c>
      <c r="X253" s="47">
        <v>0.002882</v>
      </c>
      <c r="Y253" s="47">
        <v>0</v>
      </c>
      <c r="Z253" s="47">
        <v>0</v>
      </c>
      <c r="AA253" s="69">
        <v>253</v>
      </c>
      <c r="AB253" s="69"/>
      <c r="AC253" s="70"/>
      <c r="AD253" s="76" t="s">
        <v>6113</v>
      </c>
      <c r="AE253" s="83" t="s">
        <v>6375</v>
      </c>
      <c r="AF253" s="76">
        <v>54</v>
      </c>
      <c r="AG253" s="76">
        <v>509</v>
      </c>
      <c r="AH253" s="76">
        <v>31660</v>
      </c>
      <c r="AI253" s="76">
        <v>3</v>
      </c>
      <c r="AJ253" s="76">
        <v>131277</v>
      </c>
      <c r="AK253" s="76">
        <v>271</v>
      </c>
      <c r="AL253" s="76" t="b">
        <v>0</v>
      </c>
      <c r="AM253" s="78">
        <v>42336.588530092595</v>
      </c>
      <c r="AN253" s="76"/>
      <c r="AO253" s="76" t="s">
        <v>6852</v>
      </c>
      <c r="AP253" s="76"/>
      <c r="AQ253" s="76"/>
      <c r="AR253" s="76"/>
      <c r="AS253" s="76"/>
      <c r="AT253" s="76"/>
      <c r="AU253" s="76"/>
      <c r="AV253" s="76"/>
      <c r="AW253" s="76"/>
      <c r="AX253" s="76" t="b">
        <v>0</v>
      </c>
      <c r="AY253" s="76"/>
      <c r="AZ253" s="76"/>
      <c r="BA253" s="76" t="b">
        <v>1</v>
      </c>
      <c r="BB253" s="76" t="b">
        <v>1</v>
      </c>
      <c r="BC253" s="76" t="b">
        <v>1</v>
      </c>
      <c r="BD253" s="76" t="b">
        <v>0</v>
      </c>
      <c r="BE253" s="76" t="b">
        <v>1</v>
      </c>
      <c r="BF253" s="76" t="b">
        <v>0</v>
      </c>
      <c r="BG253" s="76" t="b">
        <v>0</v>
      </c>
      <c r="BH253" s="76"/>
      <c r="BI253" s="76"/>
      <c r="BJ253" s="76" t="s">
        <v>7188</v>
      </c>
      <c r="BK253" s="76" t="b">
        <v>0</v>
      </c>
      <c r="BL253" s="76"/>
      <c r="BM253" s="76" t="s">
        <v>65</v>
      </c>
      <c r="BN253" s="76" t="s">
        <v>7190</v>
      </c>
      <c r="BO253" s="82" t="str">
        <f>HYPERLINK("https://twitter.com/iddelf")</f>
        <v>https://twitter.com/iddelf</v>
      </c>
      <c r="BP253" s="46"/>
      <c r="BQ253" s="46"/>
      <c r="BR253" s="46"/>
      <c r="BS253" s="46"/>
      <c r="BT253" s="46"/>
      <c r="BU253" s="46"/>
      <c r="BV253" s="46"/>
      <c r="BW253" s="46"/>
      <c r="BX253" s="46"/>
      <c r="BY253" s="46"/>
      <c r="BZ253" s="2"/>
    </row>
    <row r="254" spans="1:78" ht="15">
      <c r="A254" s="62" t="s">
        <v>534</v>
      </c>
      <c r="B254" s="63"/>
      <c r="C254" s="63"/>
      <c r="D254" s="64"/>
      <c r="E254" s="66"/>
      <c r="F254" s="100" t="str">
        <f>HYPERLINK("https://pbs.twimg.com/profile_images/955476200809467907/wUP6okPy_normal.jpg")</f>
        <v>https://pbs.twimg.com/profile_images/955476200809467907/wUP6okPy_normal.jpg</v>
      </c>
      <c r="G254" s="63"/>
      <c r="H254" s="67"/>
      <c r="I254" s="68"/>
      <c r="J254" s="68"/>
      <c r="K254" s="67" t="s">
        <v>7441</v>
      </c>
      <c r="L254" s="71"/>
      <c r="M254" s="72">
        <v>7037.4501953125</v>
      </c>
      <c r="N254" s="72">
        <v>6789.51318359375</v>
      </c>
      <c r="O254" s="73"/>
      <c r="P254" s="74"/>
      <c r="Q254" s="74"/>
      <c r="R254" s="86"/>
      <c r="S254" s="46">
        <v>2</v>
      </c>
      <c r="T254" s="46">
        <v>0</v>
      </c>
      <c r="U254" s="47">
        <v>0</v>
      </c>
      <c r="V254" s="47">
        <v>0.167966</v>
      </c>
      <c r="W254" s="47">
        <v>0.022379</v>
      </c>
      <c r="X254" s="47">
        <v>0.002555</v>
      </c>
      <c r="Y254" s="47">
        <v>1</v>
      </c>
      <c r="Z254" s="47">
        <v>0</v>
      </c>
      <c r="AA254" s="69">
        <v>254</v>
      </c>
      <c r="AB254" s="69"/>
      <c r="AC254" s="70"/>
      <c r="AD254" s="76" t="s">
        <v>6114</v>
      </c>
      <c r="AE254" s="83" t="s">
        <v>6376</v>
      </c>
      <c r="AF254" s="76">
        <v>177</v>
      </c>
      <c r="AG254" s="76">
        <v>330</v>
      </c>
      <c r="AH254" s="76">
        <v>498</v>
      </c>
      <c r="AI254" s="76">
        <v>7</v>
      </c>
      <c r="AJ254" s="76">
        <v>25</v>
      </c>
      <c r="AK254" s="76">
        <v>312</v>
      </c>
      <c r="AL254" s="76" t="b">
        <v>0</v>
      </c>
      <c r="AM254" s="78">
        <v>40155.34542824074</v>
      </c>
      <c r="AN254" s="76" t="s">
        <v>6586</v>
      </c>
      <c r="AO254" s="76" t="s">
        <v>6853</v>
      </c>
      <c r="AP254" s="82" t="str">
        <f>HYPERLINK("https://t.co/RSLJHLON7j")</f>
        <v>https://t.co/RSLJHLON7j</v>
      </c>
      <c r="AQ254" s="82" t="str">
        <f>HYPERLINK("http://sunarctechnologies.com/")</f>
        <v>http://sunarctechnologies.com/</v>
      </c>
      <c r="AR254" s="76" t="s">
        <v>7088</v>
      </c>
      <c r="AS254" s="76"/>
      <c r="AT254" s="76"/>
      <c r="AU254" s="76"/>
      <c r="AV254" s="76"/>
      <c r="AW254" s="82" t="str">
        <f>HYPERLINK("https://t.co/RSLJHLON7j")</f>
        <v>https://t.co/RSLJHLON7j</v>
      </c>
      <c r="AX254" s="76" t="b">
        <v>0</v>
      </c>
      <c r="AY254" s="76"/>
      <c r="AZ254" s="76"/>
      <c r="BA254" s="76" t="b">
        <v>1</v>
      </c>
      <c r="BB254" s="76" t="b">
        <v>0</v>
      </c>
      <c r="BC254" s="76" t="b">
        <v>0</v>
      </c>
      <c r="BD254" s="76" t="b">
        <v>0</v>
      </c>
      <c r="BE254" s="76" t="b">
        <v>0</v>
      </c>
      <c r="BF254" s="76" t="b">
        <v>0</v>
      </c>
      <c r="BG254" s="76" t="b">
        <v>0</v>
      </c>
      <c r="BH254" s="82" t="str">
        <f>HYPERLINK("https://pbs.twimg.com/profile_banners/95379260/1619073143")</f>
        <v>https://pbs.twimg.com/profile_banners/95379260/1619073143</v>
      </c>
      <c r="BI254" s="76"/>
      <c r="BJ254" s="76" t="s">
        <v>7188</v>
      </c>
      <c r="BK254" s="76" t="b">
        <v>0</v>
      </c>
      <c r="BL254" s="76"/>
      <c r="BM254" s="76" t="s">
        <v>65</v>
      </c>
      <c r="BN254" s="76" t="s">
        <v>7190</v>
      </c>
      <c r="BO254" s="82" t="str">
        <f>HYPERLINK("https://twitter.com/sunarc_tech")</f>
        <v>https://twitter.com/sunarc_tech</v>
      </c>
      <c r="BP254" s="46"/>
      <c r="BQ254" s="46"/>
      <c r="BR254" s="46"/>
      <c r="BS254" s="46"/>
      <c r="BT254" s="46"/>
      <c r="BU254" s="46"/>
      <c r="BV254" s="46"/>
      <c r="BW254" s="46"/>
      <c r="BX254" s="46"/>
      <c r="BY254" s="46"/>
      <c r="BZ254" s="2"/>
    </row>
    <row r="255" spans="1:78" ht="15">
      <c r="A255" s="62" t="s">
        <v>359</v>
      </c>
      <c r="B255" s="63"/>
      <c r="C255" s="63"/>
      <c r="D255" s="64"/>
      <c r="E255" s="66"/>
      <c r="F255" s="100" t="str">
        <f>HYPERLINK("https://pbs.twimg.com/profile_images/1634150200305414144/yRbuyQ62_normal.jpg")</f>
        <v>https://pbs.twimg.com/profile_images/1634150200305414144/yRbuyQ62_normal.jpg</v>
      </c>
      <c r="G255" s="63"/>
      <c r="H255" s="67"/>
      <c r="I255" s="68"/>
      <c r="J255" s="68"/>
      <c r="K255" s="67" t="s">
        <v>7442</v>
      </c>
      <c r="L255" s="71"/>
      <c r="M255" s="72">
        <v>7064.08984375</v>
      </c>
      <c r="N255" s="72">
        <v>6630.27490234375</v>
      </c>
      <c r="O255" s="73"/>
      <c r="P255" s="74"/>
      <c r="Q255" s="74"/>
      <c r="R255" s="86"/>
      <c r="S255" s="46">
        <v>2</v>
      </c>
      <c r="T255" s="46">
        <v>10</v>
      </c>
      <c r="U255" s="47">
        <v>1036</v>
      </c>
      <c r="V255" s="47">
        <v>0.234361</v>
      </c>
      <c r="W255" s="47">
        <v>0.098275</v>
      </c>
      <c r="X255" s="47">
        <v>0.003946</v>
      </c>
      <c r="Y255" s="47">
        <v>0.1111111111111111</v>
      </c>
      <c r="Z255" s="47">
        <v>0.1111111111111111</v>
      </c>
      <c r="AA255" s="69">
        <v>255</v>
      </c>
      <c r="AB255" s="69"/>
      <c r="AC255" s="70"/>
      <c r="AD255" s="76" t="s">
        <v>6115</v>
      </c>
      <c r="AE255" s="83" t="s">
        <v>6377</v>
      </c>
      <c r="AF255" s="76">
        <v>3450</v>
      </c>
      <c r="AG255" s="76">
        <v>1620</v>
      </c>
      <c r="AH255" s="76">
        <v>7759</v>
      </c>
      <c r="AI255" s="76">
        <v>1407</v>
      </c>
      <c r="AJ255" s="76">
        <v>1538</v>
      </c>
      <c r="AK255" s="76">
        <v>3455</v>
      </c>
      <c r="AL255" s="76" t="b">
        <v>0</v>
      </c>
      <c r="AM255" s="78">
        <v>40367.27471064815</v>
      </c>
      <c r="AN255" s="76" t="s">
        <v>6587</v>
      </c>
      <c r="AO255" s="76" t="s">
        <v>6854</v>
      </c>
      <c r="AP255" s="82" t="str">
        <f>HYPERLINK("https://t.co/bJqELZuqHJ")</f>
        <v>https://t.co/bJqELZuqHJ</v>
      </c>
      <c r="AQ255" s="82" t="str">
        <f>HYPERLINK("http://www.evontech.com")</f>
        <v>http://www.evontech.com</v>
      </c>
      <c r="AR255" s="76" t="s">
        <v>7089</v>
      </c>
      <c r="AS255" s="76"/>
      <c r="AT255" s="76"/>
      <c r="AU255" s="76"/>
      <c r="AV255" s="76">
        <v>1.73194740262862E+18</v>
      </c>
      <c r="AW255" s="82" t="str">
        <f>HYPERLINK("https://t.co/bJqELZuqHJ")</f>
        <v>https://t.co/bJqELZuqHJ</v>
      </c>
      <c r="AX255" s="76" t="b">
        <v>0</v>
      </c>
      <c r="AY255" s="76"/>
      <c r="AZ255" s="76"/>
      <c r="BA255" s="76" t="b">
        <v>0</v>
      </c>
      <c r="BB255" s="76" t="b">
        <v>1</v>
      </c>
      <c r="BC255" s="76" t="b">
        <v>0</v>
      </c>
      <c r="BD255" s="76" t="b">
        <v>0</v>
      </c>
      <c r="BE255" s="76" t="b">
        <v>1</v>
      </c>
      <c r="BF255" s="76" t="b">
        <v>0</v>
      </c>
      <c r="BG255" s="76" t="b">
        <v>0</v>
      </c>
      <c r="BH255" s="82" t="str">
        <f>HYPERLINK("https://pbs.twimg.com/profile_banners/164178163/1696414170")</f>
        <v>https://pbs.twimg.com/profile_banners/164178163/1696414170</v>
      </c>
      <c r="BI255" s="76"/>
      <c r="BJ255" s="76" t="s">
        <v>7188</v>
      </c>
      <c r="BK255" s="76" t="b">
        <v>0</v>
      </c>
      <c r="BL255" s="76"/>
      <c r="BM255" s="76" t="s">
        <v>66</v>
      </c>
      <c r="BN255" s="76" t="s">
        <v>7190</v>
      </c>
      <c r="BO255" s="82" t="str">
        <f>HYPERLINK("https://twitter.com/evontech")</f>
        <v>https://twitter.com/evontech</v>
      </c>
      <c r="BP255" s="46"/>
      <c r="BQ255" s="46"/>
      <c r="BR255" s="46"/>
      <c r="BS255" s="46"/>
      <c r="BT255" s="46" t="s">
        <v>1801</v>
      </c>
      <c r="BU255" s="46" t="s">
        <v>1801</v>
      </c>
      <c r="BV255" s="105" t="s">
        <v>7914</v>
      </c>
      <c r="BW255" s="105" t="s">
        <v>7914</v>
      </c>
      <c r="BX255" s="105" t="s">
        <v>8145</v>
      </c>
      <c r="BY255" s="105" t="s">
        <v>8145</v>
      </c>
      <c r="BZ255" s="2"/>
    </row>
    <row r="256" spans="1:78" ht="15">
      <c r="A256" s="62" t="s">
        <v>535</v>
      </c>
      <c r="B256" s="63"/>
      <c r="C256" s="63"/>
      <c r="D256" s="64"/>
      <c r="E256" s="66"/>
      <c r="F256" s="100" t="str">
        <f>HYPERLINK("https://pbs.twimg.com/profile_images/1615582890041147392/nidh8kpW_normal.jpg")</f>
        <v>https://pbs.twimg.com/profile_images/1615582890041147392/nidh8kpW_normal.jpg</v>
      </c>
      <c r="G256" s="63"/>
      <c r="H256" s="67"/>
      <c r="I256" s="68"/>
      <c r="J256" s="68"/>
      <c r="K256" s="67" t="s">
        <v>7443</v>
      </c>
      <c r="L256" s="71"/>
      <c r="M256" s="72">
        <v>7090.73046875</v>
      </c>
      <c r="N256" s="72">
        <v>6468.92236328125</v>
      </c>
      <c r="O256" s="73"/>
      <c r="P256" s="74"/>
      <c r="Q256" s="74"/>
      <c r="R256" s="86"/>
      <c r="S256" s="46">
        <v>2</v>
      </c>
      <c r="T256" s="46">
        <v>0</v>
      </c>
      <c r="U256" s="47">
        <v>0</v>
      </c>
      <c r="V256" s="47">
        <v>0.167966</v>
      </c>
      <c r="W256" s="47">
        <v>0.022379</v>
      </c>
      <c r="X256" s="47">
        <v>0.002555</v>
      </c>
      <c r="Y256" s="47">
        <v>1</v>
      </c>
      <c r="Z256" s="47">
        <v>0</v>
      </c>
      <c r="AA256" s="69">
        <v>256</v>
      </c>
      <c r="AB256" s="69"/>
      <c r="AC256" s="70"/>
      <c r="AD256" s="76" t="s">
        <v>6116</v>
      </c>
      <c r="AE256" s="83" t="s">
        <v>6378</v>
      </c>
      <c r="AF256" s="76">
        <v>1586</v>
      </c>
      <c r="AG256" s="76">
        <v>1935</v>
      </c>
      <c r="AH256" s="76">
        <v>2803</v>
      </c>
      <c r="AI256" s="76">
        <v>75</v>
      </c>
      <c r="AJ256" s="76">
        <v>747</v>
      </c>
      <c r="AK256" s="76">
        <v>1359</v>
      </c>
      <c r="AL256" s="76" t="b">
        <v>0</v>
      </c>
      <c r="AM256" s="78">
        <v>39944.424629629626</v>
      </c>
      <c r="AN256" s="76" t="s">
        <v>6588</v>
      </c>
      <c r="AO256" s="76" t="s">
        <v>6855</v>
      </c>
      <c r="AP256" s="82" t="str">
        <f>HYPERLINK("https://t.co/hCW8OtzDc8")</f>
        <v>https://t.co/hCW8OtzDc8</v>
      </c>
      <c r="AQ256" s="82" t="str">
        <f>HYPERLINK("https://www.octalsoftware.com/")</f>
        <v>https://www.octalsoftware.com/</v>
      </c>
      <c r="AR256" s="76" t="s">
        <v>7090</v>
      </c>
      <c r="AS256" s="76"/>
      <c r="AT256" s="76"/>
      <c r="AU256" s="76"/>
      <c r="AV256" s="76">
        <v>9.63016750550761E+17</v>
      </c>
      <c r="AW256" s="82" t="str">
        <f>HYPERLINK("https://t.co/hCW8OtzDc8")</f>
        <v>https://t.co/hCW8OtzDc8</v>
      </c>
      <c r="AX256" s="76" t="b">
        <v>0</v>
      </c>
      <c r="AY256" s="76"/>
      <c r="AZ256" s="76"/>
      <c r="BA256" s="76" t="b">
        <v>0</v>
      </c>
      <c r="BB256" s="76" t="b">
        <v>1</v>
      </c>
      <c r="BC256" s="76" t="b">
        <v>0</v>
      </c>
      <c r="BD256" s="76" t="b">
        <v>0</v>
      </c>
      <c r="BE256" s="76" t="b">
        <v>1</v>
      </c>
      <c r="BF256" s="76" t="b">
        <v>0</v>
      </c>
      <c r="BG256" s="76" t="b">
        <v>0</v>
      </c>
      <c r="BH256" s="82" t="str">
        <f>HYPERLINK("https://pbs.twimg.com/profile_banners/39226054/1494242996")</f>
        <v>https://pbs.twimg.com/profile_banners/39226054/1494242996</v>
      </c>
      <c r="BI256" s="76"/>
      <c r="BJ256" s="76" t="s">
        <v>7188</v>
      </c>
      <c r="BK256" s="76" t="b">
        <v>0</v>
      </c>
      <c r="BL256" s="76"/>
      <c r="BM256" s="76" t="s">
        <v>65</v>
      </c>
      <c r="BN256" s="76" t="s">
        <v>7190</v>
      </c>
      <c r="BO256" s="82" t="str">
        <f>HYPERLINK("https://twitter.com/octalitsolution")</f>
        <v>https://twitter.com/octalitsolution</v>
      </c>
      <c r="BP256" s="46"/>
      <c r="BQ256" s="46"/>
      <c r="BR256" s="46"/>
      <c r="BS256" s="46"/>
      <c r="BT256" s="46"/>
      <c r="BU256" s="46"/>
      <c r="BV256" s="46"/>
      <c r="BW256" s="46"/>
      <c r="BX256" s="46"/>
      <c r="BY256" s="46"/>
      <c r="BZ256" s="2"/>
    </row>
    <row r="257" spans="1:78" ht="15">
      <c r="A257" s="62" t="s">
        <v>536</v>
      </c>
      <c r="B257" s="63"/>
      <c r="C257" s="63"/>
      <c r="D257" s="64"/>
      <c r="E257" s="66"/>
      <c r="F257" s="100" t="str">
        <f>HYPERLINK("https://pbs.twimg.com/profile_images/1229384198638600192/e5VKBkJx_normal.png")</f>
        <v>https://pbs.twimg.com/profile_images/1229384198638600192/e5VKBkJx_normal.png</v>
      </c>
      <c r="G257" s="63"/>
      <c r="H257" s="67"/>
      <c r="I257" s="68"/>
      <c r="J257" s="68"/>
      <c r="K257" s="67" t="s">
        <v>7444</v>
      </c>
      <c r="L257" s="71"/>
      <c r="M257" s="72">
        <v>7117.3701171875</v>
      </c>
      <c r="N257" s="72">
        <v>6305.66455078125</v>
      </c>
      <c r="O257" s="73"/>
      <c r="P257" s="74"/>
      <c r="Q257" s="74"/>
      <c r="R257" s="86"/>
      <c r="S257" s="46">
        <v>2</v>
      </c>
      <c r="T257" s="46">
        <v>0</v>
      </c>
      <c r="U257" s="47">
        <v>0</v>
      </c>
      <c r="V257" s="47">
        <v>0.167966</v>
      </c>
      <c r="W257" s="47">
        <v>0.022379</v>
      </c>
      <c r="X257" s="47">
        <v>0.002555</v>
      </c>
      <c r="Y257" s="47">
        <v>1</v>
      </c>
      <c r="Z257" s="47">
        <v>0</v>
      </c>
      <c r="AA257" s="69">
        <v>257</v>
      </c>
      <c r="AB257" s="69"/>
      <c r="AC257" s="70"/>
      <c r="AD257" s="76" t="s">
        <v>6117</v>
      </c>
      <c r="AE257" s="83" t="s">
        <v>6379</v>
      </c>
      <c r="AF257" s="76">
        <v>7337</v>
      </c>
      <c r="AG257" s="76">
        <v>1483</v>
      </c>
      <c r="AH257" s="76">
        <v>56622</v>
      </c>
      <c r="AI257" s="76">
        <v>2737</v>
      </c>
      <c r="AJ257" s="76">
        <v>1341</v>
      </c>
      <c r="AK257" s="76">
        <v>2022</v>
      </c>
      <c r="AL257" s="76" t="b">
        <v>0</v>
      </c>
      <c r="AM257" s="78">
        <v>40421.223229166666</v>
      </c>
      <c r="AN257" s="76" t="s">
        <v>6589</v>
      </c>
      <c r="AO257" s="76" t="s">
        <v>6856</v>
      </c>
      <c r="AP257" s="82" t="str">
        <f>HYPERLINK("https://t.co/hZiytgSyxu")</f>
        <v>https://t.co/hZiytgSyxu</v>
      </c>
      <c r="AQ257" s="82" t="str">
        <f>HYPERLINK("https://softwaredevelopersindia.com")</f>
        <v>https://softwaredevelopersindia.com</v>
      </c>
      <c r="AR257" s="76" t="s">
        <v>7091</v>
      </c>
      <c r="AS257" s="76"/>
      <c r="AT257" s="76"/>
      <c r="AU257" s="76"/>
      <c r="AV257" s="76"/>
      <c r="AW257" s="82" t="str">
        <f>HYPERLINK("https://t.co/hZiytgSyxu")</f>
        <v>https://t.co/hZiytgSyxu</v>
      </c>
      <c r="AX257" s="76" t="b">
        <v>0</v>
      </c>
      <c r="AY257" s="76"/>
      <c r="AZ257" s="76"/>
      <c r="BA257" s="76" t="b">
        <v>0</v>
      </c>
      <c r="BB257" s="76" t="b">
        <v>1</v>
      </c>
      <c r="BC257" s="76" t="b">
        <v>0</v>
      </c>
      <c r="BD257" s="76" t="b">
        <v>0</v>
      </c>
      <c r="BE257" s="76" t="b">
        <v>0</v>
      </c>
      <c r="BF257" s="76" t="b">
        <v>0</v>
      </c>
      <c r="BG257" s="76" t="b">
        <v>0</v>
      </c>
      <c r="BH257" s="82" t="str">
        <f>HYPERLINK("https://pbs.twimg.com/profile_banners/185085429/1484116050")</f>
        <v>https://pbs.twimg.com/profile_banners/185085429/1484116050</v>
      </c>
      <c r="BI257" s="76"/>
      <c r="BJ257" s="76" t="s">
        <v>7188</v>
      </c>
      <c r="BK257" s="76" t="b">
        <v>0</v>
      </c>
      <c r="BL257" s="76"/>
      <c r="BM257" s="76" t="s">
        <v>65</v>
      </c>
      <c r="BN257" s="76" t="s">
        <v>7190</v>
      </c>
      <c r="BO257" s="82" t="str">
        <f>HYPERLINK("https://twitter.com/softwaredevin")</f>
        <v>https://twitter.com/softwaredevin</v>
      </c>
      <c r="BP257" s="46"/>
      <c r="BQ257" s="46"/>
      <c r="BR257" s="46"/>
      <c r="BS257" s="46"/>
      <c r="BT257" s="46"/>
      <c r="BU257" s="46"/>
      <c r="BV257" s="46"/>
      <c r="BW257" s="46"/>
      <c r="BX257" s="46"/>
      <c r="BY257" s="46"/>
      <c r="BZ257" s="2"/>
    </row>
    <row r="258" spans="1:78" ht="15">
      <c r="A258" s="62" t="s">
        <v>537</v>
      </c>
      <c r="B258" s="63"/>
      <c r="C258" s="63"/>
      <c r="D258" s="64"/>
      <c r="E258" s="66"/>
      <c r="F258" s="100" t="str">
        <f>HYPERLINK("https://pbs.twimg.com/profile_images/1685216464591360000/4JxTHhLt_normal.jpg")</f>
        <v>https://pbs.twimg.com/profile_images/1685216464591360000/4JxTHhLt_normal.jpg</v>
      </c>
      <c r="G258" s="63"/>
      <c r="H258" s="67"/>
      <c r="I258" s="68"/>
      <c r="J258" s="68"/>
      <c r="K258" s="67" t="s">
        <v>7445</v>
      </c>
      <c r="L258" s="71"/>
      <c r="M258" s="72">
        <v>7144.00927734375</v>
      </c>
      <c r="N258" s="72">
        <v>6140.7138671875</v>
      </c>
      <c r="O258" s="73"/>
      <c r="P258" s="74"/>
      <c r="Q258" s="74"/>
      <c r="R258" s="86"/>
      <c r="S258" s="46">
        <v>2</v>
      </c>
      <c r="T258" s="46">
        <v>0</v>
      </c>
      <c r="U258" s="47">
        <v>0</v>
      </c>
      <c r="V258" s="47">
        <v>0.167966</v>
      </c>
      <c r="W258" s="47">
        <v>0.022379</v>
      </c>
      <c r="X258" s="47">
        <v>0.002555</v>
      </c>
      <c r="Y258" s="47">
        <v>1</v>
      </c>
      <c r="Z258" s="47">
        <v>0</v>
      </c>
      <c r="AA258" s="69">
        <v>258</v>
      </c>
      <c r="AB258" s="69"/>
      <c r="AC258" s="70"/>
      <c r="AD258" s="76" t="s">
        <v>6118</v>
      </c>
      <c r="AE258" s="83" t="s">
        <v>6380</v>
      </c>
      <c r="AF258" s="76">
        <v>1500</v>
      </c>
      <c r="AG258" s="76">
        <v>58</v>
      </c>
      <c r="AH258" s="76">
        <v>1077</v>
      </c>
      <c r="AI258" s="76">
        <v>0</v>
      </c>
      <c r="AJ258" s="76">
        <v>230</v>
      </c>
      <c r="AK258" s="76">
        <v>330</v>
      </c>
      <c r="AL258" s="76" t="b">
        <v>0</v>
      </c>
      <c r="AM258" s="78">
        <v>40214.48447916667</v>
      </c>
      <c r="AN258" s="76" t="s">
        <v>3889</v>
      </c>
      <c r="AO258" s="76" t="s">
        <v>6857</v>
      </c>
      <c r="AP258" s="82" t="str">
        <f>HYPERLINK("https://t.co/7l0ctzQw1j")</f>
        <v>https://t.co/7l0ctzQw1j</v>
      </c>
      <c r="AQ258" s="82" t="str">
        <f>HYPERLINK("https://www.promaticsindia.com")</f>
        <v>https://www.promaticsindia.com</v>
      </c>
      <c r="AR258" s="76" t="s">
        <v>7092</v>
      </c>
      <c r="AS258" s="76"/>
      <c r="AT258" s="76"/>
      <c r="AU258" s="76"/>
      <c r="AV258" s="76"/>
      <c r="AW258" s="82" t="str">
        <f>HYPERLINK("https://t.co/7l0ctzQw1j")</f>
        <v>https://t.co/7l0ctzQw1j</v>
      </c>
      <c r="AX258" s="76" t="b">
        <v>0</v>
      </c>
      <c r="AY258" s="76"/>
      <c r="AZ258" s="76"/>
      <c r="BA258" s="76" t="b">
        <v>1</v>
      </c>
      <c r="BB258" s="76" t="b">
        <v>1</v>
      </c>
      <c r="BC258" s="76" t="b">
        <v>0</v>
      </c>
      <c r="BD258" s="76" t="b">
        <v>0</v>
      </c>
      <c r="BE258" s="76" t="b">
        <v>1</v>
      </c>
      <c r="BF258" s="76" t="b">
        <v>0</v>
      </c>
      <c r="BG258" s="76" t="b">
        <v>0</v>
      </c>
      <c r="BH258" s="82" t="str">
        <f>HYPERLINK("https://pbs.twimg.com/profile_banners/111569289/1672995636")</f>
        <v>https://pbs.twimg.com/profile_banners/111569289/1672995636</v>
      </c>
      <c r="BI258" s="76"/>
      <c r="BJ258" s="76" t="s">
        <v>7188</v>
      </c>
      <c r="BK258" s="76" t="b">
        <v>0</v>
      </c>
      <c r="BL258" s="76"/>
      <c r="BM258" s="76" t="s">
        <v>65</v>
      </c>
      <c r="BN258" s="76" t="s">
        <v>7190</v>
      </c>
      <c r="BO258" s="82" t="str">
        <f>HYPERLINK("https://twitter.com/promatics")</f>
        <v>https://twitter.com/promatics</v>
      </c>
      <c r="BP258" s="46"/>
      <c r="BQ258" s="46"/>
      <c r="BR258" s="46"/>
      <c r="BS258" s="46"/>
      <c r="BT258" s="46"/>
      <c r="BU258" s="46"/>
      <c r="BV258" s="46"/>
      <c r="BW258" s="46"/>
      <c r="BX258" s="46"/>
      <c r="BY258" s="46"/>
      <c r="BZ258" s="2"/>
    </row>
    <row r="259" spans="1:78" ht="15">
      <c r="A259" s="62" t="s">
        <v>538</v>
      </c>
      <c r="B259" s="63"/>
      <c r="C259" s="63"/>
      <c r="D259" s="64"/>
      <c r="E259" s="66"/>
      <c r="F259" s="100" t="str">
        <f>HYPERLINK("https://pbs.twimg.com/profile_images/781061930815332352/Om4Hbjo0_normal.jpg")</f>
        <v>https://pbs.twimg.com/profile_images/781061930815332352/Om4Hbjo0_normal.jpg</v>
      </c>
      <c r="G259" s="63"/>
      <c r="H259" s="67"/>
      <c r="I259" s="68"/>
      <c r="J259" s="68"/>
      <c r="K259" s="67" t="s">
        <v>7446</v>
      </c>
      <c r="L259" s="71"/>
      <c r="M259" s="72">
        <v>7170.64990234375</v>
      </c>
      <c r="N259" s="72">
        <v>5974.283203125</v>
      </c>
      <c r="O259" s="73"/>
      <c r="P259" s="74"/>
      <c r="Q259" s="74"/>
      <c r="R259" s="86"/>
      <c r="S259" s="46">
        <v>2</v>
      </c>
      <c r="T259" s="46">
        <v>0</v>
      </c>
      <c r="U259" s="47">
        <v>0</v>
      </c>
      <c r="V259" s="47">
        <v>0.167966</v>
      </c>
      <c r="W259" s="47">
        <v>0.022379</v>
      </c>
      <c r="X259" s="47">
        <v>0.002555</v>
      </c>
      <c r="Y259" s="47">
        <v>1</v>
      </c>
      <c r="Z259" s="47">
        <v>0</v>
      </c>
      <c r="AA259" s="69">
        <v>259</v>
      </c>
      <c r="AB259" s="69"/>
      <c r="AC259" s="70"/>
      <c r="AD259" s="76" t="s">
        <v>6119</v>
      </c>
      <c r="AE259" s="83" t="s">
        <v>6381</v>
      </c>
      <c r="AF259" s="76">
        <v>32</v>
      </c>
      <c r="AG259" s="76">
        <v>158</v>
      </c>
      <c r="AH259" s="76">
        <v>214</v>
      </c>
      <c r="AI259" s="76">
        <v>1</v>
      </c>
      <c r="AJ259" s="76">
        <v>85</v>
      </c>
      <c r="AK259" s="76">
        <v>181</v>
      </c>
      <c r="AL259" s="76" t="b">
        <v>0</v>
      </c>
      <c r="AM259" s="78">
        <v>42632.34657407407</v>
      </c>
      <c r="AN259" s="76" t="s">
        <v>6590</v>
      </c>
      <c r="AO259" s="76" t="s">
        <v>6858</v>
      </c>
      <c r="AP259" s="82" t="str">
        <f>HYPERLINK("https://t.co/UGy1qHBttA")</f>
        <v>https://t.co/UGy1qHBttA</v>
      </c>
      <c r="AQ259" s="82" t="str">
        <f>HYPERLINK("http://www.phoenixbizz.com/")</f>
        <v>http://www.phoenixbizz.com/</v>
      </c>
      <c r="AR259" s="76" t="s">
        <v>7093</v>
      </c>
      <c r="AS259" s="76"/>
      <c r="AT259" s="76"/>
      <c r="AU259" s="76"/>
      <c r="AV259" s="76"/>
      <c r="AW259" s="82" t="str">
        <f>HYPERLINK("https://t.co/UGy1qHBttA")</f>
        <v>https://t.co/UGy1qHBttA</v>
      </c>
      <c r="AX259" s="76" t="b">
        <v>0</v>
      </c>
      <c r="AY259" s="76"/>
      <c r="AZ259" s="76"/>
      <c r="BA259" s="76" t="b">
        <v>0</v>
      </c>
      <c r="BB259" s="76" t="b">
        <v>1</v>
      </c>
      <c r="BC259" s="76" t="b">
        <v>0</v>
      </c>
      <c r="BD259" s="76" t="b">
        <v>0</v>
      </c>
      <c r="BE259" s="76" t="b">
        <v>0</v>
      </c>
      <c r="BF259" s="76" t="b">
        <v>0</v>
      </c>
      <c r="BG259" s="76" t="b">
        <v>0</v>
      </c>
      <c r="BH259" s="82" t="str">
        <f>HYPERLINK("https://pbs.twimg.com/profile_banners/777784058080178177/1474273596")</f>
        <v>https://pbs.twimg.com/profile_banners/777784058080178177/1474273596</v>
      </c>
      <c r="BI259" s="76"/>
      <c r="BJ259" s="76" t="s">
        <v>7188</v>
      </c>
      <c r="BK259" s="76" t="b">
        <v>0</v>
      </c>
      <c r="BL259" s="76"/>
      <c r="BM259" s="76" t="s">
        <v>65</v>
      </c>
      <c r="BN259" s="76" t="s">
        <v>7190</v>
      </c>
      <c r="BO259" s="82" t="str">
        <f>HYPERLINK("https://twitter.com/phoenix_bizz")</f>
        <v>https://twitter.com/phoenix_bizz</v>
      </c>
      <c r="BP259" s="46"/>
      <c r="BQ259" s="46"/>
      <c r="BR259" s="46"/>
      <c r="BS259" s="46"/>
      <c r="BT259" s="46"/>
      <c r="BU259" s="46"/>
      <c r="BV259" s="46"/>
      <c r="BW259" s="46"/>
      <c r="BX259" s="46"/>
      <c r="BY259" s="46"/>
      <c r="BZ259" s="2"/>
    </row>
    <row r="260" spans="1:78" ht="15">
      <c r="A260" s="62" t="s">
        <v>539</v>
      </c>
      <c r="B260" s="63"/>
      <c r="C260" s="63"/>
      <c r="D260" s="64"/>
      <c r="E260" s="66"/>
      <c r="F260" s="100" t="str">
        <f>HYPERLINK("https://pbs.twimg.com/profile_images/1736641054772723712/en_cA27y_normal.jpg")</f>
        <v>https://pbs.twimg.com/profile_images/1736641054772723712/en_cA27y_normal.jpg</v>
      </c>
      <c r="G260" s="63"/>
      <c r="H260" s="67"/>
      <c r="I260" s="68"/>
      <c r="J260" s="68"/>
      <c r="K260" s="67" t="s">
        <v>7447</v>
      </c>
      <c r="L260" s="71"/>
      <c r="M260" s="72">
        <v>7197.28955078125</v>
      </c>
      <c r="N260" s="72">
        <v>5806.58935546875</v>
      </c>
      <c r="O260" s="73"/>
      <c r="P260" s="74"/>
      <c r="Q260" s="74"/>
      <c r="R260" s="86"/>
      <c r="S260" s="46">
        <v>2</v>
      </c>
      <c r="T260" s="46">
        <v>0</v>
      </c>
      <c r="U260" s="47">
        <v>0</v>
      </c>
      <c r="V260" s="47">
        <v>0.167966</v>
      </c>
      <c r="W260" s="47">
        <v>0.022379</v>
      </c>
      <c r="X260" s="47">
        <v>0.002555</v>
      </c>
      <c r="Y260" s="47">
        <v>1</v>
      </c>
      <c r="Z260" s="47">
        <v>0</v>
      </c>
      <c r="AA260" s="69">
        <v>260</v>
      </c>
      <c r="AB260" s="69"/>
      <c r="AC260" s="70"/>
      <c r="AD260" s="76" t="s">
        <v>6120</v>
      </c>
      <c r="AE260" s="83" t="s">
        <v>6382</v>
      </c>
      <c r="AF260" s="76">
        <v>678</v>
      </c>
      <c r="AG260" s="76">
        <v>1170</v>
      </c>
      <c r="AH260" s="76">
        <v>1417</v>
      </c>
      <c r="AI260" s="76">
        <v>3</v>
      </c>
      <c r="AJ260" s="76">
        <v>277</v>
      </c>
      <c r="AK260" s="76">
        <v>894</v>
      </c>
      <c r="AL260" s="76" t="b">
        <v>0</v>
      </c>
      <c r="AM260" s="78">
        <v>42878.38642361111</v>
      </c>
      <c r="AN260" s="76" t="s">
        <v>6591</v>
      </c>
      <c r="AO260" s="76" t="s">
        <v>6859</v>
      </c>
      <c r="AP260" s="82" t="str">
        <f>HYPERLINK("https://t.co/8ez5gIhqmz")</f>
        <v>https://t.co/8ez5gIhqmz</v>
      </c>
      <c r="AQ260" s="82" t="str">
        <f>HYPERLINK("http://www.ripenapps.com/")</f>
        <v>http://www.ripenapps.com/</v>
      </c>
      <c r="AR260" s="76" t="s">
        <v>7094</v>
      </c>
      <c r="AS260" s="76"/>
      <c r="AT260" s="76"/>
      <c r="AU260" s="76"/>
      <c r="AV260" s="76">
        <v>1.52403834367549E+18</v>
      </c>
      <c r="AW260" s="82" t="str">
        <f>HYPERLINK("https://t.co/8ez5gIhqmz")</f>
        <v>https://t.co/8ez5gIhqmz</v>
      </c>
      <c r="AX260" s="76" t="b">
        <v>0</v>
      </c>
      <c r="AY260" s="76"/>
      <c r="AZ260" s="76"/>
      <c r="BA260" s="76" t="b">
        <v>0</v>
      </c>
      <c r="BB260" s="76" t="b">
        <v>1</v>
      </c>
      <c r="BC260" s="76" t="b">
        <v>1</v>
      </c>
      <c r="BD260" s="76" t="b">
        <v>0</v>
      </c>
      <c r="BE260" s="76" t="b">
        <v>0</v>
      </c>
      <c r="BF260" s="76" t="b">
        <v>0</v>
      </c>
      <c r="BG260" s="76" t="b">
        <v>0</v>
      </c>
      <c r="BH260" s="82" t="str">
        <f>HYPERLINK("https://pbs.twimg.com/profile_banners/866945913888972800/1652278644")</f>
        <v>https://pbs.twimg.com/profile_banners/866945913888972800/1652278644</v>
      </c>
      <c r="BI260" s="76"/>
      <c r="BJ260" s="76" t="s">
        <v>7188</v>
      </c>
      <c r="BK260" s="76" t="b">
        <v>0</v>
      </c>
      <c r="BL260" s="76"/>
      <c r="BM260" s="76" t="s">
        <v>65</v>
      </c>
      <c r="BN260" s="76" t="s">
        <v>7190</v>
      </c>
      <c r="BO260" s="82" t="str">
        <f>HYPERLINK("https://twitter.com/ripenappstech")</f>
        <v>https://twitter.com/ripenappstech</v>
      </c>
      <c r="BP260" s="46"/>
      <c r="BQ260" s="46"/>
      <c r="BR260" s="46"/>
      <c r="BS260" s="46"/>
      <c r="BT260" s="46"/>
      <c r="BU260" s="46"/>
      <c r="BV260" s="46"/>
      <c r="BW260" s="46"/>
      <c r="BX260" s="46"/>
      <c r="BY260" s="46"/>
      <c r="BZ260" s="2"/>
    </row>
    <row r="261" spans="1:78" ht="15">
      <c r="A261" s="62" t="s">
        <v>540</v>
      </c>
      <c r="B261" s="63"/>
      <c r="C261" s="63"/>
      <c r="D261" s="64"/>
      <c r="E261" s="66"/>
      <c r="F261" s="100" t="str">
        <f>HYPERLINK("https://pbs.twimg.com/profile_images/1673241590180220930/YS1JJq6o_normal.jpg")</f>
        <v>https://pbs.twimg.com/profile_images/1673241590180220930/YS1JJq6o_normal.jpg</v>
      </c>
      <c r="G261" s="63"/>
      <c r="H261" s="67"/>
      <c r="I261" s="68"/>
      <c r="J261" s="68"/>
      <c r="K261" s="67" t="s">
        <v>7448</v>
      </c>
      <c r="L261" s="71"/>
      <c r="M261" s="72">
        <v>7223.9296875</v>
      </c>
      <c r="N261" s="72">
        <v>5637.8486328125</v>
      </c>
      <c r="O261" s="73"/>
      <c r="P261" s="74"/>
      <c r="Q261" s="74"/>
      <c r="R261" s="86"/>
      <c r="S261" s="46">
        <v>2</v>
      </c>
      <c r="T261" s="46">
        <v>0</v>
      </c>
      <c r="U261" s="47">
        <v>0</v>
      </c>
      <c r="V261" s="47">
        <v>0.167966</v>
      </c>
      <c r="W261" s="47">
        <v>0.022379</v>
      </c>
      <c r="X261" s="47">
        <v>0.002555</v>
      </c>
      <c r="Y261" s="47">
        <v>1</v>
      </c>
      <c r="Z261" s="47">
        <v>0</v>
      </c>
      <c r="AA261" s="69">
        <v>261</v>
      </c>
      <c r="AB261" s="69"/>
      <c r="AC261" s="70"/>
      <c r="AD261" s="76" t="s">
        <v>6121</v>
      </c>
      <c r="AE261" s="83" t="s">
        <v>6383</v>
      </c>
      <c r="AF261" s="76">
        <v>4710</v>
      </c>
      <c r="AG261" s="76">
        <v>5781</v>
      </c>
      <c r="AH261" s="76">
        <v>586</v>
      </c>
      <c r="AI261" s="76">
        <v>16</v>
      </c>
      <c r="AJ261" s="76">
        <v>2937</v>
      </c>
      <c r="AK261" s="76">
        <v>346</v>
      </c>
      <c r="AL261" s="76" t="b">
        <v>0</v>
      </c>
      <c r="AM261" s="78">
        <v>39739.81832175926</v>
      </c>
      <c r="AN261" s="76" t="s">
        <v>6592</v>
      </c>
      <c r="AO261" s="76" t="s">
        <v>6860</v>
      </c>
      <c r="AP261" s="82" t="str">
        <f>HYPERLINK("https://t.co/WHAIUwppP3")</f>
        <v>https://t.co/WHAIUwppP3</v>
      </c>
      <c r="AQ261" s="82" t="str">
        <f>HYPERLINK("http://www.A1future.com")</f>
        <v>http://www.A1future.com</v>
      </c>
      <c r="AR261" s="76" t="s">
        <v>7095</v>
      </c>
      <c r="AS261" s="76"/>
      <c r="AT261" s="76"/>
      <c r="AU261" s="76"/>
      <c r="AV261" s="76"/>
      <c r="AW261" s="82" t="str">
        <f>HYPERLINK("https://t.co/WHAIUwppP3")</f>
        <v>https://t.co/WHAIUwppP3</v>
      </c>
      <c r="AX261" s="76" t="b">
        <v>0</v>
      </c>
      <c r="AY261" s="76"/>
      <c r="AZ261" s="76"/>
      <c r="BA261" s="76" t="b">
        <v>0</v>
      </c>
      <c r="BB261" s="76" t="b">
        <v>1</v>
      </c>
      <c r="BC261" s="76" t="b">
        <v>1</v>
      </c>
      <c r="BD261" s="76" t="b">
        <v>0</v>
      </c>
      <c r="BE261" s="76" t="b">
        <v>0</v>
      </c>
      <c r="BF261" s="76" t="b">
        <v>0</v>
      </c>
      <c r="BG261" s="76" t="b">
        <v>0</v>
      </c>
      <c r="BH261" s="82" t="str">
        <f>HYPERLINK("https://pbs.twimg.com/profile_banners/16842439/1692787856")</f>
        <v>https://pbs.twimg.com/profile_banners/16842439/1692787856</v>
      </c>
      <c r="BI261" s="76"/>
      <c r="BJ261" s="76" t="s">
        <v>7188</v>
      </c>
      <c r="BK261" s="76" t="b">
        <v>0</v>
      </c>
      <c r="BL261" s="76"/>
      <c r="BM261" s="76" t="s">
        <v>65</v>
      </c>
      <c r="BN261" s="76" t="s">
        <v>7190</v>
      </c>
      <c r="BO261" s="82" t="str">
        <f>HYPERLINK("https://twitter.com/a1future")</f>
        <v>https://twitter.com/a1future</v>
      </c>
      <c r="BP261" s="46"/>
      <c r="BQ261" s="46"/>
      <c r="BR261" s="46"/>
      <c r="BS261" s="46"/>
      <c r="BT261" s="46"/>
      <c r="BU261" s="46"/>
      <c r="BV261" s="46"/>
      <c r="BW261" s="46"/>
      <c r="BX261" s="46"/>
      <c r="BY261" s="46"/>
      <c r="BZ261" s="2"/>
    </row>
    <row r="262" spans="1:78" ht="15">
      <c r="A262" s="62" t="s">
        <v>360</v>
      </c>
      <c r="B262" s="63"/>
      <c r="C262" s="63"/>
      <c r="D262" s="64"/>
      <c r="E262" s="66"/>
      <c r="F262" s="100" t="str">
        <f>HYPERLINK("https://pbs.twimg.com/profile_images/697345981919002624/cfMrzOt-_normal.jpg")</f>
        <v>https://pbs.twimg.com/profile_images/697345981919002624/cfMrzOt-_normal.jpg</v>
      </c>
      <c r="G262" s="63"/>
      <c r="H262" s="67"/>
      <c r="I262" s="68"/>
      <c r="J262" s="68"/>
      <c r="K262" s="67" t="s">
        <v>7449</v>
      </c>
      <c r="L262" s="71"/>
      <c r="M262" s="72">
        <v>7250.5693359375</v>
      </c>
      <c r="N262" s="72">
        <v>5468.28125</v>
      </c>
      <c r="O262" s="73"/>
      <c r="P262" s="74"/>
      <c r="Q262" s="74"/>
      <c r="R262" s="86"/>
      <c r="S262" s="46">
        <v>1</v>
      </c>
      <c r="T262" s="46">
        <v>1</v>
      </c>
      <c r="U262" s="47">
        <v>0</v>
      </c>
      <c r="V262" s="47">
        <v>0</v>
      </c>
      <c r="W262" s="47">
        <v>0</v>
      </c>
      <c r="X262" s="47">
        <v>0.002882</v>
      </c>
      <c r="Y262" s="47">
        <v>0</v>
      </c>
      <c r="Z262" s="47">
        <v>0</v>
      </c>
      <c r="AA262" s="69">
        <v>262</v>
      </c>
      <c r="AB262" s="69"/>
      <c r="AC262" s="70"/>
      <c r="AD262" s="76" t="s">
        <v>6122</v>
      </c>
      <c r="AE262" s="83" t="s">
        <v>6384</v>
      </c>
      <c r="AF262" s="76">
        <v>78</v>
      </c>
      <c r="AG262" s="76">
        <v>127</v>
      </c>
      <c r="AH262" s="76">
        <v>564</v>
      </c>
      <c r="AI262" s="76">
        <v>0</v>
      </c>
      <c r="AJ262" s="76">
        <v>15</v>
      </c>
      <c r="AK262" s="76">
        <v>21</v>
      </c>
      <c r="AL262" s="76" t="b">
        <v>0</v>
      </c>
      <c r="AM262" s="78">
        <v>42410.37746527778</v>
      </c>
      <c r="AN262" s="76"/>
      <c r="AO262" s="76"/>
      <c r="AP262" s="76"/>
      <c r="AQ262" s="76"/>
      <c r="AR262" s="76"/>
      <c r="AS262" s="76"/>
      <c r="AT262" s="76"/>
      <c r="AU262" s="76"/>
      <c r="AV262" s="76"/>
      <c r="AW262" s="76"/>
      <c r="AX262" s="76" t="b">
        <v>0</v>
      </c>
      <c r="AY262" s="76"/>
      <c r="AZ262" s="76"/>
      <c r="BA262" s="76" t="b">
        <v>0</v>
      </c>
      <c r="BB262" s="76" t="b">
        <v>1</v>
      </c>
      <c r="BC262" s="76" t="b">
        <v>1</v>
      </c>
      <c r="BD262" s="76" t="b">
        <v>0</v>
      </c>
      <c r="BE262" s="76" t="b">
        <v>0</v>
      </c>
      <c r="BF262" s="76" t="b">
        <v>0</v>
      </c>
      <c r="BG262" s="76" t="b">
        <v>0</v>
      </c>
      <c r="BH262" s="82" t="str">
        <f>HYPERLINK("https://pbs.twimg.com/profile_banners/4887125172/1455095200")</f>
        <v>https://pbs.twimg.com/profile_banners/4887125172/1455095200</v>
      </c>
      <c r="BI262" s="76"/>
      <c r="BJ262" s="76" t="s">
        <v>7188</v>
      </c>
      <c r="BK262" s="76" t="b">
        <v>0</v>
      </c>
      <c r="BL262" s="76"/>
      <c r="BM262" s="76" t="s">
        <v>66</v>
      </c>
      <c r="BN262" s="76" t="s">
        <v>7190</v>
      </c>
      <c r="BO262" s="82" t="str">
        <f>HYPERLINK("https://twitter.com/indywoodfilm")</f>
        <v>https://twitter.com/indywoodfilm</v>
      </c>
      <c r="BP262" s="46" t="s">
        <v>7655</v>
      </c>
      <c r="BQ262" s="46" t="s">
        <v>7655</v>
      </c>
      <c r="BR262" s="46" t="s">
        <v>1988</v>
      </c>
      <c r="BS262" s="46" t="s">
        <v>1988</v>
      </c>
      <c r="BT262" s="46" t="s">
        <v>1802</v>
      </c>
      <c r="BU262" s="46" t="s">
        <v>1802</v>
      </c>
      <c r="BV262" s="105" t="s">
        <v>7915</v>
      </c>
      <c r="BW262" s="105" t="s">
        <v>7915</v>
      </c>
      <c r="BX262" s="105" t="s">
        <v>8146</v>
      </c>
      <c r="BY262" s="105" t="s">
        <v>8146</v>
      </c>
      <c r="BZ262" s="2"/>
    </row>
    <row r="263" spans="1:78" ht="15">
      <c r="A263" s="62" t="s">
        <v>361</v>
      </c>
      <c r="B263" s="63"/>
      <c r="C263" s="63"/>
      <c r="D263" s="64"/>
      <c r="E263" s="66"/>
      <c r="F263" s="100" t="str">
        <f>HYPERLINK("https://pbs.twimg.com/profile_images/71193460/vfreshers_normal.png")</f>
        <v>https://pbs.twimg.com/profile_images/71193460/vfreshers_normal.png</v>
      </c>
      <c r="G263" s="63"/>
      <c r="H263" s="67"/>
      <c r="I263" s="68"/>
      <c r="J263" s="68"/>
      <c r="K263" s="67" t="s">
        <v>7450</v>
      </c>
      <c r="L263" s="71"/>
      <c r="M263" s="72">
        <v>7277.208984375</v>
      </c>
      <c r="N263" s="72">
        <v>5298.10546875</v>
      </c>
      <c r="O263" s="73"/>
      <c r="P263" s="74"/>
      <c r="Q263" s="74"/>
      <c r="R263" s="86"/>
      <c r="S263" s="46">
        <v>1</v>
      </c>
      <c r="T263" s="46">
        <v>1</v>
      </c>
      <c r="U263" s="47">
        <v>0</v>
      </c>
      <c r="V263" s="47">
        <v>0</v>
      </c>
      <c r="W263" s="47">
        <v>0</v>
      </c>
      <c r="X263" s="47">
        <v>0.002882</v>
      </c>
      <c r="Y263" s="47">
        <v>0</v>
      </c>
      <c r="Z263" s="47">
        <v>0</v>
      </c>
      <c r="AA263" s="69">
        <v>263</v>
      </c>
      <c r="AB263" s="69"/>
      <c r="AC263" s="70"/>
      <c r="AD263" s="76" t="s">
        <v>6123</v>
      </c>
      <c r="AE263" s="83" t="s">
        <v>6385</v>
      </c>
      <c r="AF263" s="76">
        <v>4563</v>
      </c>
      <c r="AG263" s="76">
        <v>118</v>
      </c>
      <c r="AH263" s="76">
        <v>13104</v>
      </c>
      <c r="AI263" s="76">
        <v>21</v>
      </c>
      <c r="AJ263" s="76">
        <v>0</v>
      </c>
      <c r="AK263" s="76">
        <v>0</v>
      </c>
      <c r="AL263" s="76" t="b">
        <v>0</v>
      </c>
      <c r="AM263" s="78">
        <v>39828.02814814815</v>
      </c>
      <c r="AN263" s="76" t="s">
        <v>3889</v>
      </c>
      <c r="AO263" s="76" t="s">
        <v>6861</v>
      </c>
      <c r="AP263" s="82" t="str">
        <f>HYPERLINK("http://t.co/COyvwRX25F")</f>
        <v>http://t.co/COyvwRX25F</v>
      </c>
      <c r="AQ263" s="82" t="str">
        <f>HYPERLINK("http://www.vfreshers.com")</f>
        <v>http://www.vfreshers.com</v>
      </c>
      <c r="AR263" s="76" t="s">
        <v>7096</v>
      </c>
      <c r="AS263" s="82" t="str">
        <f>HYPERLINK("http://t.co/XENKtfFLAU")</f>
        <v>http://t.co/XENKtfFLAU</v>
      </c>
      <c r="AT263" s="82" t="str">
        <f>HYPERLINK("http://Vfreshers.com")</f>
        <v>http://Vfreshers.com</v>
      </c>
      <c r="AU263" s="76" t="s">
        <v>7179</v>
      </c>
      <c r="AV263" s="76"/>
      <c r="AW263" s="82" t="str">
        <f>HYPERLINK("http://t.co/COyvwRX25F")</f>
        <v>http://t.co/COyvwRX25F</v>
      </c>
      <c r="AX263" s="76" t="b">
        <v>0</v>
      </c>
      <c r="AY263" s="76"/>
      <c r="AZ263" s="76"/>
      <c r="BA263" s="76" t="b">
        <v>0</v>
      </c>
      <c r="BB263" s="76" t="b">
        <v>1</v>
      </c>
      <c r="BC263" s="76" t="b">
        <v>1</v>
      </c>
      <c r="BD263" s="76" t="b">
        <v>0</v>
      </c>
      <c r="BE263" s="76" t="b">
        <v>0</v>
      </c>
      <c r="BF263" s="76" t="b">
        <v>0</v>
      </c>
      <c r="BG263" s="76" t="b">
        <v>0</v>
      </c>
      <c r="BH263" s="76"/>
      <c r="BI263" s="76"/>
      <c r="BJ263" s="76" t="s">
        <v>7188</v>
      </c>
      <c r="BK263" s="76" t="b">
        <v>0</v>
      </c>
      <c r="BL263" s="76"/>
      <c r="BM263" s="76" t="s">
        <v>66</v>
      </c>
      <c r="BN263" s="76" t="s">
        <v>7190</v>
      </c>
      <c r="BO263" s="82" t="str">
        <f>HYPERLINK("https://twitter.com/vfreshers")</f>
        <v>https://twitter.com/vfreshers</v>
      </c>
      <c r="BP263" s="46"/>
      <c r="BQ263" s="46"/>
      <c r="BR263" s="46"/>
      <c r="BS263" s="46"/>
      <c r="BT263" s="46"/>
      <c r="BU263" s="46"/>
      <c r="BV263" s="105" t="s">
        <v>7916</v>
      </c>
      <c r="BW263" s="105" t="s">
        <v>7997</v>
      </c>
      <c r="BX263" s="105" t="s">
        <v>8147</v>
      </c>
      <c r="BY263" s="105" t="s">
        <v>8147</v>
      </c>
      <c r="BZ263" s="2"/>
    </row>
    <row r="264" spans="1:78" ht="15">
      <c r="A264" s="62" t="s">
        <v>362</v>
      </c>
      <c r="B264" s="63"/>
      <c r="C264" s="63"/>
      <c r="D264" s="64"/>
      <c r="E264" s="66"/>
      <c r="F264" s="100" t="str">
        <f>HYPERLINK("https://pbs.twimg.com/profile_images/479293326550503424/YE_vYBAz_normal.png")</f>
        <v>https://pbs.twimg.com/profile_images/479293326550503424/YE_vYBAz_normal.png</v>
      </c>
      <c r="G264" s="63"/>
      <c r="H264" s="67"/>
      <c r="I264" s="68"/>
      <c r="J264" s="68"/>
      <c r="K264" s="67" t="s">
        <v>7451</v>
      </c>
      <c r="L264" s="71"/>
      <c r="M264" s="72">
        <v>7303.849609375</v>
      </c>
      <c r="N264" s="72">
        <v>5127.54296875</v>
      </c>
      <c r="O264" s="73"/>
      <c r="P264" s="74"/>
      <c r="Q264" s="74"/>
      <c r="R264" s="86"/>
      <c r="S264" s="46">
        <v>0</v>
      </c>
      <c r="T264" s="46">
        <v>4</v>
      </c>
      <c r="U264" s="47">
        <v>1044</v>
      </c>
      <c r="V264" s="47">
        <v>0.217825</v>
      </c>
      <c r="W264" s="47">
        <v>0.06352</v>
      </c>
      <c r="X264" s="47">
        <v>0.003663</v>
      </c>
      <c r="Y264" s="47">
        <v>0</v>
      </c>
      <c r="Z264" s="47">
        <v>0</v>
      </c>
      <c r="AA264" s="69">
        <v>264</v>
      </c>
      <c r="AB264" s="69"/>
      <c r="AC264" s="70"/>
      <c r="AD264" s="76" t="s">
        <v>6124</v>
      </c>
      <c r="AE264" s="83" t="s">
        <v>6386</v>
      </c>
      <c r="AF264" s="76">
        <v>16021</v>
      </c>
      <c r="AG264" s="76">
        <v>4274</v>
      </c>
      <c r="AH264" s="76">
        <v>15197</v>
      </c>
      <c r="AI264" s="76">
        <v>488</v>
      </c>
      <c r="AJ264" s="76">
        <v>5509</v>
      </c>
      <c r="AK264" s="76">
        <v>7099</v>
      </c>
      <c r="AL264" s="76" t="b">
        <v>0</v>
      </c>
      <c r="AM264" s="78">
        <v>41808.615625</v>
      </c>
      <c r="AN264" s="76" t="s">
        <v>6593</v>
      </c>
      <c r="AO264" s="76" t="s">
        <v>6862</v>
      </c>
      <c r="AP264" s="82" t="str">
        <f>HYPERLINK("https://t.co/bl0YdHac8o")</f>
        <v>https://t.co/bl0YdHac8o</v>
      </c>
      <c r="AQ264" s="82" t="str">
        <f>HYPERLINK("http://www.brainleaf.com")</f>
        <v>http://www.brainleaf.com</v>
      </c>
      <c r="AR264" s="76" t="s">
        <v>7097</v>
      </c>
      <c r="AS264" s="76"/>
      <c r="AT264" s="76"/>
      <c r="AU264" s="76"/>
      <c r="AV264" s="76"/>
      <c r="AW264" s="82" t="str">
        <f>HYPERLINK("https://t.co/bl0YdHac8o")</f>
        <v>https://t.co/bl0YdHac8o</v>
      </c>
      <c r="AX264" s="76" t="b">
        <v>0</v>
      </c>
      <c r="AY264" s="76"/>
      <c r="AZ264" s="76"/>
      <c r="BA264" s="76" t="b">
        <v>1</v>
      </c>
      <c r="BB264" s="76" t="b">
        <v>1</v>
      </c>
      <c r="BC264" s="76" t="b">
        <v>0</v>
      </c>
      <c r="BD264" s="76" t="b">
        <v>0</v>
      </c>
      <c r="BE264" s="76" t="b">
        <v>1</v>
      </c>
      <c r="BF264" s="76" t="b">
        <v>0</v>
      </c>
      <c r="BG264" s="76" t="b">
        <v>0</v>
      </c>
      <c r="BH264" s="82" t="str">
        <f>HYPERLINK("https://pbs.twimg.com/profile_banners/2574963420/1403108858")</f>
        <v>https://pbs.twimg.com/profile_banners/2574963420/1403108858</v>
      </c>
      <c r="BI264" s="76"/>
      <c r="BJ264" s="76" t="s">
        <v>7188</v>
      </c>
      <c r="BK264" s="76" t="b">
        <v>0</v>
      </c>
      <c r="BL264" s="76"/>
      <c r="BM264" s="76" t="s">
        <v>66</v>
      </c>
      <c r="BN264" s="76" t="s">
        <v>7190</v>
      </c>
      <c r="BO264" s="82" t="str">
        <f>HYPERLINK("https://twitter.com/brainleafit")</f>
        <v>https://twitter.com/brainleafit</v>
      </c>
      <c r="BP264" s="46"/>
      <c r="BQ264" s="46"/>
      <c r="BR264" s="46"/>
      <c r="BS264" s="46"/>
      <c r="BT264" s="46" t="s">
        <v>1792</v>
      </c>
      <c r="BU264" s="46" t="s">
        <v>1792</v>
      </c>
      <c r="BV264" s="105" t="s">
        <v>7917</v>
      </c>
      <c r="BW264" s="105" t="s">
        <v>7998</v>
      </c>
      <c r="BX264" s="105" t="s">
        <v>8148</v>
      </c>
      <c r="BY264" s="105" t="s">
        <v>8220</v>
      </c>
      <c r="BZ264" s="2"/>
    </row>
    <row r="265" spans="1:78" ht="15">
      <c r="A265" s="62" t="s">
        <v>541</v>
      </c>
      <c r="B265" s="63"/>
      <c r="C265" s="63"/>
      <c r="D265" s="64"/>
      <c r="E265" s="66"/>
      <c r="F265" s="100" t="str">
        <f>HYPERLINK("https://pbs.twimg.com/profile_images/1305042459773337600/TJng7JnK_normal.jpg")</f>
        <v>https://pbs.twimg.com/profile_images/1305042459773337600/TJng7JnK_normal.jpg</v>
      </c>
      <c r="G265" s="63"/>
      <c r="H265" s="67"/>
      <c r="I265" s="68"/>
      <c r="J265" s="68"/>
      <c r="K265" s="67" t="s">
        <v>7452</v>
      </c>
      <c r="L265" s="71"/>
      <c r="M265" s="72">
        <v>7330.4892578125</v>
      </c>
      <c r="N265" s="72">
        <v>4956.814453125</v>
      </c>
      <c r="O265" s="73"/>
      <c r="P265" s="74"/>
      <c r="Q265" s="74"/>
      <c r="R265" s="86"/>
      <c r="S265" s="46">
        <v>1</v>
      </c>
      <c r="T265" s="46">
        <v>0</v>
      </c>
      <c r="U265" s="47">
        <v>0</v>
      </c>
      <c r="V265" s="47">
        <v>0.152775</v>
      </c>
      <c r="W265" s="47">
        <v>0.005624</v>
      </c>
      <c r="X265" s="47">
        <v>0.002587</v>
      </c>
      <c r="Y265" s="47">
        <v>0</v>
      </c>
      <c r="Z265" s="47">
        <v>0</v>
      </c>
      <c r="AA265" s="69">
        <v>265</v>
      </c>
      <c r="AB265" s="69"/>
      <c r="AC265" s="70"/>
      <c r="AD265" s="76" t="s">
        <v>6125</v>
      </c>
      <c r="AE265" s="83" t="s">
        <v>6387</v>
      </c>
      <c r="AF265" s="76">
        <v>4</v>
      </c>
      <c r="AG265" s="76">
        <v>29</v>
      </c>
      <c r="AH265" s="76">
        <v>77</v>
      </c>
      <c r="AI265" s="76">
        <v>0</v>
      </c>
      <c r="AJ265" s="76">
        <v>21</v>
      </c>
      <c r="AK265" s="76">
        <v>7</v>
      </c>
      <c r="AL265" s="76" t="b">
        <v>0</v>
      </c>
      <c r="AM265" s="78">
        <v>44087.297534722224</v>
      </c>
      <c r="AN265" s="76"/>
      <c r="AO265" s="76" t="s">
        <v>6863</v>
      </c>
      <c r="AP265" s="76"/>
      <c r="AQ265" s="76"/>
      <c r="AR265" s="76"/>
      <c r="AS265" s="76"/>
      <c r="AT265" s="76"/>
      <c r="AU265" s="76"/>
      <c r="AV265" s="76"/>
      <c r="AW265" s="76"/>
      <c r="AX265" s="76" t="b">
        <v>0</v>
      </c>
      <c r="AY265" s="76"/>
      <c r="AZ265" s="76"/>
      <c r="BA265" s="76" t="b">
        <v>0</v>
      </c>
      <c r="BB265" s="76" t="b">
        <v>1</v>
      </c>
      <c r="BC265" s="76" t="b">
        <v>1</v>
      </c>
      <c r="BD265" s="76" t="b">
        <v>0</v>
      </c>
      <c r="BE265" s="76" t="b">
        <v>0</v>
      </c>
      <c r="BF265" s="76" t="b">
        <v>0</v>
      </c>
      <c r="BG265" s="76" t="b">
        <v>0</v>
      </c>
      <c r="BH265" s="76"/>
      <c r="BI265" s="76"/>
      <c r="BJ265" s="76" t="s">
        <v>7188</v>
      </c>
      <c r="BK265" s="76" t="b">
        <v>0</v>
      </c>
      <c r="BL265" s="76"/>
      <c r="BM265" s="76" t="s">
        <v>65</v>
      </c>
      <c r="BN265" s="76" t="s">
        <v>7190</v>
      </c>
      <c r="BO265" s="82" t="str">
        <f>HYPERLINK("https://twitter.com/tonycompton")</f>
        <v>https://twitter.com/tonycompton</v>
      </c>
      <c r="BP265" s="46"/>
      <c r="BQ265" s="46"/>
      <c r="BR265" s="46"/>
      <c r="BS265" s="46"/>
      <c r="BT265" s="46"/>
      <c r="BU265" s="46"/>
      <c r="BV265" s="46"/>
      <c r="BW265" s="46"/>
      <c r="BX265" s="46"/>
      <c r="BY265" s="46"/>
      <c r="BZ265" s="2"/>
    </row>
    <row r="266" spans="1:78" ht="15">
      <c r="A266" s="62" t="s">
        <v>542</v>
      </c>
      <c r="B266" s="63"/>
      <c r="C266" s="63"/>
      <c r="D266" s="64"/>
      <c r="E266" s="66"/>
      <c r="F266" s="100" t="str">
        <f>HYPERLINK("https://pbs.twimg.com/profile_images/1579924966404939804/A3Seaei0_normal.jpg")</f>
        <v>https://pbs.twimg.com/profile_images/1579924966404939804/A3Seaei0_normal.jpg</v>
      </c>
      <c r="G266" s="63"/>
      <c r="H266" s="67"/>
      <c r="I266" s="68"/>
      <c r="J266" s="68"/>
      <c r="K266" s="67" t="s">
        <v>7453</v>
      </c>
      <c r="L266" s="71"/>
      <c r="M266" s="72">
        <v>7357.12841796875</v>
      </c>
      <c r="N266" s="72">
        <v>4786.14111328125</v>
      </c>
      <c r="O266" s="73"/>
      <c r="P266" s="74"/>
      <c r="Q266" s="74"/>
      <c r="R266" s="86"/>
      <c r="S266" s="46">
        <v>1</v>
      </c>
      <c r="T266" s="46">
        <v>0</v>
      </c>
      <c r="U266" s="47">
        <v>0</v>
      </c>
      <c r="V266" s="47">
        <v>0.152775</v>
      </c>
      <c r="W266" s="47">
        <v>0.005624</v>
      </c>
      <c r="X266" s="47">
        <v>0.002587</v>
      </c>
      <c r="Y266" s="47">
        <v>0</v>
      </c>
      <c r="Z266" s="47">
        <v>0</v>
      </c>
      <c r="AA266" s="69">
        <v>266</v>
      </c>
      <c r="AB266" s="69"/>
      <c r="AC266" s="70"/>
      <c r="AD266" s="76" t="s">
        <v>6126</v>
      </c>
      <c r="AE266" s="83" t="s">
        <v>6388</v>
      </c>
      <c r="AF266" s="76">
        <v>138</v>
      </c>
      <c r="AG266" s="76">
        <v>112</v>
      </c>
      <c r="AH266" s="76">
        <v>427</v>
      </c>
      <c r="AI266" s="76">
        <v>13</v>
      </c>
      <c r="AJ266" s="76">
        <v>30</v>
      </c>
      <c r="AK266" s="76">
        <v>179</v>
      </c>
      <c r="AL266" s="76" t="b">
        <v>0</v>
      </c>
      <c r="AM266" s="78">
        <v>41542.08159722222</v>
      </c>
      <c r="AN266" s="76" t="s">
        <v>6594</v>
      </c>
      <c r="AO266" s="76" t="s">
        <v>6864</v>
      </c>
      <c r="AP266" s="82" t="str">
        <f>HYPERLINK("https://t.co/TGHRlrgf9k")</f>
        <v>https://t.co/TGHRlrgf9k</v>
      </c>
      <c r="AQ266" s="82" t="str">
        <f>HYPERLINK("http://www.plvisuals.com")</f>
        <v>http://www.plvisuals.com</v>
      </c>
      <c r="AR266" s="76" t="s">
        <v>7098</v>
      </c>
      <c r="AS266" s="82" t="str">
        <f>HYPERLINK("https://t.co/QbL1rHdAya")</f>
        <v>https://t.co/QbL1rHdAya</v>
      </c>
      <c r="AT266" s="82" t="str">
        <f>HYPERLINK("http://plvisuals.com")</f>
        <v>http://plvisuals.com</v>
      </c>
      <c r="AU266" s="76" t="s">
        <v>7098</v>
      </c>
      <c r="AV266" s="76"/>
      <c r="AW266" s="82" t="str">
        <f>HYPERLINK("https://t.co/TGHRlrgf9k")</f>
        <v>https://t.co/TGHRlrgf9k</v>
      </c>
      <c r="AX266" s="76" t="b">
        <v>0</v>
      </c>
      <c r="AY266" s="76"/>
      <c r="AZ266" s="76"/>
      <c r="BA266" s="76" t="b">
        <v>0</v>
      </c>
      <c r="BB266" s="76" t="b">
        <v>1</v>
      </c>
      <c r="BC266" s="76" t="b">
        <v>0</v>
      </c>
      <c r="BD266" s="76" t="b">
        <v>0</v>
      </c>
      <c r="BE266" s="76" t="b">
        <v>0</v>
      </c>
      <c r="BF266" s="76" t="b">
        <v>0</v>
      </c>
      <c r="BG266" s="76" t="b">
        <v>0</v>
      </c>
      <c r="BH266" s="82" t="str">
        <f>HYPERLINK("https://pbs.twimg.com/profile_banners/1902456546/1665518476")</f>
        <v>https://pbs.twimg.com/profile_banners/1902456546/1665518476</v>
      </c>
      <c r="BI266" s="76"/>
      <c r="BJ266" s="76" t="s">
        <v>7188</v>
      </c>
      <c r="BK266" s="76" t="b">
        <v>0</v>
      </c>
      <c r="BL266" s="76"/>
      <c r="BM266" s="76" t="s">
        <v>65</v>
      </c>
      <c r="BN266" s="76" t="s">
        <v>7190</v>
      </c>
      <c r="BO266" s="82" t="str">
        <f>HYPERLINK("https://twitter.com/pennylanevideos")</f>
        <v>https://twitter.com/pennylanevideos</v>
      </c>
      <c r="BP266" s="46"/>
      <c r="BQ266" s="46"/>
      <c r="BR266" s="46"/>
      <c r="BS266" s="46"/>
      <c r="BT266" s="46"/>
      <c r="BU266" s="46"/>
      <c r="BV266" s="46"/>
      <c r="BW266" s="46"/>
      <c r="BX266" s="46"/>
      <c r="BY266" s="46"/>
      <c r="BZ266" s="2"/>
    </row>
    <row r="267" spans="1:78" ht="15">
      <c r="A267" s="62" t="s">
        <v>543</v>
      </c>
      <c r="B267" s="63"/>
      <c r="C267" s="63"/>
      <c r="D267" s="64"/>
      <c r="E267" s="66"/>
      <c r="F267" s="100" t="str">
        <f>HYPERLINK("https://pbs.twimg.com/profile_images/1101562393837002752/-uus6QE__normal.jpg")</f>
        <v>https://pbs.twimg.com/profile_images/1101562393837002752/-uus6QE__normal.jpg</v>
      </c>
      <c r="G267" s="63"/>
      <c r="H267" s="67"/>
      <c r="I267" s="68"/>
      <c r="J267" s="68"/>
      <c r="K267" s="67" t="s">
        <v>7454</v>
      </c>
      <c r="L267" s="71"/>
      <c r="M267" s="72">
        <v>7383.76806640625</v>
      </c>
      <c r="N267" s="72">
        <v>4615.74462890625</v>
      </c>
      <c r="O267" s="73"/>
      <c r="P267" s="74"/>
      <c r="Q267" s="74"/>
      <c r="R267" s="86"/>
      <c r="S267" s="46">
        <v>1</v>
      </c>
      <c r="T267" s="46">
        <v>0</v>
      </c>
      <c r="U267" s="47">
        <v>0</v>
      </c>
      <c r="V267" s="47">
        <v>0.152775</v>
      </c>
      <c r="W267" s="47">
        <v>0.005624</v>
      </c>
      <c r="X267" s="47">
        <v>0.002587</v>
      </c>
      <c r="Y267" s="47">
        <v>0</v>
      </c>
      <c r="Z267" s="47">
        <v>0</v>
      </c>
      <c r="AA267" s="69">
        <v>267</v>
      </c>
      <c r="AB267" s="69"/>
      <c r="AC267" s="70"/>
      <c r="AD267" s="76" t="s">
        <v>6127</v>
      </c>
      <c r="AE267" s="83" t="s">
        <v>6389</v>
      </c>
      <c r="AF267" s="76">
        <v>2146</v>
      </c>
      <c r="AG267" s="76">
        <v>2760</v>
      </c>
      <c r="AH267" s="76">
        <v>5994</v>
      </c>
      <c r="AI267" s="76">
        <v>23</v>
      </c>
      <c r="AJ267" s="76">
        <v>3</v>
      </c>
      <c r="AK267" s="76">
        <v>0</v>
      </c>
      <c r="AL267" s="76" t="b">
        <v>0</v>
      </c>
      <c r="AM267" s="78">
        <v>42422.237025462964</v>
      </c>
      <c r="AN267" s="76" t="s">
        <v>6595</v>
      </c>
      <c r="AO267" s="76" t="s">
        <v>6865</v>
      </c>
      <c r="AP267" s="82" t="str">
        <f>HYPERLINK("https://t.co/azDCg2xTiT")</f>
        <v>https://t.co/azDCg2xTiT</v>
      </c>
      <c r="AQ267" s="82" t="str">
        <f>HYPERLINK("http://socialcheif.com")</f>
        <v>http://socialcheif.com</v>
      </c>
      <c r="AR267" s="76" t="s">
        <v>7099</v>
      </c>
      <c r="AS267" s="76"/>
      <c r="AT267" s="76"/>
      <c r="AU267" s="76"/>
      <c r="AV267" s="76"/>
      <c r="AW267" s="82" t="str">
        <f>HYPERLINK("https://t.co/azDCg2xTiT")</f>
        <v>https://t.co/azDCg2xTiT</v>
      </c>
      <c r="AX267" s="76" t="b">
        <v>0</v>
      </c>
      <c r="AY267" s="76"/>
      <c r="AZ267" s="76"/>
      <c r="BA267" s="76" t="b">
        <v>0</v>
      </c>
      <c r="BB267" s="76" t="b">
        <v>1</v>
      </c>
      <c r="BC267" s="76" t="b">
        <v>0</v>
      </c>
      <c r="BD267" s="76" t="b">
        <v>0</v>
      </c>
      <c r="BE267" s="76" t="b">
        <v>0</v>
      </c>
      <c r="BF267" s="76" t="b">
        <v>0</v>
      </c>
      <c r="BG267" s="76" t="b">
        <v>0</v>
      </c>
      <c r="BH267" s="82" t="str">
        <f>HYPERLINK("https://pbs.twimg.com/profile_banners/701642905471963136/1495526625")</f>
        <v>https://pbs.twimg.com/profile_banners/701642905471963136/1495526625</v>
      </c>
      <c r="BI267" s="76"/>
      <c r="BJ267" s="76" t="s">
        <v>7188</v>
      </c>
      <c r="BK267" s="76" t="b">
        <v>0</v>
      </c>
      <c r="BL267" s="76"/>
      <c r="BM267" s="76" t="s">
        <v>65</v>
      </c>
      <c r="BN267" s="76" t="s">
        <v>7190</v>
      </c>
      <c r="BO267" s="82" t="str">
        <f>HYPERLINK("https://twitter.com/av_tms")</f>
        <v>https://twitter.com/av_tms</v>
      </c>
      <c r="BP267" s="46"/>
      <c r="BQ267" s="46"/>
      <c r="BR267" s="46"/>
      <c r="BS267" s="46"/>
      <c r="BT267" s="46"/>
      <c r="BU267" s="46"/>
      <c r="BV267" s="46"/>
      <c r="BW267" s="46"/>
      <c r="BX267" s="46"/>
      <c r="BY267" s="46"/>
      <c r="BZ267" s="2"/>
    </row>
    <row r="268" spans="1:78" ht="15">
      <c r="A268" s="62" t="s">
        <v>363</v>
      </c>
      <c r="B268" s="63"/>
      <c r="C268" s="63"/>
      <c r="D268" s="64"/>
      <c r="E268" s="66"/>
      <c r="F268" s="100" t="str">
        <f>HYPERLINK("https://pbs.twimg.com/profile_images/590809716487430144/P25DB95e_normal.png")</f>
        <v>https://pbs.twimg.com/profile_images/590809716487430144/P25DB95e_normal.png</v>
      </c>
      <c r="G268" s="63"/>
      <c r="H268" s="67"/>
      <c r="I268" s="68"/>
      <c r="J268" s="68"/>
      <c r="K268" s="67" t="s">
        <v>7455</v>
      </c>
      <c r="L268" s="71"/>
      <c r="M268" s="72">
        <v>7410.40869140625</v>
      </c>
      <c r="N268" s="72">
        <v>4445.84521484375</v>
      </c>
      <c r="O268" s="73"/>
      <c r="P268" s="74"/>
      <c r="Q268" s="74"/>
      <c r="R268" s="86"/>
      <c r="S268" s="46">
        <v>1</v>
      </c>
      <c r="T268" s="46">
        <v>1</v>
      </c>
      <c r="U268" s="47">
        <v>0</v>
      </c>
      <c r="V268" s="47">
        <v>0</v>
      </c>
      <c r="W268" s="47">
        <v>0</v>
      </c>
      <c r="X268" s="47">
        <v>0.002882</v>
      </c>
      <c r="Y268" s="47">
        <v>0</v>
      </c>
      <c r="Z268" s="47">
        <v>0</v>
      </c>
      <c r="AA268" s="69">
        <v>268</v>
      </c>
      <c r="AB268" s="69"/>
      <c r="AC268" s="70"/>
      <c r="AD268" s="76" t="s">
        <v>6128</v>
      </c>
      <c r="AE268" s="83" t="s">
        <v>6390</v>
      </c>
      <c r="AF268" s="76">
        <v>2</v>
      </c>
      <c r="AG268" s="76">
        <v>2</v>
      </c>
      <c r="AH268" s="76">
        <v>1083</v>
      </c>
      <c r="AI268" s="76">
        <v>0</v>
      </c>
      <c r="AJ268" s="76">
        <v>0</v>
      </c>
      <c r="AK268" s="76">
        <v>10</v>
      </c>
      <c r="AL268" s="76" t="b">
        <v>0</v>
      </c>
      <c r="AM268" s="78">
        <v>42116.39518518518</v>
      </c>
      <c r="AN268" s="76" t="s">
        <v>3889</v>
      </c>
      <c r="AO268" s="76"/>
      <c r="AP268" s="82" t="str">
        <f>HYPERLINK("http://t.co/vNO037mHej")</f>
        <v>http://t.co/vNO037mHej</v>
      </c>
      <c r="AQ268" s="82" t="str">
        <f>HYPERLINK("http://jobpatrika.blogspot.in/")</f>
        <v>http://jobpatrika.blogspot.in/</v>
      </c>
      <c r="AR268" s="76" t="s">
        <v>7100</v>
      </c>
      <c r="AS268" s="76"/>
      <c r="AT268" s="76"/>
      <c r="AU268" s="76"/>
      <c r="AV268" s="76"/>
      <c r="AW268" s="82" t="str">
        <f>HYPERLINK("http://t.co/vNO037mHej")</f>
        <v>http://t.co/vNO037mHej</v>
      </c>
      <c r="AX268" s="76" t="b">
        <v>0</v>
      </c>
      <c r="AY268" s="76"/>
      <c r="AZ268" s="76"/>
      <c r="BA268" s="76" t="b">
        <v>0</v>
      </c>
      <c r="BB268" s="76" t="b">
        <v>1</v>
      </c>
      <c r="BC268" s="76" t="b">
        <v>0</v>
      </c>
      <c r="BD268" s="76" t="b">
        <v>0</v>
      </c>
      <c r="BE268" s="76" t="b">
        <v>0</v>
      </c>
      <c r="BF268" s="76" t="b">
        <v>0</v>
      </c>
      <c r="BG268" s="76" t="b">
        <v>0</v>
      </c>
      <c r="BH268" s="82" t="str">
        <f>HYPERLINK("https://pbs.twimg.com/profile_banners/3167130283/1430492364")</f>
        <v>https://pbs.twimg.com/profile_banners/3167130283/1430492364</v>
      </c>
      <c r="BI268" s="76"/>
      <c r="BJ268" s="76" t="s">
        <v>7188</v>
      </c>
      <c r="BK268" s="76" t="b">
        <v>0</v>
      </c>
      <c r="BL268" s="76"/>
      <c r="BM268" s="76" t="s">
        <v>66</v>
      </c>
      <c r="BN268" s="76" t="s">
        <v>7190</v>
      </c>
      <c r="BO268" s="82" t="str">
        <f>HYPERLINK("https://twitter.com/jobpatrika")</f>
        <v>https://twitter.com/jobpatrika</v>
      </c>
      <c r="BP268" s="46" t="s">
        <v>7656</v>
      </c>
      <c r="BQ268" s="46" t="s">
        <v>7656</v>
      </c>
      <c r="BR268" s="46" t="s">
        <v>1975</v>
      </c>
      <c r="BS268" s="46" t="s">
        <v>1975</v>
      </c>
      <c r="BT268" s="46"/>
      <c r="BU268" s="46"/>
      <c r="BV268" s="105" t="s">
        <v>7918</v>
      </c>
      <c r="BW268" s="105" t="s">
        <v>7918</v>
      </c>
      <c r="BX268" s="105" t="s">
        <v>8149</v>
      </c>
      <c r="BY268" s="105" t="s">
        <v>8149</v>
      </c>
      <c r="BZ268" s="2"/>
    </row>
    <row r="269" spans="1:78" ht="15">
      <c r="A269" s="62" t="s">
        <v>364</v>
      </c>
      <c r="B269" s="63"/>
      <c r="C269" s="63"/>
      <c r="D269" s="64"/>
      <c r="E269" s="66"/>
      <c r="F269" s="100" t="str">
        <f>HYPERLINK("https://pbs.twimg.com/profile_images/911331537433501696/YDUbiWr1_normal.jpg")</f>
        <v>https://pbs.twimg.com/profile_images/911331537433501696/YDUbiWr1_normal.jpg</v>
      </c>
      <c r="G269" s="63"/>
      <c r="H269" s="67"/>
      <c r="I269" s="68"/>
      <c r="J269" s="68"/>
      <c r="K269" s="67" t="s">
        <v>7456</v>
      </c>
      <c r="L269" s="71"/>
      <c r="M269" s="72">
        <v>7437.04833984375</v>
      </c>
      <c r="N269" s="72">
        <v>4276.6640625</v>
      </c>
      <c r="O269" s="73"/>
      <c r="P269" s="74"/>
      <c r="Q269" s="74"/>
      <c r="R269" s="86"/>
      <c r="S269" s="46">
        <v>0</v>
      </c>
      <c r="T269" s="46">
        <v>2</v>
      </c>
      <c r="U269" s="47">
        <v>0</v>
      </c>
      <c r="V269" s="47">
        <v>0.215207</v>
      </c>
      <c r="W269" s="47">
        <v>0.069854</v>
      </c>
      <c r="X269" s="47">
        <v>0.002594</v>
      </c>
      <c r="Y269" s="47">
        <v>0.5</v>
      </c>
      <c r="Z269" s="47">
        <v>0</v>
      </c>
      <c r="AA269" s="69">
        <v>269</v>
      </c>
      <c r="AB269" s="69"/>
      <c r="AC269" s="70"/>
      <c r="AD269" s="76" t="s">
        <v>6129</v>
      </c>
      <c r="AE269" s="83" t="s">
        <v>6391</v>
      </c>
      <c r="AF269" s="76">
        <v>230</v>
      </c>
      <c r="AG269" s="76">
        <v>238</v>
      </c>
      <c r="AH269" s="76">
        <v>36584</v>
      </c>
      <c r="AI269" s="76">
        <v>0</v>
      </c>
      <c r="AJ269" s="76">
        <v>2</v>
      </c>
      <c r="AK269" s="76">
        <v>34723</v>
      </c>
      <c r="AL269" s="76" t="b">
        <v>0</v>
      </c>
      <c r="AM269" s="78">
        <v>41215.19534722222</v>
      </c>
      <c r="AN269" s="76" t="s">
        <v>6464</v>
      </c>
      <c r="AO269" s="76" t="s">
        <v>6866</v>
      </c>
      <c r="AP269" s="82" t="str">
        <f>HYPERLINK("http://t.co/tw5SGYwoNW")</f>
        <v>http://t.co/tw5SGYwoNW</v>
      </c>
      <c r="AQ269" s="82" t="str">
        <f>HYPERLINK("http://www.dbmwebmarketing.com")</f>
        <v>http://www.dbmwebmarketing.com</v>
      </c>
      <c r="AR269" s="76" t="s">
        <v>7101</v>
      </c>
      <c r="AS269" s="76"/>
      <c r="AT269" s="76"/>
      <c r="AU269" s="76"/>
      <c r="AV269" s="76"/>
      <c r="AW269" s="82" t="str">
        <f>HYPERLINK("http://t.co/tw5SGYwoNW")</f>
        <v>http://t.co/tw5SGYwoNW</v>
      </c>
      <c r="AX269" s="76" t="b">
        <v>0</v>
      </c>
      <c r="AY269" s="76"/>
      <c r="AZ269" s="76"/>
      <c r="BA269" s="76" t="b">
        <v>0</v>
      </c>
      <c r="BB269" s="76" t="b">
        <v>1</v>
      </c>
      <c r="BC269" s="76" t="b">
        <v>0</v>
      </c>
      <c r="BD269" s="76" t="b">
        <v>0</v>
      </c>
      <c r="BE269" s="76" t="b">
        <v>0</v>
      </c>
      <c r="BF269" s="76" t="b">
        <v>0</v>
      </c>
      <c r="BG269" s="76" t="b">
        <v>0</v>
      </c>
      <c r="BH269" s="82" t="str">
        <f>HYPERLINK("https://pbs.twimg.com/profile_banners/920365416/1506112996")</f>
        <v>https://pbs.twimg.com/profile_banners/920365416/1506112996</v>
      </c>
      <c r="BI269" s="76"/>
      <c r="BJ269" s="76" t="s">
        <v>7188</v>
      </c>
      <c r="BK269" s="76" t="b">
        <v>0</v>
      </c>
      <c r="BL269" s="76"/>
      <c r="BM269" s="76" t="s">
        <v>66</v>
      </c>
      <c r="BN269" s="76" t="s">
        <v>7190</v>
      </c>
      <c r="BO269" s="82" t="str">
        <f>HYPERLINK("https://twitter.com/dbmwebmarketing")</f>
        <v>https://twitter.com/dbmwebmarketing</v>
      </c>
      <c r="BP269" s="46" t="s">
        <v>1957</v>
      </c>
      <c r="BQ269" s="46" t="s">
        <v>1957</v>
      </c>
      <c r="BR269" s="46" t="s">
        <v>1980</v>
      </c>
      <c r="BS269" s="46" t="s">
        <v>7718</v>
      </c>
      <c r="BT269" s="46" t="s">
        <v>1715</v>
      </c>
      <c r="BU269" s="46" t="s">
        <v>7750</v>
      </c>
      <c r="BV269" s="105" t="s">
        <v>7919</v>
      </c>
      <c r="BW269" s="105" t="s">
        <v>7919</v>
      </c>
      <c r="BX269" s="105" t="s">
        <v>8150</v>
      </c>
      <c r="BY269" s="105" t="s">
        <v>8150</v>
      </c>
      <c r="BZ269" s="2"/>
    </row>
    <row r="270" spans="1:78" ht="15">
      <c r="A270" s="62" t="s">
        <v>365</v>
      </c>
      <c r="B270" s="63"/>
      <c r="C270" s="63"/>
      <c r="D270" s="64"/>
      <c r="E270" s="66"/>
      <c r="F270" s="100" t="str">
        <f>HYPERLINK("https://pbs.twimg.com/profile_images/818840593480585216/ZT0mmvMd_normal.jpg")</f>
        <v>https://pbs.twimg.com/profile_images/818840593480585216/ZT0mmvMd_normal.jpg</v>
      </c>
      <c r="G270" s="63"/>
      <c r="H270" s="67"/>
      <c r="I270" s="68"/>
      <c r="J270" s="68"/>
      <c r="K270" s="67" t="s">
        <v>7457</v>
      </c>
      <c r="L270" s="71"/>
      <c r="M270" s="72">
        <v>7463.68798828125</v>
      </c>
      <c r="N270" s="72">
        <v>4108.41943359375</v>
      </c>
      <c r="O270" s="73"/>
      <c r="P270" s="74"/>
      <c r="Q270" s="74"/>
      <c r="R270" s="86"/>
      <c r="S270" s="46">
        <v>0</v>
      </c>
      <c r="T270" s="46">
        <v>1</v>
      </c>
      <c r="U270" s="47">
        <v>0</v>
      </c>
      <c r="V270" s="47">
        <v>0.214691</v>
      </c>
      <c r="W270" s="47">
        <v>0.062026</v>
      </c>
      <c r="X270" s="47">
        <v>0.002499</v>
      </c>
      <c r="Y270" s="47">
        <v>0</v>
      </c>
      <c r="Z270" s="47">
        <v>0</v>
      </c>
      <c r="AA270" s="69">
        <v>270</v>
      </c>
      <c r="AB270" s="69"/>
      <c r="AC270" s="70"/>
      <c r="AD270" s="76" t="s">
        <v>6130</v>
      </c>
      <c r="AE270" s="83" t="s">
        <v>5817</v>
      </c>
      <c r="AF270" s="76">
        <v>4038</v>
      </c>
      <c r="AG270" s="76">
        <v>4338</v>
      </c>
      <c r="AH270" s="76">
        <v>9772</v>
      </c>
      <c r="AI270" s="76">
        <v>62</v>
      </c>
      <c r="AJ270" s="76">
        <v>7</v>
      </c>
      <c r="AK270" s="76">
        <v>458</v>
      </c>
      <c r="AL270" s="76" t="b">
        <v>0</v>
      </c>
      <c r="AM270" s="78">
        <v>42745.1944212963</v>
      </c>
      <c r="AN270" s="76" t="s">
        <v>6596</v>
      </c>
      <c r="AO270" s="76" t="s">
        <v>6867</v>
      </c>
      <c r="AP270" s="82" t="str">
        <f>HYPERLINK("https://t.co/ScGDkJ9Goz")</f>
        <v>https://t.co/ScGDkJ9Goz</v>
      </c>
      <c r="AQ270" s="82" t="str">
        <f>HYPERLINK("http://www.geekrelief.com")</f>
        <v>http://www.geekrelief.com</v>
      </c>
      <c r="AR270" s="76" t="s">
        <v>2025</v>
      </c>
      <c r="AS270" s="76"/>
      <c r="AT270" s="76"/>
      <c r="AU270" s="76"/>
      <c r="AV270" s="76">
        <v>8.24384421767761E+17</v>
      </c>
      <c r="AW270" s="82" t="str">
        <f>HYPERLINK("https://t.co/ScGDkJ9Goz")</f>
        <v>https://t.co/ScGDkJ9Goz</v>
      </c>
      <c r="AX270" s="76" t="b">
        <v>0</v>
      </c>
      <c r="AY270" s="76"/>
      <c r="AZ270" s="76"/>
      <c r="BA270" s="76" t="b">
        <v>0</v>
      </c>
      <c r="BB270" s="76" t="b">
        <v>1</v>
      </c>
      <c r="BC270" s="76" t="b">
        <v>1</v>
      </c>
      <c r="BD270" s="76" t="b">
        <v>0</v>
      </c>
      <c r="BE270" s="76" t="b">
        <v>0</v>
      </c>
      <c r="BF270" s="76" t="b">
        <v>0</v>
      </c>
      <c r="BG270" s="76" t="b">
        <v>0</v>
      </c>
      <c r="BH270" s="82" t="str">
        <f>HYPERLINK("https://pbs.twimg.com/profile_banners/818678746643189760/1484061853")</f>
        <v>https://pbs.twimg.com/profile_banners/818678746643189760/1484061853</v>
      </c>
      <c r="BI270" s="76"/>
      <c r="BJ270" s="76" t="s">
        <v>7188</v>
      </c>
      <c r="BK270" s="76" t="b">
        <v>0</v>
      </c>
      <c r="BL270" s="76"/>
      <c r="BM270" s="76" t="s">
        <v>66</v>
      </c>
      <c r="BN270" s="76" t="s">
        <v>7190</v>
      </c>
      <c r="BO270" s="82" t="str">
        <f>HYPERLINK("https://twitter.com/getgeekrelief")</f>
        <v>https://twitter.com/getgeekrelief</v>
      </c>
      <c r="BP270" s="46" t="s">
        <v>7657</v>
      </c>
      <c r="BQ270" s="46" t="s">
        <v>7657</v>
      </c>
      <c r="BR270" s="46" t="s">
        <v>2025</v>
      </c>
      <c r="BS270" s="46" t="s">
        <v>2025</v>
      </c>
      <c r="BT270" s="46"/>
      <c r="BU270" s="46"/>
      <c r="BV270" s="105" t="s">
        <v>7920</v>
      </c>
      <c r="BW270" s="105" t="s">
        <v>7920</v>
      </c>
      <c r="BX270" s="105" t="s">
        <v>8151</v>
      </c>
      <c r="BY270" s="105" t="s">
        <v>8151</v>
      </c>
      <c r="BZ270" s="2"/>
    </row>
    <row r="271" spans="1:78" ht="15">
      <c r="A271" s="62" t="s">
        <v>544</v>
      </c>
      <c r="B271" s="63"/>
      <c r="C271" s="63"/>
      <c r="D271" s="64"/>
      <c r="E271" s="66"/>
      <c r="F271" s="100" t="str">
        <f>HYPERLINK("https://pbs.twimg.com/profile_images/1544250191695708161/2s6bHOLl_normal.jpg")</f>
        <v>https://pbs.twimg.com/profile_images/1544250191695708161/2s6bHOLl_normal.jpg</v>
      </c>
      <c r="G271" s="63"/>
      <c r="H271" s="67"/>
      <c r="I271" s="68"/>
      <c r="J271" s="68"/>
      <c r="K271" s="67" t="s">
        <v>7458</v>
      </c>
      <c r="L271" s="71"/>
      <c r="M271" s="72">
        <v>7490.32763671875</v>
      </c>
      <c r="N271" s="72">
        <v>3941.330322265625</v>
      </c>
      <c r="O271" s="73"/>
      <c r="P271" s="74"/>
      <c r="Q271" s="74"/>
      <c r="R271" s="86"/>
      <c r="S271" s="46">
        <v>2</v>
      </c>
      <c r="T271" s="46">
        <v>0</v>
      </c>
      <c r="U271" s="47">
        <v>0</v>
      </c>
      <c r="V271" s="47">
        <v>0.215207</v>
      </c>
      <c r="W271" s="47">
        <v>0.068052</v>
      </c>
      <c r="X271" s="47">
        <v>0.002702</v>
      </c>
      <c r="Y271" s="47">
        <v>0.5</v>
      </c>
      <c r="Z271" s="47">
        <v>0</v>
      </c>
      <c r="AA271" s="69">
        <v>271</v>
      </c>
      <c r="AB271" s="69"/>
      <c r="AC271" s="70"/>
      <c r="AD271" s="76" t="s">
        <v>6131</v>
      </c>
      <c r="AE271" s="83" t="s">
        <v>5766</v>
      </c>
      <c r="AF271" s="76">
        <v>200955</v>
      </c>
      <c r="AG271" s="76">
        <v>292</v>
      </c>
      <c r="AH271" s="76">
        <v>4062</v>
      </c>
      <c r="AI271" s="76">
        <v>65</v>
      </c>
      <c r="AJ271" s="76">
        <v>59382</v>
      </c>
      <c r="AK271" s="76">
        <v>2437</v>
      </c>
      <c r="AL271" s="76" t="b">
        <v>0</v>
      </c>
      <c r="AM271" s="78">
        <v>42234.711550925924</v>
      </c>
      <c r="AN271" s="76" t="s">
        <v>6457</v>
      </c>
      <c r="AO271" s="76" t="s">
        <v>6868</v>
      </c>
      <c r="AP271" s="76"/>
      <c r="AQ271" s="76"/>
      <c r="AR271" s="76"/>
      <c r="AS271" s="82" t="str">
        <f>HYPERLINK("https://t.co/u5D2MghJaD")</f>
        <v>https://t.co/u5D2MghJaD</v>
      </c>
      <c r="AT271" s="82" t="str">
        <f>HYPERLINK("http://www.rsp4all.org")</f>
        <v>http://www.rsp4all.org</v>
      </c>
      <c r="AU271" s="76" t="s">
        <v>7180</v>
      </c>
      <c r="AV271" s="76"/>
      <c r="AW271" s="76"/>
      <c r="AX271" s="76" t="b">
        <v>1</v>
      </c>
      <c r="AY271" s="76"/>
      <c r="AZ271" s="76" t="b">
        <v>1</v>
      </c>
      <c r="BA271" s="76" t="b">
        <v>0</v>
      </c>
      <c r="BB271" s="76" t="b">
        <v>1</v>
      </c>
      <c r="BC271" s="76" t="b">
        <v>1</v>
      </c>
      <c r="BD271" s="76" t="b">
        <v>0</v>
      </c>
      <c r="BE271" s="76" t="b">
        <v>0</v>
      </c>
      <c r="BF271" s="76" t="b">
        <v>0</v>
      </c>
      <c r="BG271" s="76" t="b">
        <v>0</v>
      </c>
      <c r="BH271" s="82" t="str">
        <f>HYPERLINK("https://pbs.twimg.com/profile_banners/3318942674/1690911884")</f>
        <v>https://pbs.twimg.com/profile_banners/3318942674/1690911884</v>
      </c>
      <c r="BI271" s="76"/>
      <c r="BJ271" s="76" t="s">
        <v>7188</v>
      </c>
      <c r="BK271" s="76" t="b">
        <v>1</v>
      </c>
      <c r="BL271" s="76"/>
      <c r="BM271" s="76" t="s">
        <v>65</v>
      </c>
      <c r="BN271" s="76" t="s">
        <v>7190</v>
      </c>
      <c r="BO271" s="82" t="str">
        <f>HYPERLINK("https://twitter.com/rspraveenswaero")</f>
        <v>https://twitter.com/rspraveenswaero</v>
      </c>
      <c r="BP271" s="46"/>
      <c r="BQ271" s="46"/>
      <c r="BR271" s="46"/>
      <c r="BS271" s="46"/>
      <c r="BT271" s="46"/>
      <c r="BU271" s="46"/>
      <c r="BV271" s="46"/>
      <c r="BW271" s="46"/>
      <c r="BX271" s="46"/>
      <c r="BY271" s="46"/>
      <c r="BZ271" s="2"/>
    </row>
    <row r="272" spans="1:78" ht="15">
      <c r="A272" s="62" t="s">
        <v>366</v>
      </c>
      <c r="B272" s="63"/>
      <c r="C272" s="63"/>
      <c r="D272" s="64"/>
      <c r="E272" s="66"/>
      <c r="F272" s="100" t="str">
        <f>HYPERLINK("https://pbs.twimg.com/profile_images/1681728559948374016/_t3jmHTd_normal.jpg")</f>
        <v>https://pbs.twimg.com/profile_images/1681728559948374016/_t3jmHTd_normal.jpg</v>
      </c>
      <c r="G272" s="63"/>
      <c r="H272" s="67"/>
      <c r="I272" s="68"/>
      <c r="J272" s="68"/>
      <c r="K272" s="67" t="s">
        <v>7459</v>
      </c>
      <c r="L272" s="71"/>
      <c r="M272" s="72">
        <v>7516.9677734375</v>
      </c>
      <c r="N272" s="72">
        <v>3775.612548828125</v>
      </c>
      <c r="O272" s="73"/>
      <c r="P272" s="74"/>
      <c r="Q272" s="74"/>
      <c r="R272" s="86"/>
      <c r="S272" s="46">
        <v>0</v>
      </c>
      <c r="T272" s="46">
        <v>2</v>
      </c>
      <c r="U272" s="47">
        <v>0</v>
      </c>
      <c r="V272" s="47">
        <v>0.215207</v>
      </c>
      <c r="W272" s="47">
        <v>0.068052</v>
      </c>
      <c r="X272" s="47">
        <v>0.002702</v>
      </c>
      <c r="Y272" s="47">
        <v>0.5</v>
      </c>
      <c r="Z272" s="47">
        <v>0</v>
      </c>
      <c r="AA272" s="69">
        <v>272</v>
      </c>
      <c r="AB272" s="69"/>
      <c r="AC272" s="70"/>
      <c r="AD272" s="76" t="s">
        <v>6132</v>
      </c>
      <c r="AE272" s="83" t="s">
        <v>5818</v>
      </c>
      <c r="AF272" s="76">
        <v>6564</v>
      </c>
      <c r="AG272" s="76">
        <v>306</v>
      </c>
      <c r="AH272" s="76">
        <v>10687</v>
      </c>
      <c r="AI272" s="76">
        <v>7</v>
      </c>
      <c r="AJ272" s="76">
        <v>13707</v>
      </c>
      <c r="AK272" s="76">
        <v>1084</v>
      </c>
      <c r="AL272" s="76" t="b">
        <v>0</v>
      </c>
      <c r="AM272" s="78">
        <v>44114.26694444445</v>
      </c>
      <c r="AN272" s="76"/>
      <c r="AO272" s="76" t="s">
        <v>6869</v>
      </c>
      <c r="AP272" s="76"/>
      <c r="AQ272" s="76"/>
      <c r="AR272" s="76"/>
      <c r="AS272" s="76"/>
      <c r="AT272" s="76"/>
      <c r="AU272" s="76"/>
      <c r="AV272" s="76">
        <v>1.44066199230226E+18</v>
      </c>
      <c r="AW272" s="76"/>
      <c r="AX272" s="76" t="b">
        <v>0</v>
      </c>
      <c r="AY272" s="76"/>
      <c r="AZ272" s="76"/>
      <c r="BA272" s="76" t="b">
        <v>0</v>
      </c>
      <c r="BB272" s="76" t="b">
        <v>0</v>
      </c>
      <c r="BC272" s="76" t="b">
        <v>1</v>
      </c>
      <c r="BD272" s="76" t="b">
        <v>0</v>
      </c>
      <c r="BE272" s="76" t="b">
        <v>1</v>
      </c>
      <c r="BF272" s="76" t="b">
        <v>0</v>
      </c>
      <c r="BG272" s="76" t="b">
        <v>0</v>
      </c>
      <c r="BH272" s="82" t="str">
        <f>HYPERLINK("https://pbs.twimg.com/profile_banners/1314813937666256896/1626770014")</f>
        <v>https://pbs.twimg.com/profile_banners/1314813937666256896/1626770014</v>
      </c>
      <c r="BI272" s="76"/>
      <c r="BJ272" s="76" t="s">
        <v>7188</v>
      </c>
      <c r="BK272" s="76" t="b">
        <v>0</v>
      </c>
      <c r="BL272" s="76"/>
      <c r="BM272" s="76" t="s">
        <v>66</v>
      </c>
      <c r="BN272" s="76" t="s">
        <v>7190</v>
      </c>
      <c r="BO272" s="82" t="str">
        <f>HYPERLINK("https://twitter.com/narenadarswaero")</f>
        <v>https://twitter.com/narenadarswaero</v>
      </c>
      <c r="BP272" s="46"/>
      <c r="BQ272" s="46"/>
      <c r="BR272" s="46"/>
      <c r="BS272" s="46"/>
      <c r="BT272" s="46" t="s">
        <v>7741</v>
      </c>
      <c r="BU272" s="46" t="s">
        <v>7741</v>
      </c>
      <c r="BV272" s="105" t="s">
        <v>7921</v>
      </c>
      <c r="BW272" s="105" t="s">
        <v>7999</v>
      </c>
      <c r="BX272" s="105" t="s">
        <v>8152</v>
      </c>
      <c r="BY272" s="105" t="s">
        <v>8221</v>
      </c>
      <c r="BZ272" s="2"/>
    </row>
    <row r="273" spans="1:78" ht="15">
      <c r="A273" s="62" t="s">
        <v>367</v>
      </c>
      <c r="B273" s="63"/>
      <c r="C273" s="63"/>
      <c r="D273" s="64"/>
      <c r="E273" s="66"/>
      <c r="F273" s="100" t="str">
        <f>HYPERLINK("https://pbs.twimg.com/profile_images/1722216485635108864/SnPrV8eL_normal.jpg")</f>
        <v>https://pbs.twimg.com/profile_images/1722216485635108864/SnPrV8eL_normal.jpg</v>
      </c>
      <c r="G273" s="63"/>
      <c r="H273" s="67"/>
      <c r="I273" s="68"/>
      <c r="J273" s="68"/>
      <c r="K273" s="67" t="s">
        <v>7460</v>
      </c>
      <c r="L273" s="71"/>
      <c r="M273" s="72">
        <v>7543.6083984375</v>
      </c>
      <c r="N273" s="72">
        <v>3611.48193359375</v>
      </c>
      <c r="O273" s="73"/>
      <c r="P273" s="74"/>
      <c r="Q273" s="74"/>
      <c r="R273" s="86"/>
      <c r="S273" s="46">
        <v>0</v>
      </c>
      <c r="T273" s="46">
        <v>1</v>
      </c>
      <c r="U273" s="47">
        <v>0</v>
      </c>
      <c r="V273" s="47">
        <v>0.214691</v>
      </c>
      <c r="W273" s="47">
        <v>0.062026</v>
      </c>
      <c r="X273" s="47">
        <v>0.002499</v>
      </c>
      <c r="Y273" s="47">
        <v>0</v>
      </c>
      <c r="Z273" s="47">
        <v>0</v>
      </c>
      <c r="AA273" s="69">
        <v>273</v>
      </c>
      <c r="AB273" s="69"/>
      <c r="AC273" s="70"/>
      <c r="AD273" s="76" t="s">
        <v>6133</v>
      </c>
      <c r="AE273" s="83" t="s">
        <v>6392</v>
      </c>
      <c r="AF273" s="76">
        <v>1417</v>
      </c>
      <c r="AG273" s="76">
        <v>409</v>
      </c>
      <c r="AH273" s="76">
        <v>131226</v>
      </c>
      <c r="AI273" s="76">
        <v>19</v>
      </c>
      <c r="AJ273" s="76">
        <v>15181</v>
      </c>
      <c r="AK273" s="76">
        <v>1136</v>
      </c>
      <c r="AL273" s="76" t="b">
        <v>0</v>
      </c>
      <c r="AM273" s="78">
        <v>40320.65866898148</v>
      </c>
      <c r="AN273" s="76" t="s">
        <v>6597</v>
      </c>
      <c r="AO273" s="76" t="s">
        <v>6870</v>
      </c>
      <c r="AP273" s="76"/>
      <c r="AQ273" s="76"/>
      <c r="AR273" s="76"/>
      <c r="AS273" s="76"/>
      <c r="AT273" s="76"/>
      <c r="AU273" s="76"/>
      <c r="AV273" s="76"/>
      <c r="AW273" s="76"/>
      <c r="AX273" s="76" t="b">
        <v>0</v>
      </c>
      <c r="AY273" s="76"/>
      <c r="AZ273" s="76"/>
      <c r="BA273" s="76" t="b">
        <v>1</v>
      </c>
      <c r="BB273" s="76" t="b">
        <v>1</v>
      </c>
      <c r="BC273" s="76" t="b">
        <v>0</v>
      </c>
      <c r="BD273" s="76" t="b">
        <v>0</v>
      </c>
      <c r="BE273" s="76" t="b">
        <v>1</v>
      </c>
      <c r="BF273" s="76" t="b">
        <v>0</v>
      </c>
      <c r="BG273" s="76" t="b">
        <v>0</v>
      </c>
      <c r="BH273" s="82" t="str">
        <f>HYPERLINK("https://pbs.twimg.com/profile_banners/146880482/1695567744")</f>
        <v>https://pbs.twimg.com/profile_banners/146880482/1695567744</v>
      </c>
      <c r="BI273" s="76"/>
      <c r="BJ273" s="76" t="s">
        <v>7188</v>
      </c>
      <c r="BK273" s="76" t="b">
        <v>0</v>
      </c>
      <c r="BL273" s="76"/>
      <c r="BM273" s="76" t="s">
        <v>66</v>
      </c>
      <c r="BN273" s="76" t="s">
        <v>7190</v>
      </c>
      <c r="BO273" s="82" t="str">
        <f>HYPERLINK("https://twitter.com/saitelugumovies")</f>
        <v>https://twitter.com/saitelugumovies</v>
      </c>
      <c r="BP273" s="46"/>
      <c r="BQ273" s="46"/>
      <c r="BR273" s="46"/>
      <c r="BS273" s="46"/>
      <c r="BT273" s="46" t="s">
        <v>1804</v>
      </c>
      <c r="BU273" s="46" t="s">
        <v>7767</v>
      </c>
      <c r="BV273" s="105" t="s">
        <v>7922</v>
      </c>
      <c r="BW273" s="105" t="s">
        <v>7922</v>
      </c>
      <c r="BX273" s="105" t="s">
        <v>8153</v>
      </c>
      <c r="BY273" s="105" t="s">
        <v>8153</v>
      </c>
      <c r="BZ273" s="2"/>
    </row>
    <row r="274" spans="1:78" ht="15">
      <c r="A274" s="62" t="s">
        <v>368</v>
      </c>
      <c r="B274" s="63"/>
      <c r="C274" s="63"/>
      <c r="D274" s="64"/>
      <c r="E274" s="66"/>
      <c r="F274" s="100" t="str">
        <f>HYPERLINK("https://pbs.twimg.com/profile_images/1032604083847348226/1nEcohU__normal.jpg")</f>
        <v>https://pbs.twimg.com/profile_images/1032604083847348226/1nEcohU__normal.jpg</v>
      </c>
      <c r="G274" s="63"/>
      <c r="H274" s="67"/>
      <c r="I274" s="68"/>
      <c r="J274" s="68"/>
      <c r="K274" s="67" t="s">
        <v>7461</v>
      </c>
      <c r="L274" s="71"/>
      <c r="M274" s="72">
        <v>7570.2470703125</v>
      </c>
      <c r="N274" s="72">
        <v>3449.14990234375</v>
      </c>
      <c r="O274" s="73"/>
      <c r="P274" s="74"/>
      <c r="Q274" s="74"/>
      <c r="R274" s="86"/>
      <c r="S274" s="46">
        <v>1</v>
      </c>
      <c r="T274" s="46">
        <v>1</v>
      </c>
      <c r="U274" s="47">
        <v>0</v>
      </c>
      <c r="V274" s="47">
        <v>0</v>
      </c>
      <c r="W274" s="47">
        <v>0</v>
      </c>
      <c r="X274" s="47">
        <v>0.002882</v>
      </c>
      <c r="Y274" s="47">
        <v>0</v>
      </c>
      <c r="Z274" s="47">
        <v>0</v>
      </c>
      <c r="AA274" s="69">
        <v>274</v>
      </c>
      <c r="AB274" s="69"/>
      <c r="AC274" s="70"/>
      <c r="AD274" s="76" t="s">
        <v>6134</v>
      </c>
      <c r="AE274" s="83" t="s">
        <v>6393</v>
      </c>
      <c r="AF274" s="76">
        <v>1046</v>
      </c>
      <c r="AG274" s="76">
        <v>1534</v>
      </c>
      <c r="AH274" s="76">
        <v>51762</v>
      </c>
      <c r="AI274" s="76">
        <v>2</v>
      </c>
      <c r="AJ274" s="76">
        <v>10910</v>
      </c>
      <c r="AK274" s="76">
        <v>551</v>
      </c>
      <c r="AL274" s="76" t="b">
        <v>0</v>
      </c>
      <c r="AM274" s="78">
        <v>40092.29546296296</v>
      </c>
      <c r="AN274" s="76"/>
      <c r="AO274" s="76" t="s">
        <v>6871</v>
      </c>
      <c r="AP274" s="76"/>
      <c r="AQ274" s="76"/>
      <c r="AR274" s="76"/>
      <c r="AS274" s="76"/>
      <c r="AT274" s="76"/>
      <c r="AU274" s="76"/>
      <c r="AV274" s="76"/>
      <c r="AW274" s="76"/>
      <c r="AX274" s="76" t="b">
        <v>0</v>
      </c>
      <c r="AY274" s="76"/>
      <c r="AZ274" s="76"/>
      <c r="BA274" s="76" t="b">
        <v>0</v>
      </c>
      <c r="BB274" s="76" t="b">
        <v>1</v>
      </c>
      <c r="BC274" s="76" t="b">
        <v>0</v>
      </c>
      <c r="BD274" s="76" t="b">
        <v>0</v>
      </c>
      <c r="BE274" s="76" t="b">
        <v>1</v>
      </c>
      <c r="BF274" s="76" t="b">
        <v>0</v>
      </c>
      <c r="BG274" s="76" t="b">
        <v>0</v>
      </c>
      <c r="BH274" s="82" t="str">
        <f>HYPERLINK("https://pbs.twimg.com/profile_banners/80239903/1437905008")</f>
        <v>https://pbs.twimg.com/profile_banners/80239903/1437905008</v>
      </c>
      <c r="BI274" s="76"/>
      <c r="BJ274" s="76" t="s">
        <v>7188</v>
      </c>
      <c r="BK274" s="76" t="b">
        <v>0</v>
      </c>
      <c r="BL274" s="76"/>
      <c r="BM274" s="76" t="s">
        <v>66</v>
      </c>
      <c r="BN274" s="76" t="s">
        <v>7190</v>
      </c>
      <c r="BO274" s="82" t="str">
        <f>HYPERLINK("https://twitter.com/thaz32")</f>
        <v>https://twitter.com/thaz32</v>
      </c>
      <c r="BP274" s="46"/>
      <c r="BQ274" s="46"/>
      <c r="BR274" s="46"/>
      <c r="BS274" s="46"/>
      <c r="BT274" s="46"/>
      <c r="BU274" s="46"/>
      <c r="BV274" s="105" t="s">
        <v>7923</v>
      </c>
      <c r="BW274" s="105" t="s">
        <v>7923</v>
      </c>
      <c r="BX274" s="105" t="s">
        <v>8154</v>
      </c>
      <c r="BY274" s="105" t="s">
        <v>8154</v>
      </c>
      <c r="BZ274" s="2"/>
    </row>
    <row r="275" spans="1:78" ht="15">
      <c r="A275" s="62" t="s">
        <v>370</v>
      </c>
      <c r="B275" s="63"/>
      <c r="C275" s="63"/>
      <c r="D275" s="64"/>
      <c r="E275" s="66"/>
      <c r="F275" s="100" t="str">
        <f>HYPERLINK("https://pbs.twimg.com/profile_images/932576222298509312/xDIyhVn3_normal.jpg")</f>
        <v>https://pbs.twimg.com/profile_images/932576222298509312/xDIyhVn3_normal.jpg</v>
      </c>
      <c r="G275" s="63"/>
      <c r="H275" s="67"/>
      <c r="I275" s="68"/>
      <c r="J275" s="68"/>
      <c r="K275" s="67" t="s">
        <v>7462</v>
      </c>
      <c r="L275" s="71"/>
      <c r="M275" s="72">
        <v>7596.88720703125</v>
      </c>
      <c r="N275" s="72">
        <v>3288.828125</v>
      </c>
      <c r="O275" s="73"/>
      <c r="P275" s="74"/>
      <c r="Q275" s="74"/>
      <c r="R275" s="86"/>
      <c r="S275" s="46">
        <v>0</v>
      </c>
      <c r="T275" s="46">
        <v>2</v>
      </c>
      <c r="U275" s="47">
        <v>0</v>
      </c>
      <c r="V275" s="47">
        <v>0.215207</v>
      </c>
      <c r="W275" s="47">
        <v>0.069854</v>
      </c>
      <c r="X275" s="47">
        <v>0.002594</v>
      </c>
      <c r="Y275" s="47">
        <v>0.5</v>
      </c>
      <c r="Z275" s="47">
        <v>0</v>
      </c>
      <c r="AA275" s="69">
        <v>275</v>
      </c>
      <c r="AB275" s="69"/>
      <c r="AC275" s="70"/>
      <c r="AD275" s="76" t="s">
        <v>6135</v>
      </c>
      <c r="AE275" s="83" t="s">
        <v>5820</v>
      </c>
      <c r="AF275" s="76">
        <v>17</v>
      </c>
      <c r="AG275" s="76">
        <v>3</v>
      </c>
      <c r="AH275" s="76">
        <v>1762</v>
      </c>
      <c r="AI275" s="76">
        <v>0</v>
      </c>
      <c r="AJ275" s="76">
        <v>0</v>
      </c>
      <c r="AK275" s="76">
        <v>1714</v>
      </c>
      <c r="AL275" s="76" t="b">
        <v>0</v>
      </c>
      <c r="AM275" s="78">
        <v>43059.46440972222</v>
      </c>
      <c r="AN275" s="76" t="s">
        <v>6551</v>
      </c>
      <c r="AO275" s="76" t="s">
        <v>6872</v>
      </c>
      <c r="AP275" s="82" t="str">
        <f>HYPERLINK("https://t.co/bHvzBLoEjn")</f>
        <v>https://t.co/bHvzBLoEjn</v>
      </c>
      <c r="AQ275" s="82" t="str">
        <f>HYPERLINK("https://sites.google.com/site/seoserviceslky/")</f>
        <v>https://sites.google.com/site/seoserviceslky/</v>
      </c>
      <c r="AR275" s="76" t="s">
        <v>7102</v>
      </c>
      <c r="AS275" s="76"/>
      <c r="AT275" s="76"/>
      <c r="AU275" s="76"/>
      <c r="AV275" s="76"/>
      <c r="AW275" s="82" t="str">
        <f>HYPERLINK("https://t.co/bHvzBLoEjn")</f>
        <v>https://t.co/bHvzBLoEjn</v>
      </c>
      <c r="AX275" s="76" t="b">
        <v>0</v>
      </c>
      <c r="AY275" s="76"/>
      <c r="AZ275" s="76"/>
      <c r="BA275" s="76" t="b">
        <v>0</v>
      </c>
      <c r="BB275" s="76" t="b">
        <v>1</v>
      </c>
      <c r="BC275" s="76" t="b">
        <v>0</v>
      </c>
      <c r="BD275" s="76" t="b">
        <v>0</v>
      </c>
      <c r="BE275" s="76" t="b">
        <v>0</v>
      </c>
      <c r="BF275" s="76" t="b">
        <v>0</v>
      </c>
      <c r="BG275" s="76" t="b">
        <v>0</v>
      </c>
      <c r="BH275" s="82" t="str">
        <f>HYPERLINK("https://pbs.twimg.com/profile_banners/932566379030462464/1511178516")</f>
        <v>https://pbs.twimg.com/profile_banners/932566379030462464/1511178516</v>
      </c>
      <c r="BI275" s="76"/>
      <c r="BJ275" s="76" t="s">
        <v>7188</v>
      </c>
      <c r="BK275" s="76" t="b">
        <v>0</v>
      </c>
      <c r="BL275" s="76"/>
      <c r="BM275" s="76" t="s">
        <v>66</v>
      </c>
      <c r="BN275" s="76" t="s">
        <v>7190</v>
      </c>
      <c r="BO275" s="82" t="str">
        <f>HYPERLINK("https://twitter.com/jameslbrower2")</f>
        <v>https://twitter.com/jameslbrower2</v>
      </c>
      <c r="BP275" s="46" t="s">
        <v>1957</v>
      </c>
      <c r="BQ275" s="46" t="s">
        <v>1957</v>
      </c>
      <c r="BR275" s="46" t="s">
        <v>1980</v>
      </c>
      <c r="BS275" s="46" t="s">
        <v>7718</v>
      </c>
      <c r="BT275" s="46" t="s">
        <v>1715</v>
      </c>
      <c r="BU275" s="46" t="s">
        <v>7750</v>
      </c>
      <c r="BV275" s="105" t="s">
        <v>7924</v>
      </c>
      <c r="BW275" s="105" t="s">
        <v>7924</v>
      </c>
      <c r="BX275" s="105" t="s">
        <v>8155</v>
      </c>
      <c r="BY275" s="105" t="s">
        <v>8155</v>
      </c>
      <c r="BZ275" s="2"/>
    </row>
    <row r="276" spans="1:78" ht="15">
      <c r="A276" s="62" t="s">
        <v>371</v>
      </c>
      <c r="B276" s="63"/>
      <c r="C276" s="63"/>
      <c r="D276" s="64"/>
      <c r="E276" s="66"/>
      <c r="F276" s="100" t="str">
        <f>HYPERLINK("https://pbs.twimg.com/profile_images/1629269134398697473/dKF6UXFP_normal.jpg")</f>
        <v>https://pbs.twimg.com/profile_images/1629269134398697473/dKF6UXFP_normal.jpg</v>
      </c>
      <c r="G276" s="63"/>
      <c r="H276" s="67"/>
      <c r="I276" s="68"/>
      <c r="J276" s="68"/>
      <c r="K276" s="67" t="s">
        <v>7463</v>
      </c>
      <c r="L276" s="71"/>
      <c r="M276" s="72">
        <v>7623.52783203125</v>
      </c>
      <c r="N276" s="72">
        <v>3130.724365234375</v>
      </c>
      <c r="O276" s="73"/>
      <c r="P276" s="74"/>
      <c r="Q276" s="74"/>
      <c r="R276" s="86"/>
      <c r="S276" s="46">
        <v>1</v>
      </c>
      <c r="T276" s="46">
        <v>1</v>
      </c>
      <c r="U276" s="47">
        <v>0</v>
      </c>
      <c r="V276" s="47">
        <v>0</v>
      </c>
      <c r="W276" s="47">
        <v>0</v>
      </c>
      <c r="X276" s="47">
        <v>0.002882</v>
      </c>
      <c r="Y276" s="47">
        <v>0</v>
      </c>
      <c r="Z276" s="47">
        <v>0</v>
      </c>
      <c r="AA276" s="69">
        <v>276</v>
      </c>
      <c r="AB276" s="69"/>
      <c r="AC276" s="70"/>
      <c r="AD276" s="76" t="s">
        <v>6136</v>
      </c>
      <c r="AE276" s="83" t="s">
        <v>5821</v>
      </c>
      <c r="AF276" s="76">
        <v>170</v>
      </c>
      <c r="AG276" s="76">
        <v>484</v>
      </c>
      <c r="AH276" s="76">
        <v>143</v>
      </c>
      <c r="AI276" s="76">
        <v>0</v>
      </c>
      <c r="AJ276" s="76">
        <v>914</v>
      </c>
      <c r="AK276" s="76">
        <v>51</v>
      </c>
      <c r="AL276" s="76" t="b">
        <v>0</v>
      </c>
      <c r="AM276" s="78">
        <v>44718.87453703704</v>
      </c>
      <c r="AN276" s="76"/>
      <c r="AO276" s="76" t="s">
        <v>6873</v>
      </c>
      <c r="AP276" s="76"/>
      <c r="AQ276" s="76"/>
      <c r="AR276" s="76"/>
      <c r="AS276" s="76"/>
      <c r="AT276" s="76"/>
      <c r="AU276" s="76"/>
      <c r="AV276" s="76"/>
      <c r="AW276" s="76"/>
      <c r="AX276" s="76" t="b">
        <v>0</v>
      </c>
      <c r="AY276" s="76"/>
      <c r="AZ276" s="76"/>
      <c r="BA276" s="76" t="b">
        <v>1</v>
      </c>
      <c r="BB276" s="76" t="b">
        <v>1</v>
      </c>
      <c r="BC276" s="76" t="b">
        <v>1</v>
      </c>
      <c r="BD276" s="76" t="b">
        <v>0</v>
      </c>
      <c r="BE276" s="76" t="b">
        <v>0</v>
      </c>
      <c r="BF276" s="76" t="b">
        <v>0</v>
      </c>
      <c r="BG276" s="76" t="b">
        <v>0</v>
      </c>
      <c r="BH276" s="82" t="str">
        <f>HYPERLINK("https://pbs.twimg.com/profile_banners/1533916375558782977/1655245317")</f>
        <v>https://pbs.twimg.com/profile_banners/1533916375558782977/1655245317</v>
      </c>
      <c r="BI276" s="76"/>
      <c r="BJ276" s="76" t="s">
        <v>7188</v>
      </c>
      <c r="BK276" s="76" t="b">
        <v>0</v>
      </c>
      <c r="BL276" s="76"/>
      <c r="BM276" s="76" t="s">
        <v>66</v>
      </c>
      <c r="BN276" s="76" t="s">
        <v>7190</v>
      </c>
      <c r="BO276" s="82" t="str">
        <f>HYPERLINK("https://twitter.com/filycamara681")</f>
        <v>https://twitter.com/filycamara681</v>
      </c>
      <c r="BP276" s="46"/>
      <c r="BQ276" s="46"/>
      <c r="BR276" s="46"/>
      <c r="BS276" s="46"/>
      <c r="BT276" s="46"/>
      <c r="BU276" s="46"/>
      <c r="BV276" s="105" t="s">
        <v>7925</v>
      </c>
      <c r="BW276" s="105" t="s">
        <v>7925</v>
      </c>
      <c r="BX276" s="105" t="s">
        <v>8156</v>
      </c>
      <c r="BY276" s="105" t="s">
        <v>8156</v>
      </c>
      <c r="BZ276" s="2"/>
    </row>
    <row r="277" spans="1:78" ht="15">
      <c r="A277" s="62" t="s">
        <v>372</v>
      </c>
      <c r="B277" s="63"/>
      <c r="C277" s="63"/>
      <c r="D277" s="64"/>
      <c r="E277" s="66"/>
      <c r="F277" s="100" t="str">
        <f>HYPERLINK("https://pbs.twimg.com/profile_images/748620904767315972/p-YTrHc4_normal.jpg")</f>
        <v>https://pbs.twimg.com/profile_images/748620904767315972/p-YTrHc4_normal.jpg</v>
      </c>
      <c r="G277" s="63"/>
      <c r="H277" s="67"/>
      <c r="I277" s="68"/>
      <c r="J277" s="68"/>
      <c r="K277" s="67" t="s">
        <v>7464</v>
      </c>
      <c r="L277" s="71"/>
      <c r="M277" s="72">
        <v>7650.16748046875</v>
      </c>
      <c r="N277" s="72">
        <v>2975.042724609375</v>
      </c>
      <c r="O277" s="73"/>
      <c r="P277" s="74"/>
      <c r="Q277" s="74"/>
      <c r="R277" s="86"/>
      <c r="S277" s="46">
        <v>0</v>
      </c>
      <c r="T277" s="46">
        <v>1</v>
      </c>
      <c r="U277" s="47">
        <v>0</v>
      </c>
      <c r="V277" s="47">
        <v>0.214691</v>
      </c>
      <c r="W277" s="47">
        <v>0.062026</v>
      </c>
      <c r="X277" s="47">
        <v>0.002499</v>
      </c>
      <c r="Y277" s="47">
        <v>0</v>
      </c>
      <c r="Z277" s="47">
        <v>0</v>
      </c>
      <c r="AA277" s="69">
        <v>277</v>
      </c>
      <c r="AB277" s="69"/>
      <c r="AC277" s="70"/>
      <c r="AD277" s="76" t="s">
        <v>2735</v>
      </c>
      <c r="AE277" s="83" t="s">
        <v>5822</v>
      </c>
      <c r="AF277" s="76">
        <v>1571</v>
      </c>
      <c r="AG277" s="76">
        <v>4432</v>
      </c>
      <c r="AH277" s="76">
        <v>4730</v>
      </c>
      <c r="AI277" s="76">
        <v>60</v>
      </c>
      <c r="AJ277" s="76">
        <v>39</v>
      </c>
      <c r="AK277" s="76">
        <v>1097</v>
      </c>
      <c r="AL277" s="76" t="b">
        <v>0</v>
      </c>
      <c r="AM277" s="78">
        <v>42545.806493055556</v>
      </c>
      <c r="AN277" s="76"/>
      <c r="AO277" s="76" t="s">
        <v>6874</v>
      </c>
      <c r="AP277" s="82" t="str">
        <f>HYPERLINK("https://t.co/wMZIOpxsp6")</f>
        <v>https://t.co/wMZIOpxsp6</v>
      </c>
      <c r="AQ277" s="82" t="str">
        <f>HYPERLINK("https://www.mynetcomms.com")</f>
        <v>https://www.mynetcomms.com</v>
      </c>
      <c r="AR277" s="76" t="s">
        <v>2026</v>
      </c>
      <c r="AS277" s="76"/>
      <c r="AT277" s="76"/>
      <c r="AU277" s="76"/>
      <c r="AV277" s="76"/>
      <c r="AW277" s="82" t="str">
        <f>HYPERLINK("https://t.co/wMZIOpxsp6")</f>
        <v>https://t.co/wMZIOpxsp6</v>
      </c>
      <c r="AX277" s="76" t="b">
        <v>0</v>
      </c>
      <c r="AY277" s="76"/>
      <c r="AZ277" s="76"/>
      <c r="BA277" s="76" t="b">
        <v>1</v>
      </c>
      <c r="BB277" s="76" t="b">
        <v>1</v>
      </c>
      <c r="BC277" s="76" t="b">
        <v>0</v>
      </c>
      <c r="BD277" s="76" t="b">
        <v>0</v>
      </c>
      <c r="BE277" s="76" t="b">
        <v>0</v>
      </c>
      <c r="BF277" s="76" t="b">
        <v>0</v>
      </c>
      <c r="BG277" s="76" t="b">
        <v>0</v>
      </c>
      <c r="BH277" s="82" t="str">
        <f>HYPERLINK("https://pbs.twimg.com/profile_banners/746422979609780224/1466971387")</f>
        <v>https://pbs.twimg.com/profile_banners/746422979609780224/1466971387</v>
      </c>
      <c r="BI277" s="76"/>
      <c r="BJ277" s="76" t="s">
        <v>7188</v>
      </c>
      <c r="BK277" s="76" t="b">
        <v>0</v>
      </c>
      <c r="BL277" s="76"/>
      <c r="BM277" s="76" t="s">
        <v>66</v>
      </c>
      <c r="BN277" s="76" t="s">
        <v>7190</v>
      </c>
      <c r="BO277" s="82" t="str">
        <f>HYPERLINK("https://twitter.com/net_comms")</f>
        <v>https://twitter.com/net_comms</v>
      </c>
      <c r="BP277" s="46" t="s">
        <v>7658</v>
      </c>
      <c r="BQ277" s="46" t="s">
        <v>7658</v>
      </c>
      <c r="BR277" s="46" t="s">
        <v>2026</v>
      </c>
      <c r="BS277" s="46" t="s">
        <v>2026</v>
      </c>
      <c r="BT277" s="46"/>
      <c r="BU277" s="46"/>
      <c r="BV277" s="105" t="s">
        <v>7926</v>
      </c>
      <c r="BW277" s="105" t="s">
        <v>7926</v>
      </c>
      <c r="BX277" s="105" t="s">
        <v>8157</v>
      </c>
      <c r="BY277" s="105" t="s">
        <v>8157</v>
      </c>
      <c r="BZ277" s="2"/>
    </row>
    <row r="278" spans="1:78" ht="15">
      <c r="A278" s="62" t="s">
        <v>373</v>
      </c>
      <c r="B278" s="63"/>
      <c r="C278" s="63"/>
      <c r="D278" s="64"/>
      <c r="E278" s="66"/>
      <c r="F278" s="100" t="str">
        <f>HYPERLINK("https://pbs.twimg.com/profile_images/1703406086269644800/jvdMyk9f_normal.jpg")</f>
        <v>https://pbs.twimg.com/profile_images/1703406086269644800/jvdMyk9f_normal.jpg</v>
      </c>
      <c r="G278" s="63"/>
      <c r="H278" s="67"/>
      <c r="I278" s="68"/>
      <c r="J278" s="68"/>
      <c r="K278" s="67" t="s">
        <v>7465</v>
      </c>
      <c r="L278" s="71"/>
      <c r="M278" s="72">
        <v>7676.80712890625</v>
      </c>
      <c r="N278" s="72">
        <v>2821.9853515625</v>
      </c>
      <c r="O278" s="73"/>
      <c r="P278" s="74"/>
      <c r="Q278" s="74"/>
      <c r="R278" s="86"/>
      <c r="S278" s="46">
        <v>0</v>
      </c>
      <c r="T278" s="46">
        <v>7</v>
      </c>
      <c r="U278" s="47">
        <v>1897</v>
      </c>
      <c r="V278" s="47">
        <v>0.221052</v>
      </c>
      <c r="W278" s="47">
        <v>0.065615</v>
      </c>
      <c r="X278" s="47">
        <v>0.004611</v>
      </c>
      <c r="Y278" s="47">
        <v>0</v>
      </c>
      <c r="Z278" s="47">
        <v>0</v>
      </c>
      <c r="AA278" s="69">
        <v>278</v>
      </c>
      <c r="AB278" s="69"/>
      <c r="AC278" s="70"/>
      <c r="AD278" s="76" t="s">
        <v>6137</v>
      </c>
      <c r="AE278" s="83" t="s">
        <v>5823</v>
      </c>
      <c r="AF278" s="76">
        <v>199</v>
      </c>
      <c r="AG278" s="76">
        <v>192</v>
      </c>
      <c r="AH278" s="76">
        <v>8202</v>
      </c>
      <c r="AI278" s="76">
        <v>0</v>
      </c>
      <c r="AJ278" s="76">
        <v>4767</v>
      </c>
      <c r="AK278" s="76">
        <v>7</v>
      </c>
      <c r="AL278" s="76" t="b">
        <v>0</v>
      </c>
      <c r="AM278" s="78">
        <v>43921.71074074074</v>
      </c>
      <c r="AN278" s="76" t="s">
        <v>6598</v>
      </c>
      <c r="AO278" s="76" t="s">
        <v>6875</v>
      </c>
      <c r="AP278" s="76"/>
      <c r="AQ278" s="76"/>
      <c r="AR278" s="76"/>
      <c r="AS278" s="76"/>
      <c r="AT278" s="76"/>
      <c r="AU278" s="76"/>
      <c r="AV278" s="76">
        <v>1.63165726809249E+18</v>
      </c>
      <c r="AW278" s="76"/>
      <c r="AX278" s="76" t="b">
        <v>0</v>
      </c>
      <c r="AY278" s="76"/>
      <c r="AZ278" s="76"/>
      <c r="BA278" s="76" t="b">
        <v>0</v>
      </c>
      <c r="BB278" s="76" t="b">
        <v>1</v>
      </c>
      <c r="BC278" s="76" t="b">
        <v>1</v>
      </c>
      <c r="BD278" s="76" t="b">
        <v>0</v>
      </c>
      <c r="BE278" s="76" t="b">
        <v>1</v>
      </c>
      <c r="BF278" s="76" t="b">
        <v>0</v>
      </c>
      <c r="BG278" s="76" t="b">
        <v>0</v>
      </c>
      <c r="BH278" s="82" t="str">
        <f>HYPERLINK("https://pbs.twimg.com/profile_banners/1245033866974429184/1651035333")</f>
        <v>https://pbs.twimg.com/profile_banners/1245033866974429184/1651035333</v>
      </c>
      <c r="BI278" s="76"/>
      <c r="BJ278" s="76" t="s">
        <v>7188</v>
      </c>
      <c r="BK278" s="76" t="b">
        <v>0</v>
      </c>
      <c r="BL278" s="76"/>
      <c r="BM278" s="76" t="s">
        <v>66</v>
      </c>
      <c r="BN278" s="76" t="s">
        <v>7190</v>
      </c>
      <c r="BO278" s="82" t="str">
        <f>HYPERLINK("https://twitter.com/garcias_jmichel")</f>
        <v>https://twitter.com/garcias_jmichel</v>
      </c>
      <c r="BP278" s="46"/>
      <c r="BQ278" s="46"/>
      <c r="BR278" s="46"/>
      <c r="BS278" s="46"/>
      <c r="BT278" s="46"/>
      <c r="BU278" s="46"/>
      <c r="BV278" s="105" t="s">
        <v>7927</v>
      </c>
      <c r="BW278" s="105" t="s">
        <v>7927</v>
      </c>
      <c r="BX278" s="105" t="s">
        <v>8158</v>
      </c>
      <c r="BY278" s="105" t="s">
        <v>8158</v>
      </c>
      <c r="BZ278" s="2"/>
    </row>
    <row r="279" spans="1:78" ht="15">
      <c r="A279" s="62" t="s">
        <v>545</v>
      </c>
      <c r="B279" s="63"/>
      <c r="C279" s="63"/>
      <c r="D279" s="64"/>
      <c r="E279" s="66"/>
      <c r="F279" s="100" t="str">
        <f>HYPERLINK("https://pbs.twimg.com/profile_images/1082750409758846976/SmYDBeDq_normal.jpg")</f>
        <v>https://pbs.twimg.com/profile_images/1082750409758846976/SmYDBeDq_normal.jpg</v>
      </c>
      <c r="G279" s="63"/>
      <c r="H279" s="67"/>
      <c r="I279" s="68"/>
      <c r="J279" s="68"/>
      <c r="K279" s="67" t="s">
        <v>7466</v>
      </c>
      <c r="L279" s="71"/>
      <c r="M279" s="72">
        <v>7703.447265625</v>
      </c>
      <c r="N279" s="72">
        <v>2671.7509765625</v>
      </c>
      <c r="O279" s="73"/>
      <c r="P279" s="74"/>
      <c r="Q279" s="74"/>
      <c r="R279" s="86"/>
      <c r="S279" s="46">
        <v>1</v>
      </c>
      <c r="T279" s="46">
        <v>0</v>
      </c>
      <c r="U279" s="47">
        <v>0</v>
      </c>
      <c r="V279" s="47">
        <v>0.154355</v>
      </c>
      <c r="W279" s="47">
        <v>0.00581</v>
      </c>
      <c r="X279" s="47">
        <v>0.002548</v>
      </c>
      <c r="Y279" s="47">
        <v>0</v>
      </c>
      <c r="Z279" s="47">
        <v>0</v>
      </c>
      <c r="AA279" s="69">
        <v>279</v>
      </c>
      <c r="AB279" s="69"/>
      <c r="AC279" s="70"/>
      <c r="AD279" s="76" t="s">
        <v>6138</v>
      </c>
      <c r="AE279" s="83" t="s">
        <v>6394</v>
      </c>
      <c r="AF279" s="76">
        <v>1585</v>
      </c>
      <c r="AG279" s="76">
        <v>1574</v>
      </c>
      <c r="AH279" s="76">
        <v>2187</v>
      </c>
      <c r="AI279" s="76">
        <v>32</v>
      </c>
      <c r="AJ279" s="76">
        <v>181</v>
      </c>
      <c r="AK279" s="76">
        <v>655</v>
      </c>
      <c r="AL279" s="76" t="b">
        <v>0</v>
      </c>
      <c r="AM279" s="78">
        <v>40591.94167824074</v>
      </c>
      <c r="AN279" s="76"/>
      <c r="AO279" s="76" t="s">
        <v>6876</v>
      </c>
      <c r="AP279" s="82" t="str">
        <f>HYPERLINK("https://t.co/tJtiPy14S2")</f>
        <v>https://t.co/tJtiPy14S2</v>
      </c>
      <c r="AQ279" s="82" t="str">
        <f>HYPERLINK("http://www.eag.com")</f>
        <v>http://www.eag.com</v>
      </c>
      <c r="AR279" s="76" t="s">
        <v>7103</v>
      </c>
      <c r="AS279" s="76"/>
      <c r="AT279" s="76"/>
      <c r="AU279" s="76"/>
      <c r="AV279" s="76"/>
      <c r="AW279" s="82" t="str">
        <f>HYPERLINK("https://t.co/tJtiPy14S2")</f>
        <v>https://t.co/tJtiPy14S2</v>
      </c>
      <c r="AX279" s="76" t="b">
        <v>0</v>
      </c>
      <c r="AY279" s="76"/>
      <c r="AZ279" s="76"/>
      <c r="BA279" s="76" t="b">
        <v>0</v>
      </c>
      <c r="BB279" s="76" t="b">
        <v>1</v>
      </c>
      <c r="BC279" s="76" t="b">
        <v>0</v>
      </c>
      <c r="BD279" s="76" t="b">
        <v>0</v>
      </c>
      <c r="BE279" s="76" t="b">
        <v>0</v>
      </c>
      <c r="BF279" s="76" t="b">
        <v>0</v>
      </c>
      <c r="BG279" s="76" t="b">
        <v>0</v>
      </c>
      <c r="BH279" s="82" t="str">
        <f>HYPERLINK("https://pbs.twimg.com/profile_banners/253761297/1624919234")</f>
        <v>https://pbs.twimg.com/profile_banners/253761297/1624919234</v>
      </c>
      <c r="BI279" s="76"/>
      <c r="BJ279" s="76" t="s">
        <v>7188</v>
      </c>
      <c r="BK279" s="76" t="b">
        <v>0</v>
      </c>
      <c r="BL279" s="76"/>
      <c r="BM279" s="76" t="s">
        <v>65</v>
      </c>
      <c r="BN279" s="76" t="s">
        <v>7190</v>
      </c>
      <c r="BO279" s="82" t="str">
        <f>HYPERLINK("https://twitter.com/eaglaboratories")</f>
        <v>https://twitter.com/eaglaboratories</v>
      </c>
      <c r="BP279" s="46"/>
      <c r="BQ279" s="46"/>
      <c r="BR279" s="46"/>
      <c r="BS279" s="46"/>
      <c r="BT279" s="46"/>
      <c r="BU279" s="46"/>
      <c r="BV279" s="46"/>
      <c r="BW279" s="46"/>
      <c r="BX279" s="46"/>
      <c r="BY279" s="46"/>
      <c r="BZ279" s="2"/>
    </row>
    <row r="280" spans="1:78" ht="15">
      <c r="A280" s="62" t="s">
        <v>546</v>
      </c>
      <c r="B280" s="63"/>
      <c r="C280" s="63"/>
      <c r="D280" s="64"/>
      <c r="E280" s="66"/>
      <c r="F280" s="100" t="str">
        <f>HYPERLINK("https://pbs.twimg.com/profile_images/1585956092366004225/g_p9s50h_normal.png")</f>
        <v>https://pbs.twimg.com/profile_images/1585956092366004225/g_p9s50h_normal.png</v>
      </c>
      <c r="G280" s="63"/>
      <c r="H280" s="67"/>
      <c r="I280" s="68"/>
      <c r="J280" s="68"/>
      <c r="K280" s="67" t="s">
        <v>7467</v>
      </c>
      <c r="L280" s="71"/>
      <c r="M280" s="72">
        <v>7730.0869140625</v>
      </c>
      <c r="N280" s="72">
        <v>2524.534423828125</v>
      </c>
      <c r="O280" s="73"/>
      <c r="P280" s="74"/>
      <c r="Q280" s="74"/>
      <c r="R280" s="86"/>
      <c r="S280" s="46">
        <v>1</v>
      </c>
      <c r="T280" s="46">
        <v>0</v>
      </c>
      <c r="U280" s="47">
        <v>0</v>
      </c>
      <c r="V280" s="47">
        <v>0.154355</v>
      </c>
      <c r="W280" s="47">
        <v>0.00581</v>
      </c>
      <c r="X280" s="47">
        <v>0.002548</v>
      </c>
      <c r="Y280" s="47">
        <v>0</v>
      </c>
      <c r="Z280" s="47">
        <v>0</v>
      </c>
      <c r="AA280" s="69">
        <v>280</v>
      </c>
      <c r="AB280" s="69"/>
      <c r="AC280" s="70"/>
      <c r="AD280" s="76" t="s">
        <v>6139</v>
      </c>
      <c r="AE280" s="83" t="s">
        <v>6395</v>
      </c>
      <c r="AF280" s="76">
        <v>27</v>
      </c>
      <c r="AG280" s="76">
        <v>25</v>
      </c>
      <c r="AH280" s="76">
        <v>56</v>
      </c>
      <c r="AI280" s="76">
        <v>0</v>
      </c>
      <c r="AJ280" s="76">
        <v>0</v>
      </c>
      <c r="AK280" s="76">
        <v>53</v>
      </c>
      <c r="AL280" s="76" t="b">
        <v>0</v>
      </c>
      <c r="AM280" s="78">
        <v>44862.47652777778</v>
      </c>
      <c r="AN280" s="76"/>
      <c r="AO280" s="76" t="s">
        <v>6877</v>
      </c>
      <c r="AP280" s="82" t="str">
        <f>HYPERLINK("https://t.co/Bt6L9ll7Zb")</f>
        <v>https://t.co/Bt6L9ll7Zb</v>
      </c>
      <c r="AQ280" s="82" t="str">
        <f>HYPERLINK("https://www.cerballiance.fr/fr")</f>
        <v>https://www.cerballiance.fr/fr</v>
      </c>
      <c r="AR280" s="76" t="s">
        <v>7104</v>
      </c>
      <c r="AS280" s="76"/>
      <c r="AT280" s="76"/>
      <c r="AU280" s="76"/>
      <c r="AV280" s="76"/>
      <c r="AW280" s="82" t="str">
        <f>HYPERLINK("https://t.co/Bt6L9ll7Zb")</f>
        <v>https://t.co/Bt6L9ll7Zb</v>
      </c>
      <c r="AX280" s="76" t="b">
        <v>0</v>
      </c>
      <c r="AY280" s="76"/>
      <c r="AZ280" s="76"/>
      <c r="BA280" s="76" t="b">
        <v>0</v>
      </c>
      <c r="BB280" s="76" t="b">
        <v>1</v>
      </c>
      <c r="BC280" s="76" t="b">
        <v>1</v>
      </c>
      <c r="BD280" s="76" t="b">
        <v>0</v>
      </c>
      <c r="BE280" s="76" t="b">
        <v>0</v>
      </c>
      <c r="BF280" s="76" t="b">
        <v>0</v>
      </c>
      <c r="BG280" s="76" t="b">
        <v>0</v>
      </c>
      <c r="BH280" s="82" t="str">
        <f>HYPERLINK("https://pbs.twimg.com/profile_banners/1585956012141514757/1686934894")</f>
        <v>https://pbs.twimg.com/profile_banners/1585956012141514757/1686934894</v>
      </c>
      <c r="BI280" s="76"/>
      <c r="BJ280" s="76" t="s">
        <v>7188</v>
      </c>
      <c r="BK280" s="76" t="b">
        <v>0</v>
      </c>
      <c r="BL280" s="76"/>
      <c r="BM280" s="76" t="s">
        <v>65</v>
      </c>
      <c r="BN280" s="76" t="s">
        <v>7190</v>
      </c>
      <c r="BO280" s="82" t="str">
        <f>HYPERLINK("https://twitter.com/cerballiance")</f>
        <v>https://twitter.com/cerballiance</v>
      </c>
      <c r="BP280" s="46"/>
      <c r="BQ280" s="46"/>
      <c r="BR280" s="46"/>
      <c r="BS280" s="46"/>
      <c r="BT280" s="46"/>
      <c r="BU280" s="46"/>
      <c r="BV280" s="46"/>
      <c r="BW280" s="46"/>
      <c r="BX280" s="46"/>
      <c r="BY280" s="46"/>
      <c r="BZ280" s="2"/>
    </row>
    <row r="281" spans="1:78" ht="15">
      <c r="A281" s="62" t="s">
        <v>547</v>
      </c>
      <c r="B281" s="63"/>
      <c r="C281" s="63"/>
      <c r="D281" s="64"/>
      <c r="E281" s="66"/>
      <c r="F281" s="100" t="str">
        <f>HYPERLINK("https://pbs.twimg.com/profile_images/1404145807935279105/5eIbcBtA_normal.jpg")</f>
        <v>https://pbs.twimg.com/profile_images/1404145807935279105/5eIbcBtA_normal.jpg</v>
      </c>
      <c r="G281" s="63"/>
      <c r="H281" s="67"/>
      <c r="I281" s="68"/>
      <c r="J281" s="68"/>
      <c r="K281" s="67" t="s">
        <v>7468</v>
      </c>
      <c r="L281" s="71"/>
      <c r="M281" s="72">
        <v>7756.7265625</v>
      </c>
      <c r="N281" s="72">
        <v>2380.526123046875</v>
      </c>
      <c r="O281" s="73"/>
      <c r="P281" s="74"/>
      <c r="Q281" s="74"/>
      <c r="R281" s="86"/>
      <c r="S281" s="46">
        <v>1</v>
      </c>
      <c r="T281" s="46">
        <v>0</v>
      </c>
      <c r="U281" s="47">
        <v>0</v>
      </c>
      <c r="V281" s="47">
        <v>0.154355</v>
      </c>
      <c r="W281" s="47">
        <v>0.00581</v>
      </c>
      <c r="X281" s="47">
        <v>0.002548</v>
      </c>
      <c r="Y281" s="47">
        <v>0</v>
      </c>
      <c r="Z281" s="47">
        <v>0</v>
      </c>
      <c r="AA281" s="69">
        <v>281</v>
      </c>
      <c r="AB281" s="69"/>
      <c r="AC281" s="70"/>
      <c r="AD281" s="76" t="s">
        <v>6140</v>
      </c>
      <c r="AE281" s="83" t="s">
        <v>6396</v>
      </c>
      <c r="AF281" s="76">
        <v>174478</v>
      </c>
      <c r="AG281" s="76">
        <v>1048</v>
      </c>
      <c r="AH281" s="76">
        <v>4014</v>
      </c>
      <c r="AI281" s="76">
        <v>1137</v>
      </c>
      <c r="AJ281" s="76">
        <v>3852</v>
      </c>
      <c r="AK281" s="76">
        <v>1394</v>
      </c>
      <c r="AL281" s="76" t="b">
        <v>0</v>
      </c>
      <c r="AM281" s="78">
        <v>40811.53858796296</v>
      </c>
      <c r="AN281" s="76" t="s">
        <v>6599</v>
      </c>
      <c r="AO281" s="76" t="s">
        <v>6878</v>
      </c>
      <c r="AP281" s="82" t="str">
        <f>HYPERLINK("https://t.co/2ixxfyLsJt")</f>
        <v>https://t.co/2ixxfyLsJt</v>
      </c>
      <c r="AQ281" s="82" t="str">
        <f>HYPERLINK("https://whatsapp.com/channel/0029VaEHqOx3rZZizaSlrH1R")</f>
        <v>https://whatsapp.com/channel/0029VaEHqOx3rZZizaSlrH1R</v>
      </c>
      <c r="AR281" s="76" t="s">
        <v>7105</v>
      </c>
      <c r="AS281" s="76"/>
      <c r="AT281" s="76"/>
      <c r="AU281" s="76"/>
      <c r="AV281" s="76">
        <v>1.7356986496765E+18</v>
      </c>
      <c r="AW281" s="82" t="str">
        <f>HYPERLINK("https://t.co/2ixxfyLsJt")</f>
        <v>https://t.co/2ixxfyLsJt</v>
      </c>
      <c r="AX281" s="76" t="b">
        <v>1</v>
      </c>
      <c r="AY281" s="76"/>
      <c r="AZ281" s="76"/>
      <c r="BA281" s="76" t="b">
        <v>0</v>
      </c>
      <c r="BB281" s="76" t="b">
        <v>1</v>
      </c>
      <c r="BC281" s="76" t="b">
        <v>1</v>
      </c>
      <c r="BD281" s="76" t="b">
        <v>0</v>
      </c>
      <c r="BE281" s="76" t="b">
        <v>1</v>
      </c>
      <c r="BF281" s="76" t="b">
        <v>0</v>
      </c>
      <c r="BG281" s="76" t="b">
        <v>0</v>
      </c>
      <c r="BH281" s="82" t="str">
        <f>HYPERLINK("https://pbs.twimg.com/profile_banners/379718466/1596233167")</f>
        <v>https://pbs.twimg.com/profile_banners/379718466/1596233167</v>
      </c>
      <c r="BI281" s="76"/>
      <c r="BJ281" s="76" t="s">
        <v>7188</v>
      </c>
      <c r="BK281" s="76" t="b">
        <v>0</v>
      </c>
      <c r="BL281" s="76"/>
      <c r="BM281" s="76" t="s">
        <v>65</v>
      </c>
      <c r="BN281" s="76" t="s">
        <v>7190</v>
      </c>
      <c r="BO281" s="82" t="str">
        <f>HYPERLINK("https://twitter.com/gabrielattal")</f>
        <v>https://twitter.com/gabrielattal</v>
      </c>
      <c r="BP281" s="46"/>
      <c r="BQ281" s="46"/>
      <c r="BR281" s="46"/>
      <c r="BS281" s="46"/>
      <c r="BT281" s="46"/>
      <c r="BU281" s="46"/>
      <c r="BV281" s="46"/>
      <c r="BW281" s="46"/>
      <c r="BX281" s="46"/>
      <c r="BY281" s="46"/>
      <c r="BZ281" s="2"/>
    </row>
    <row r="282" spans="1:78" ht="15">
      <c r="A282" s="62" t="s">
        <v>548</v>
      </c>
      <c r="B282" s="63"/>
      <c r="C282" s="63"/>
      <c r="D282" s="64"/>
      <c r="E282" s="66"/>
      <c r="F282" s="100" t="str">
        <f>HYPERLINK("https://pbs.twimg.com/profile_images/1115175445052428289/dmqW4yun_normal.png")</f>
        <v>https://pbs.twimg.com/profile_images/1115175445052428289/dmqW4yun_normal.png</v>
      </c>
      <c r="G282" s="63"/>
      <c r="H282" s="67"/>
      <c r="I282" s="68"/>
      <c r="J282" s="68"/>
      <c r="K282" s="67" t="s">
        <v>7469</v>
      </c>
      <c r="L282" s="71"/>
      <c r="M282" s="72">
        <v>7783.3671875</v>
      </c>
      <c r="N282" s="72">
        <v>2239.912841796875</v>
      </c>
      <c r="O282" s="73"/>
      <c r="P282" s="74"/>
      <c r="Q282" s="74"/>
      <c r="R282" s="86"/>
      <c r="S282" s="46">
        <v>1</v>
      </c>
      <c r="T282" s="46">
        <v>0</v>
      </c>
      <c r="U282" s="47">
        <v>0</v>
      </c>
      <c r="V282" s="47">
        <v>0.154355</v>
      </c>
      <c r="W282" s="47">
        <v>0.00581</v>
      </c>
      <c r="X282" s="47">
        <v>0.002548</v>
      </c>
      <c r="Y282" s="47">
        <v>0</v>
      </c>
      <c r="Z282" s="47">
        <v>0</v>
      </c>
      <c r="AA282" s="69">
        <v>282</v>
      </c>
      <c r="AB282" s="69"/>
      <c r="AC282" s="70"/>
      <c r="AD282" s="76" t="s">
        <v>6141</v>
      </c>
      <c r="AE282" s="83" t="s">
        <v>6397</v>
      </c>
      <c r="AF282" s="76">
        <v>668198</v>
      </c>
      <c r="AG282" s="76">
        <v>1041</v>
      </c>
      <c r="AH282" s="76">
        <v>179927</v>
      </c>
      <c r="AI282" s="76">
        <v>3140</v>
      </c>
      <c r="AJ282" s="76">
        <v>2278</v>
      </c>
      <c r="AK282" s="76">
        <v>142842</v>
      </c>
      <c r="AL282" s="76" t="b">
        <v>0</v>
      </c>
      <c r="AM282" s="78">
        <v>39895.948287037034</v>
      </c>
      <c r="AN282" s="76"/>
      <c r="AO282" s="76" t="s">
        <v>6879</v>
      </c>
      <c r="AP282" s="82" t="str">
        <f>HYPERLINK("https://t.co/RR7j3RomJ6")</f>
        <v>https://t.co/RR7j3RomJ6</v>
      </c>
      <c r="AQ282" s="82" t="str">
        <f>HYPERLINK("http://TF1info.fr")</f>
        <v>http://TF1info.fr</v>
      </c>
      <c r="AR282" s="76" t="s">
        <v>7106</v>
      </c>
      <c r="AS282" s="76"/>
      <c r="AT282" s="76"/>
      <c r="AU282" s="76"/>
      <c r="AV282" s="76"/>
      <c r="AW282" s="82" t="str">
        <f>HYPERLINK("https://t.co/RR7j3RomJ6")</f>
        <v>https://t.co/RR7j3RomJ6</v>
      </c>
      <c r="AX282" s="76" t="b">
        <v>0</v>
      </c>
      <c r="AY282" s="76"/>
      <c r="AZ282" s="76"/>
      <c r="BA282" s="76" t="b">
        <v>0</v>
      </c>
      <c r="BB282" s="76" t="b">
        <v>1</v>
      </c>
      <c r="BC282" s="76" t="b">
        <v>0</v>
      </c>
      <c r="BD282" s="76" t="b">
        <v>0</v>
      </c>
      <c r="BE282" s="76" t="b">
        <v>0</v>
      </c>
      <c r="BF282" s="76" t="b">
        <v>0</v>
      </c>
      <c r="BG282" s="76" t="b">
        <v>0</v>
      </c>
      <c r="BH282" s="82" t="str">
        <f>HYPERLINK("https://pbs.twimg.com/profile_banners/26110930/1636494465")</f>
        <v>https://pbs.twimg.com/profile_banners/26110930/1636494465</v>
      </c>
      <c r="BI282" s="76"/>
      <c r="BJ282" s="76" t="s">
        <v>7188</v>
      </c>
      <c r="BK282" s="76" t="b">
        <v>0</v>
      </c>
      <c r="BL282" s="76"/>
      <c r="BM282" s="76" t="s">
        <v>65</v>
      </c>
      <c r="BN282" s="76" t="s">
        <v>7190</v>
      </c>
      <c r="BO282" s="82" t="str">
        <f>HYPERLINK("https://twitter.com/lci")</f>
        <v>https://twitter.com/lci</v>
      </c>
      <c r="BP282" s="46"/>
      <c r="BQ282" s="46"/>
      <c r="BR282" s="46"/>
      <c r="BS282" s="46"/>
      <c r="BT282" s="46"/>
      <c r="BU282" s="46"/>
      <c r="BV282" s="46"/>
      <c r="BW282" s="46"/>
      <c r="BX282" s="46"/>
      <c r="BY282" s="46"/>
      <c r="BZ282" s="2"/>
    </row>
    <row r="283" spans="1:78" ht="15">
      <c r="A283" s="62" t="s">
        <v>549</v>
      </c>
      <c r="B283" s="63"/>
      <c r="C283" s="63"/>
      <c r="D283" s="64"/>
      <c r="E283" s="66"/>
      <c r="F283" s="100" t="str">
        <f>HYPERLINK("https://pbs.twimg.com/profile_images/1518930322427191296/3fCTms11_normal.jpg")</f>
        <v>https://pbs.twimg.com/profile_images/1518930322427191296/3fCTms11_normal.jpg</v>
      </c>
      <c r="G283" s="63"/>
      <c r="H283" s="67"/>
      <c r="I283" s="68"/>
      <c r="J283" s="68"/>
      <c r="K283" s="67" t="s">
        <v>7470</v>
      </c>
      <c r="L283" s="71"/>
      <c r="M283" s="72">
        <v>7810.00634765625</v>
      </c>
      <c r="N283" s="72">
        <v>2102.87646484375</v>
      </c>
      <c r="O283" s="73"/>
      <c r="P283" s="74"/>
      <c r="Q283" s="74"/>
      <c r="R283" s="86"/>
      <c r="S283" s="46">
        <v>1</v>
      </c>
      <c r="T283" s="46">
        <v>0</v>
      </c>
      <c r="U283" s="47">
        <v>0</v>
      </c>
      <c r="V283" s="47">
        <v>0.154355</v>
      </c>
      <c r="W283" s="47">
        <v>0.00581</v>
      </c>
      <c r="X283" s="47">
        <v>0.002548</v>
      </c>
      <c r="Y283" s="47">
        <v>0</v>
      </c>
      <c r="Z283" s="47">
        <v>0</v>
      </c>
      <c r="AA283" s="69">
        <v>283</v>
      </c>
      <c r="AB283" s="69"/>
      <c r="AC283" s="70"/>
      <c r="AD283" s="76" t="s">
        <v>6142</v>
      </c>
      <c r="AE283" s="83" t="s">
        <v>5767</v>
      </c>
      <c r="AF283" s="76">
        <v>33334</v>
      </c>
      <c r="AG283" s="76">
        <v>5167</v>
      </c>
      <c r="AH283" s="76">
        <v>11814</v>
      </c>
      <c r="AI283" s="76">
        <v>405</v>
      </c>
      <c r="AJ283" s="76">
        <v>1577</v>
      </c>
      <c r="AK283" s="76">
        <v>463</v>
      </c>
      <c r="AL283" s="76" t="b">
        <v>0</v>
      </c>
      <c r="AM283" s="78">
        <v>40191.67288194445</v>
      </c>
      <c r="AN283" s="76" t="s">
        <v>6600</v>
      </c>
      <c r="AO283" s="76" t="s">
        <v>6880</v>
      </c>
      <c r="AP283" s="82" t="str">
        <f>HYPERLINK("https://t.co/C5OafpyYPC")</f>
        <v>https://t.co/C5OafpyYPC</v>
      </c>
      <c r="AQ283" s="82" t="str">
        <f>HYPERLINK("http://www.tf1info.fr")</f>
        <v>http://www.tf1info.fr</v>
      </c>
      <c r="AR283" s="76" t="s">
        <v>7107</v>
      </c>
      <c r="AS283" s="76"/>
      <c r="AT283" s="76"/>
      <c r="AU283" s="76"/>
      <c r="AV283" s="76"/>
      <c r="AW283" s="82" t="str">
        <f>HYPERLINK("https://t.co/C5OafpyYPC")</f>
        <v>https://t.co/C5OafpyYPC</v>
      </c>
      <c r="AX283" s="76" t="b">
        <v>0</v>
      </c>
      <c r="AY283" s="76"/>
      <c r="AZ283" s="76"/>
      <c r="BA283" s="76" t="b">
        <v>0</v>
      </c>
      <c r="BB283" s="76" t="b">
        <v>1</v>
      </c>
      <c r="BC283" s="76" t="b">
        <v>1</v>
      </c>
      <c r="BD283" s="76" t="b">
        <v>0</v>
      </c>
      <c r="BE283" s="76" t="b">
        <v>0</v>
      </c>
      <c r="BF283" s="76" t="b">
        <v>0</v>
      </c>
      <c r="BG283" s="76" t="b">
        <v>0</v>
      </c>
      <c r="BH283" s="76"/>
      <c r="BI283" s="76"/>
      <c r="BJ283" s="76" t="s">
        <v>7188</v>
      </c>
      <c r="BK283" s="76" t="b">
        <v>0</v>
      </c>
      <c r="BL283" s="76"/>
      <c r="BM283" s="76" t="s">
        <v>65</v>
      </c>
      <c r="BN283" s="76" t="s">
        <v>7190</v>
      </c>
      <c r="BO283" s="82" t="str">
        <f>HYPERLINK("https://twitter.com/agindre")</f>
        <v>https://twitter.com/agindre</v>
      </c>
      <c r="BP283" s="46"/>
      <c r="BQ283" s="46"/>
      <c r="BR283" s="46"/>
      <c r="BS283" s="46"/>
      <c r="BT283" s="46"/>
      <c r="BU283" s="46"/>
      <c r="BV283" s="46"/>
      <c r="BW283" s="46"/>
      <c r="BX283" s="46"/>
      <c r="BY283" s="46"/>
      <c r="BZ283" s="2"/>
    </row>
    <row r="284" spans="1:78" ht="15">
      <c r="A284" s="62" t="s">
        <v>550</v>
      </c>
      <c r="B284" s="63"/>
      <c r="C284" s="63"/>
      <c r="D284" s="64"/>
      <c r="E284" s="66"/>
      <c r="F284" s="100" t="str">
        <f>HYPERLINK("https://pbs.twimg.com/profile_images/1587720565997162496/Svjrui6j_normal.png")</f>
        <v>https://pbs.twimg.com/profile_images/1587720565997162496/Svjrui6j_normal.png</v>
      </c>
      <c r="G284" s="63"/>
      <c r="H284" s="67"/>
      <c r="I284" s="68"/>
      <c r="J284" s="68"/>
      <c r="K284" s="67" t="s">
        <v>7471</v>
      </c>
      <c r="L284" s="71"/>
      <c r="M284" s="72">
        <v>7836.64599609375</v>
      </c>
      <c r="N284" s="72">
        <v>1969.59619140625</v>
      </c>
      <c r="O284" s="73"/>
      <c r="P284" s="74"/>
      <c r="Q284" s="74"/>
      <c r="R284" s="86"/>
      <c r="S284" s="46">
        <v>2</v>
      </c>
      <c r="T284" s="46">
        <v>0</v>
      </c>
      <c r="U284" s="47">
        <v>18</v>
      </c>
      <c r="V284" s="47">
        <v>0.155969</v>
      </c>
      <c r="W284" s="47">
        <v>0.011485</v>
      </c>
      <c r="X284" s="47">
        <v>0.002672</v>
      </c>
      <c r="Y284" s="47">
        <v>0</v>
      </c>
      <c r="Z284" s="47">
        <v>0</v>
      </c>
      <c r="AA284" s="69">
        <v>284</v>
      </c>
      <c r="AB284" s="69"/>
      <c r="AC284" s="70"/>
      <c r="AD284" s="76" t="s">
        <v>6143</v>
      </c>
      <c r="AE284" s="83" t="s">
        <v>5768</v>
      </c>
      <c r="AF284" s="76">
        <v>722</v>
      </c>
      <c r="AG284" s="76">
        <v>379</v>
      </c>
      <c r="AH284" s="76">
        <v>525</v>
      </c>
      <c r="AI284" s="76">
        <v>11</v>
      </c>
      <c r="AJ284" s="76">
        <v>51</v>
      </c>
      <c r="AK284" s="76">
        <v>219</v>
      </c>
      <c r="AL284" s="76" t="b">
        <v>0</v>
      </c>
      <c r="AM284" s="78">
        <v>43578.31420138889</v>
      </c>
      <c r="AN284" s="76"/>
      <c r="AO284" s="76" t="s">
        <v>6881</v>
      </c>
      <c r="AP284" s="82" t="str">
        <f>HYPERLINK("https://t.co/KwVcLTJy8H")</f>
        <v>https://t.co/KwVcLTJy8H</v>
      </c>
      <c r="AQ284" s="82" t="str">
        <f>HYPERLINK("https://biogroup.fr/")</f>
        <v>https://biogroup.fr/</v>
      </c>
      <c r="AR284" s="76" t="s">
        <v>7108</v>
      </c>
      <c r="AS284" s="76"/>
      <c r="AT284" s="76"/>
      <c r="AU284" s="76"/>
      <c r="AV284" s="76"/>
      <c r="AW284" s="82" t="str">
        <f>HYPERLINK("https://t.co/KwVcLTJy8H")</f>
        <v>https://t.co/KwVcLTJy8H</v>
      </c>
      <c r="AX284" s="76" t="b">
        <v>0</v>
      </c>
      <c r="AY284" s="76"/>
      <c r="AZ284" s="76"/>
      <c r="BA284" s="76" t="b">
        <v>1</v>
      </c>
      <c r="BB284" s="76" t="b">
        <v>1</v>
      </c>
      <c r="BC284" s="76" t="b">
        <v>0</v>
      </c>
      <c r="BD284" s="76" t="b">
        <v>0</v>
      </c>
      <c r="BE284" s="76" t="b">
        <v>1</v>
      </c>
      <c r="BF284" s="76" t="b">
        <v>0</v>
      </c>
      <c r="BG284" s="76" t="b">
        <v>0</v>
      </c>
      <c r="BH284" s="82" t="str">
        <f>HYPERLINK("https://pbs.twimg.com/profile_banners/1120591247016640513/1662557568")</f>
        <v>https://pbs.twimg.com/profile_banners/1120591247016640513/1662557568</v>
      </c>
      <c r="BI284" s="76"/>
      <c r="BJ284" s="76" t="s">
        <v>7188</v>
      </c>
      <c r="BK284" s="76" t="b">
        <v>0</v>
      </c>
      <c r="BL284" s="76"/>
      <c r="BM284" s="76" t="s">
        <v>65</v>
      </c>
      <c r="BN284" s="76" t="s">
        <v>7190</v>
      </c>
      <c r="BO284" s="82" t="str">
        <f>HYPERLINK("https://twitter.com/biogroup_labo")</f>
        <v>https://twitter.com/biogroup_labo</v>
      </c>
      <c r="BP284" s="46"/>
      <c r="BQ284" s="46"/>
      <c r="BR284" s="46"/>
      <c r="BS284" s="46"/>
      <c r="BT284" s="46"/>
      <c r="BU284" s="46"/>
      <c r="BV284" s="46"/>
      <c r="BW284" s="46"/>
      <c r="BX284" s="46"/>
      <c r="BY284" s="46"/>
      <c r="BZ284" s="2"/>
    </row>
    <row r="285" spans="1:78" ht="15">
      <c r="A285" s="62" t="s">
        <v>374</v>
      </c>
      <c r="B285" s="63"/>
      <c r="C285" s="63"/>
      <c r="D285" s="64"/>
      <c r="E285" s="66"/>
      <c r="F285" s="100" t="str">
        <f>HYPERLINK("https://pbs.twimg.com/profile_images/2067772740/Twitt_normal.jpg")</f>
        <v>https://pbs.twimg.com/profile_images/2067772740/Twitt_normal.jpg</v>
      </c>
      <c r="G285" s="63"/>
      <c r="H285" s="67"/>
      <c r="I285" s="68"/>
      <c r="J285" s="68"/>
      <c r="K285" s="67" t="s">
        <v>7472</v>
      </c>
      <c r="L285" s="71"/>
      <c r="M285" s="72">
        <v>7863.28662109375</v>
      </c>
      <c r="N285" s="72">
        <v>1840.2432861328125</v>
      </c>
      <c r="O285" s="73"/>
      <c r="P285" s="74"/>
      <c r="Q285" s="74"/>
      <c r="R285" s="86"/>
      <c r="S285" s="46">
        <v>0</v>
      </c>
      <c r="T285" s="46">
        <v>4</v>
      </c>
      <c r="U285" s="47">
        <v>865</v>
      </c>
      <c r="V285" s="47">
        <v>0.217825</v>
      </c>
      <c r="W285" s="47">
        <v>0.064097</v>
      </c>
      <c r="X285" s="47">
        <v>0.003294</v>
      </c>
      <c r="Y285" s="47">
        <v>0</v>
      </c>
      <c r="Z285" s="47">
        <v>0</v>
      </c>
      <c r="AA285" s="69">
        <v>285</v>
      </c>
      <c r="AB285" s="69"/>
      <c r="AC285" s="70"/>
      <c r="AD285" s="76" t="s">
        <v>6144</v>
      </c>
      <c r="AE285" s="83" t="s">
        <v>6398</v>
      </c>
      <c r="AF285" s="76">
        <v>89</v>
      </c>
      <c r="AG285" s="76">
        <v>400</v>
      </c>
      <c r="AH285" s="76">
        <v>400</v>
      </c>
      <c r="AI285" s="76">
        <v>0</v>
      </c>
      <c r="AJ285" s="76">
        <v>785</v>
      </c>
      <c r="AK285" s="76">
        <v>12</v>
      </c>
      <c r="AL285" s="76" t="b">
        <v>0</v>
      </c>
      <c r="AM285" s="78">
        <v>41007.393599537034</v>
      </c>
      <c r="AN285" s="76"/>
      <c r="AO285" s="76"/>
      <c r="AP285" s="76"/>
      <c r="AQ285" s="76"/>
      <c r="AR285" s="76"/>
      <c r="AS285" s="76"/>
      <c r="AT285" s="76"/>
      <c r="AU285" s="76"/>
      <c r="AV285" s="76">
        <v>1.25525660880592E+18</v>
      </c>
      <c r="AW285" s="76"/>
      <c r="AX285" s="76" t="b">
        <v>0</v>
      </c>
      <c r="AY285" s="76"/>
      <c r="AZ285" s="76"/>
      <c r="BA285" s="76" t="b">
        <v>0</v>
      </c>
      <c r="BB285" s="76" t="b">
        <v>1</v>
      </c>
      <c r="BC285" s="76" t="b">
        <v>1</v>
      </c>
      <c r="BD285" s="76" t="b">
        <v>0</v>
      </c>
      <c r="BE285" s="76" t="b">
        <v>1</v>
      </c>
      <c r="BF285" s="76" t="b">
        <v>0</v>
      </c>
      <c r="BG285" s="76" t="b">
        <v>0</v>
      </c>
      <c r="BH285" s="76"/>
      <c r="BI285" s="76"/>
      <c r="BJ285" s="76" t="s">
        <v>7188</v>
      </c>
      <c r="BK285" s="76" t="b">
        <v>0</v>
      </c>
      <c r="BL285" s="76"/>
      <c r="BM285" s="76" t="s">
        <v>66</v>
      </c>
      <c r="BN285" s="76" t="s">
        <v>7190</v>
      </c>
      <c r="BO285" s="82" t="str">
        <f>HYPERLINK("https://twitter.com/laurieciss")</f>
        <v>https://twitter.com/laurieciss</v>
      </c>
      <c r="BP285" s="46"/>
      <c r="BQ285" s="46"/>
      <c r="BR285" s="46"/>
      <c r="BS285" s="46"/>
      <c r="BT285" s="46"/>
      <c r="BU285" s="46"/>
      <c r="BV285" s="105" t="s">
        <v>7928</v>
      </c>
      <c r="BW285" s="105" t="s">
        <v>7928</v>
      </c>
      <c r="BX285" s="105" t="s">
        <v>8159</v>
      </c>
      <c r="BY285" s="105" t="s">
        <v>8159</v>
      </c>
      <c r="BZ285" s="2"/>
    </row>
    <row r="286" spans="1:78" ht="15">
      <c r="A286" s="62" t="s">
        <v>551</v>
      </c>
      <c r="B286" s="63"/>
      <c r="C286" s="63"/>
      <c r="D286" s="64"/>
      <c r="E286" s="66"/>
      <c r="F286" s="100" t="str">
        <f>HYPERLINK("https://pbs.twimg.com/profile_images/1487192260143988741/gZKXnAAq_normal.jpg")</f>
        <v>https://pbs.twimg.com/profile_images/1487192260143988741/gZKXnAAq_normal.jpg</v>
      </c>
      <c r="G286" s="63"/>
      <c r="H286" s="67"/>
      <c r="I286" s="68"/>
      <c r="J286" s="68"/>
      <c r="K286" s="67" t="s">
        <v>7473</v>
      </c>
      <c r="L286" s="71"/>
      <c r="M286" s="72">
        <v>7889.92626953125</v>
      </c>
      <c r="N286" s="72">
        <v>1714.98583984375</v>
      </c>
      <c r="O286" s="73"/>
      <c r="P286" s="74"/>
      <c r="Q286" s="74"/>
      <c r="R286" s="86"/>
      <c r="S286" s="46">
        <v>1</v>
      </c>
      <c r="T286" s="46">
        <v>0</v>
      </c>
      <c r="U286" s="47">
        <v>0</v>
      </c>
      <c r="V286" s="47">
        <v>0.152775</v>
      </c>
      <c r="W286" s="47">
        <v>0.005675</v>
      </c>
      <c r="X286" s="47">
        <v>0.002573</v>
      </c>
      <c r="Y286" s="47">
        <v>0</v>
      </c>
      <c r="Z286" s="47">
        <v>0</v>
      </c>
      <c r="AA286" s="69">
        <v>286</v>
      </c>
      <c r="AB286" s="69"/>
      <c r="AC286" s="70"/>
      <c r="AD286" s="76" t="s">
        <v>6145</v>
      </c>
      <c r="AE286" s="83" t="s">
        <v>6399</v>
      </c>
      <c r="AF286" s="76">
        <v>67</v>
      </c>
      <c r="AG286" s="76">
        <v>101</v>
      </c>
      <c r="AH286" s="76">
        <v>84</v>
      </c>
      <c r="AI286" s="76">
        <v>0</v>
      </c>
      <c r="AJ286" s="76">
        <v>99</v>
      </c>
      <c r="AK286" s="76">
        <v>21</v>
      </c>
      <c r="AL286" s="76" t="b">
        <v>0</v>
      </c>
      <c r="AM286" s="78">
        <v>43932.54702546296</v>
      </c>
      <c r="AN286" s="76" t="s">
        <v>6601</v>
      </c>
      <c r="AO286" s="76"/>
      <c r="AP286" s="82" t="str">
        <f>HYPERLINK("https://t.co/DB0f2TxE2T")</f>
        <v>https://t.co/DB0f2TxE2T</v>
      </c>
      <c r="AQ286" s="82" t="str">
        <f>HYPERLINK("http://www.biopyrenees.com")</f>
        <v>http://www.biopyrenees.com</v>
      </c>
      <c r="AR286" s="76" t="s">
        <v>7109</v>
      </c>
      <c r="AS286" s="76"/>
      <c r="AT286" s="76"/>
      <c r="AU286" s="76"/>
      <c r="AV286" s="76">
        <v>1.41570798901368E+18</v>
      </c>
      <c r="AW286" s="82" t="str">
        <f>HYPERLINK("https://t.co/DB0f2TxE2T")</f>
        <v>https://t.co/DB0f2TxE2T</v>
      </c>
      <c r="AX286" s="76" t="b">
        <v>0</v>
      </c>
      <c r="AY286" s="76"/>
      <c r="AZ286" s="76"/>
      <c r="BA286" s="76" t="b">
        <v>0</v>
      </c>
      <c r="BB286" s="76" t="b">
        <v>1</v>
      </c>
      <c r="BC286" s="76" t="b">
        <v>1</v>
      </c>
      <c r="BD286" s="76" t="b">
        <v>0</v>
      </c>
      <c r="BE286" s="76" t="b">
        <v>0</v>
      </c>
      <c r="BF286" s="76" t="b">
        <v>0</v>
      </c>
      <c r="BG286" s="76" t="b">
        <v>0</v>
      </c>
      <c r="BH286" s="82" t="str">
        <f>HYPERLINK("https://pbs.twimg.com/profile_banners/1248960811021881344/1643585747")</f>
        <v>https://pbs.twimg.com/profile_banners/1248960811021881344/1643585747</v>
      </c>
      <c r="BI286" s="76"/>
      <c r="BJ286" s="76" t="s">
        <v>7188</v>
      </c>
      <c r="BK286" s="76" t="b">
        <v>0</v>
      </c>
      <c r="BL286" s="76"/>
      <c r="BM286" s="76" t="s">
        <v>65</v>
      </c>
      <c r="BN286" s="76" t="s">
        <v>7190</v>
      </c>
      <c r="BO286" s="82" t="str">
        <f>HYPERLINK("https://twitter.com/labobiopyrenees")</f>
        <v>https://twitter.com/labobiopyrenees</v>
      </c>
      <c r="BP286" s="46"/>
      <c r="BQ286" s="46"/>
      <c r="BR286" s="46"/>
      <c r="BS286" s="46"/>
      <c r="BT286" s="46"/>
      <c r="BU286" s="46"/>
      <c r="BV286" s="46"/>
      <c r="BW286" s="46"/>
      <c r="BX286" s="46"/>
      <c r="BY286" s="46"/>
      <c r="BZ286" s="2"/>
    </row>
    <row r="287" spans="1:78" ht="15">
      <c r="A287" s="62" t="s">
        <v>375</v>
      </c>
      <c r="B287" s="63"/>
      <c r="C287" s="63"/>
      <c r="D287" s="64"/>
      <c r="E287" s="66"/>
      <c r="F287" s="100" t="str">
        <f>HYPERLINK("https://pbs.twimg.com/profile_images/1164192706660315136/LGUyT95O_normal.jpg")</f>
        <v>https://pbs.twimg.com/profile_images/1164192706660315136/LGUyT95O_normal.jpg</v>
      </c>
      <c r="G287" s="63"/>
      <c r="H287" s="67"/>
      <c r="I287" s="68"/>
      <c r="J287" s="68"/>
      <c r="K287" s="67" t="s">
        <v>7474</v>
      </c>
      <c r="L287" s="71"/>
      <c r="M287" s="72">
        <v>7916.56640625</v>
      </c>
      <c r="N287" s="72">
        <v>1593.9859619140625</v>
      </c>
      <c r="O287" s="73"/>
      <c r="P287" s="74"/>
      <c r="Q287" s="74"/>
      <c r="R287" s="86"/>
      <c r="S287" s="46">
        <v>2</v>
      </c>
      <c r="T287" s="46">
        <v>1</v>
      </c>
      <c r="U287" s="47">
        <v>0</v>
      </c>
      <c r="V287" s="47">
        <v>0.152775</v>
      </c>
      <c r="W287" s="47">
        <v>0.006227</v>
      </c>
      <c r="X287" s="47">
        <v>0.002782</v>
      </c>
      <c r="Y287" s="47">
        <v>0</v>
      </c>
      <c r="Z287" s="47">
        <v>0</v>
      </c>
      <c r="AA287" s="69">
        <v>287</v>
      </c>
      <c r="AB287" s="69"/>
      <c r="AC287" s="70"/>
      <c r="AD287" s="76" t="s">
        <v>6146</v>
      </c>
      <c r="AE287" s="83" t="s">
        <v>6400</v>
      </c>
      <c r="AF287" s="76">
        <v>115592</v>
      </c>
      <c r="AG287" s="76">
        <v>1905</v>
      </c>
      <c r="AH287" s="76">
        <v>41236</v>
      </c>
      <c r="AI287" s="76">
        <v>1563</v>
      </c>
      <c r="AJ287" s="76">
        <v>7716</v>
      </c>
      <c r="AK287" s="76">
        <v>12598</v>
      </c>
      <c r="AL287" s="76" t="b">
        <v>0</v>
      </c>
      <c r="AM287" s="78">
        <v>41005.46084490741</v>
      </c>
      <c r="AN287" s="76" t="s">
        <v>6602</v>
      </c>
      <c r="AO287" s="76" t="s">
        <v>6882</v>
      </c>
      <c r="AP287" s="82" t="str">
        <f>HYPERLINK("https://t.co/WCE0UwSNRY")</f>
        <v>https://t.co/WCE0UwSNRY</v>
      </c>
      <c r="AQ287" s="82" t="str">
        <f>HYPERLINK("https://www.alternatives-economiques.fr/")</f>
        <v>https://www.alternatives-economiques.fr/</v>
      </c>
      <c r="AR287" s="76" t="s">
        <v>7110</v>
      </c>
      <c r="AS287" s="76"/>
      <c r="AT287" s="76"/>
      <c r="AU287" s="76"/>
      <c r="AV287" s="76"/>
      <c r="AW287" s="82" t="str">
        <f>HYPERLINK("https://t.co/WCE0UwSNRY")</f>
        <v>https://t.co/WCE0UwSNRY</v>
      </c>
      <c r="AX287" s="76" t="b">
        <v>0</v>
      </c>
      <c r="AY287" s="76"/>
      <c r="AZ287" s="76"/>
      <c r="BA287" s="76" t="b">
        <v>1</v>
      </c>
      <c r="BB287" s="76" t="b">
        <v>1</v>
      </c>
      <c r="BC287" s="76" t="b">
        <v>0</v>
      </c>
      <c r="BD287" s="76" t="b">
        <v>0</v>
      </c>
      <c r="BE287" s="76" t="b">
        <v>1</v>
      </c>
      <c r="BF287" s="76" t="b">
        <v>0</v>
      </c>
      <c r="BG287" s="76" t="b">
        <v>0</v>
      </c>
      <c r="BH287" s="82" t="str">
        <f>HYPERLINK("https://pbs.twimg.com/profile_banners/546720037/1646305740")</f>
        <v>https://pbs.twimg.com/profile_banners/546720037/1646305740</v>
      </c>
      <c r="BI287" s="76"/>
      <c r="BJ287" s="76" t="s">
        <v>7188</v>
      </c>
      <c r="BK287" s="76" t="b">
        <v>0</v>
      </c>
      <c r="BL287" s="76"/>
      <c r="BM287" s="76" t="s">
        <v>66</v>
      </c>
      <c r="BN287" s="76" t="s">
        <v>7190</v>
      </c>
      <c r="BO287" s="82" t="str">
        <f>HYPERLINK("https://twitter.com/altereco_")</f>
        <v>https://twitter.com/altereco_</v>
      </c>
      <c r="BP287" s="46" t="s">
        <v>7659</v>
      </c>
      <c r="BQ287" s="46" t="s">
        <v>7659</v>
      </c>
      <c r="BR287" s="46" t="s">
        <v>2027</v>
      </c>
      <c r="BS287" s="46" t="s">
        <v>2027</v>
      </c>
      <c r="BT287" s="46"/>
      <c r="BU287" s="46"/>
      <c r="BV287" s="105" t="s">
        <v>7929</v>
      </c>
      <c r="BW287" s="105" t="s">
        <v>7929</v>
      </c>
      <c r="BX287" s="105" t="s">
        <v>8160</v>
      </c>
      <c r="BY287" s="105" t="s">
        <v>8160</v>
      </c>
      <c r="BZ287" s="2"/>
    </row>
    <row r="288" spans="1:78" ht="15">
      <c r="A288" s="62" t="s">
        <v>376</v>
      </c>
      <c r="B288" s="63"/>
      <c r="C288" s="63"/>
      <c r="D288" s="64"/>
      <c r="E288" s="66"/>
      <c r="F288" s="100" t="str">
        <f>HYPERLINK("https://pbs.twimg.com/profile_images/1128745342399393795/iAC7cGdx_normal.jpg")</f>
        <v>https://pbs.twimg.com/profile_images/1128745342399393795/iAC7cGdx_normal.jpg</v>
      </c>
      <c r="G288" s="63"/>
      <c r="H288" s="67"/>
      <c r="I288" s="68"/>
      <c r="J288" s="68"/>
      <c r="K288" s="67" t="s">
        <v>7475</v>
      </c>
      <c r="L288" s="71"/>
      <c r="M288" s="72">
        <v>7943.2060546875</v>
      </c>
      <c r="N288" s="72">
        <v>1477.4007568359375</v>
      </c>
      <c r="O288" s="73"/>
      <c r="P288" s="74"/>
      <c r="Q288" s="74"/>
      <c r="R288" s="86"/>
      <c r="S288" s="46">
        <v>1</v>
      </c>
      <c r="T288" s="46">
        <v>1</v>
      </c>
      <c r="U288" s="47">
        <v>0</v>
      </c>
      <c r="V288" s="47">
        <v>0</v>
      </c>
      <c r="W288" s="47">
        <v>0</v>
      </c>
      <c r="X288" s="47">
        <v>0.002882</v>
      </c>
      <c r="Y288" s="47">
        <v>0</v>
      </c>
      <c r="Z288" s="47">
        <v>0</v>
      </c>
      <c r="AA288" s="69">
        <v>288</v>
      </c>
      <c r="AB288" s="69"/>
      <c r="AC288" s="70"/>
      <c r="AD288" s="76" t="s">
        <v>6147</v>
      </c>
      <c r="AE288" s="83" t="s">
        <v>6401</v>
      </c>
      <c r="AF288" s="76">
        <v>1102</v>
      </c>
      <c r="AG288" s="76">
        <v>1074</v>
      </c>
      <c r="AH288" s="76">
        <v>3554</v>
      </c>
      <c r="AI288" s="76">
        <v>14</v>
      </c>
      <c r="AJ288" s="76">
        <v>2309</v>
      </c>
      <c r="AK288" s="76">
        <v>541</v>
      </c>
      <c r="AL288" s="76" t="b">
        <v>0</v>
      </c>
      <c r="AM288" s="78">
        <v>40556.700011574074</v>
      </c>
      <c r="AN288" s="76" t="s">
        <v>6603</v>
      </c>
      <c r="AO288" s="76" t="s">
        <v>6883</v>
      </c>
      <c r="AP288" s="82" t="str">
        <f>HYPERLINK("https://t.co/jIOrrLdK64")</f>
        <v>https://t.co/jIOrrLdK64</v>
      </c>
      <c r="AQ288" s="82" t="str">
        <f>HYPERLINK("https://marinasalablog.wordpress.com/")</f>
        <v>https://marinasalablog.wordpress.com/</v>
      </c>
      <c r="AR288" s="76" t="s">
        <v>7111</v>
      </c>
      <c r="AS288" s="76"/>
      <c r="AT288" s="76"/>
      <c r="AU288" s="76"/>
      <c r="AV288" s="76"/>
      <c r="AW288" s="82" t="str">
        <f>HYPERLINK("https://t.co/jIOrrLdK64")</f>
        <v>https://t.co/jIOrrLdK64</v>
      </c>
      <c r="AX288" s="76" t="b">
        <v>0</v>
      </c>
      <c r="AY288" s="76"/>
      <c r="AZ288" s="76"/>
      <c r="BA288" s="76" t="b">
        <v>0</v>
      </c>
      <c r="BB288" s="76" t="b">
        <v>1</v>
      </c>
      <c r="BC288" s="76" t="b">
        <v>0</v>
      </c>
      <c r="BD288" s="76" t="b">
        <v>0</v>
      </c>
      <c r="BE288" s="76" t="b">
        <v>1</v>
      </c>
      <c r="BF288" s="76" t="b">
        <v>0</v>
      </c>
      <c r="BG288" s="76" t="b">
        <v>0</v>
      </c>
      <c r="BH288" s="82" t="str">
        <f>HYPERLINK("https://pbs.twimg.com/profile_banners/237788311/1476703821")</f>
        <v>https://pbs.twimg.com/profile_banners/237788311/1476703821</v>
      </c>
      <c r="BI288" s="76"/>
      <c r="BJ288" s="76" t="s">
        <v>7188</v>
      </c>
      <c r="BK288" s="76" t="b">
        <v>0</v>
      </c>
      <c r="BL288" s="76"/>
      <c r="BM288" s="76" t="s">
        <v>66</v>
      </c>
      <c r="BN288" s="76" t="s">
        <v>7190</v>
      </c>
      <c r="BO288" s="82" t="str">
        <f>HYPERLINK("https://twitter.com/marinasalad")</f>
        <v>https://twitter.com/marinasalad</v>
      </c>
      <c r="BP288" s="46" t="s">
        <v>7660</v>
      </c>
      <c r="BQ288" s="46" t="s">
        <v>7660</v>
      </c>
      <c r="BR288" s="46" t="s">
        <v>2028</v>
      </c>
      <c r="BS288" s="46" t="s">
        <v>2028</v>
      </c>
      <c r="BT288" s="46" t="s">
        <v>1841</v>
      </c>
      <c r="BU288" s="46" t="s">
        <v>7768</v>
      </c>
      <c r="BV288" s="105" t="s">
        <v>7930</v>
      </c>
      <c r="BW288" s="105" t="s">
        <v>7930</v>
      </c>
      <c r="BX288" s="105" t="s">
        <v>8161</v>
      </c>
      <c r="BY288" s="105" t="s">
        <v>8161</v>
      </c>
      <c r="BZ288" s="2"/>
    </row>
    <row r="289" spans="1:78" ht="15">
      <c r="A289" s="62" t="s">
        <v>377</v>
      </c>
      <c r="B289" s="63"/>
      <c r="C289" s="63"/>
      <c r="D289" s="64"/>
      <c r="E289" s="66"/>
      <c r="F289" s="100" t="str">
        <f>HYPERLINK("https://pbs.twimg.com/profile_images/690490929225060352/un1gtCOX_normal.png")</f>
        <v>https://pbs.twimg.com/profile_images/690490929225060352/un1gtCOX_normal.png</v>
      </c>
      <c r="G289" s="63"/>
      <c r="H289" s="67"/>
      <c r="I289" s="68"/>
      <c r="J289" s="68"/>
      <c r="K289" s="67" t="s">
        <v>7476</v>
      </c>
      <c r="L289" s="71"/>
      <c r="M289" s="72">
        <v>7969.845703125</v>
      </c>
      <c r="N289" s="72">
        <v>1365.3822021484375</v>
      </c>
      <c r="O289" s="73"/>
      <c r="P289" s="74"/>
      <c r="Q289" s="74"/>
      <c r="R289" s="86"/>
      <c r="S289" s="46">
        <v>0</v>
      </c>
      <c r="T289" s="46">
        <v>1</v>
      </c>
      <c r="U289" s="47">
        <v>0</v>
      </c>
      <c r="V289" s="47">
        <v>0.021019</v>
      </c>
      <c r="W289" s="47">
        <v>0</v>
      </c>
      <c r="X289" s="47">
        <v>0.002572</v>
      </c>
      <c r="Y289" s="47">
        <v>0</v>
      </c>
      <c r="Z289" s="47">
        <v>0</v>
      </c>
      <c r="AA289" s="69">
        <v>289</v>
      </c>
      <c r="AB289" s="69"/>
      <c r="AC289" s="70"/>
      <c r="AD289" s="76" t="s">
        <v>6148</v>
      </c>
      <c r="AE289" s="83" t="s">
        <v>6402</v>
      </c>
      <c r="AF289" s="76">
        <v>26942</v>
      </c>
      <c r="AG289" s="76">
        <v>19726</v>
      </c>
      <c r="AH289" s="76">
        <v>47553</v>
      </c>
      <c r="AI289" s="76">
        <v>932</v>
      </c>
      <c r="AJ289" s="76">
        <v>11150</v>
      </c>
      <c r="AK289" s="76">
        <v>6322</v>
      </c>
      <c r="AL289" s="76" t="b">
        <v>0</v>
      </c>
      <c r="AM289" s="78">
        <v>42291.44358796296</v>
      </c>
      <c r="AN289" s="76" t="s">
        <v>6524</v>
      </c>
      <c r="AO289" s="76" t="s">
        <v>6884</v>
      </c>
      <c r="AP289" s="82" t="str">
        <f>HYPERLINK("https://t.co/oSBvuZBaeO")</f>
        <v>https://t.co/oSBvuZBaeO</v>
      </c>
      <c r="AQ289" s="82" t="str">
        <f>HYPERLINK("http://Rebrandly.com")</f>
        <v>http://Rebrandly.com</v>
      </c>
      <c r="AR289" s="76" t="s">
        <v>7112</v>
      </c>
      <c r="AS289" s="76"/>
      <c r="AT289" s="76"/>
      <c r="AU289" s="76"/>
      <c r="AV289" s="76">
        <v>1.69496784502771E+18</v>
      </c>
      <c r="AW289" s="82" t="str">
        <f>HYPERLINK("https://t.co/oSBvuZBaeO")</f>
        <v>https://t.co/oSBvuZBaeO</v>
      </c>
      <c r="AX289" s="76" t="b">
        <v>0</v>
      </c>
      <c r="AY289" s="76"/>
      <c r="AZ289" s="76"/>
      <c r="BA289" s="76" t="b">
        <v>0</v>
      </c>
      <c r="BB289" s="76" t="b">
        <v>1</v>
      </c>
      <c r="BC289" s="76" t="b">
        <v>0</v>
      </c>
      <c r="BD289" s="76" t="b">
        <v>0</v>
      </c>
      <c r="BE289" s="76" t="b">
        <v>1</v>
      </c>
      <c r="BF289" s="76" t="b">
        <v>0</v>
      </c>
      <c r="BG289" s="76" t="b">
        <v>0</v>
      </c>
      <c r="BH289" s="82" t="str">
        <f>HYPERLINK("https://pbs.twimg.com/profile_banners/3955124956/1699907505")</f>
        <v>https://pbs.twimg.com/profile_banners/3955124956/1699907505</v>
      </c>
      <c r="BI289" s="76"/>
      <c r="BJ289" s="76" t="s">
        <v>7188</v>
      </c>
      <c r="BK289" s="76" t="b">
        <v>0</v>
      </c>
      <c r="BL289" s="76"/>
      <c r="BM289" s="76" t="s">
        <v>66</v>
      </c>
      <c r="BN289" s="76" t="s">
        <v>7190</v>
      </c>
      <c r="BO289" s="82" t="str">
        <f>HYPERLINK("https://twitter.com/rebrandlybuzz")</f>
        <v>https://twitter.com/rebrandlybuzz</v>
      </c>
      <c r="BP289" s="46"/>
      <c r="BQ289" s="46"/>
      <c r="BR289" s="46"/>
      <c r="BS289" s="46"/>
      <c r="BT289" s="46"/>
      <c r="BU289" s="46"/>
      <c r="BV289" s="105" t="s">
        <v>7931</v>
      </c>
      <c r="BW289" s="105" t="s">
        <v>7931</v>
      </c>
      <c r="BX289" s="105" t="s">
        <v>8162</v>
      </c>
      <c r="BY289" s="105" t="s">
        <v>8162</v>
      </c>
      <c r="BZ289" s="2"/>
    </row>
    <row r="290" spans="1:78" ht="15">
      <c r="A290" s="62" t="s">
        <v>378</v>
      </c>
      <c r="B290" s="63"/>
      <c r="C290" s="63"/>
      <c r="D290" s="64"/>
      <c r="E290" s="66"/>
      <c r="F290" s="100" t="str">
        <f>HYPERLINK("https://pbs.twimg.com/profile_images/1530161872/Job_Miner_normal.jpg")</f>
        <v>https://pbs.twimg.com/profile_images/1530161872/Job_Miner_normal.jpg</v>
      </c>
      <c r="G290" s="63"/>
      <c r="H290" s="67"/>
      <c r="I290" s="68"/>
      <c r="J290" s="68"/>
      <c r="K290" s="67" t="s">
        <v>7477</v>
      </c>
      <c r="L290" s="71"/>
      <c r="M290" s="72">
        <v>7996.486328125</v>
      </c>
      <c r="N290" s="72">
        <v>1258.073974609375</v>
      </c>
      <c r="O290" s="73"/>
      <c r="P290" s="74"/>
      <c r="Q290" s="74"/>
      <c r="R290" s="86"/>
      <c r="S290" s="46">
        <v>1</v>
      </c>
      <c r="T290" s="46">
        <v>1</v>
      </c>
      <c r="U290" s="47">
        <v>0</v>
      </c>
      <c r="V290" s="47">
        <v>0</v>
      </c>
      <c r="W290" s="47">
        <v>0</v>
      </c>
      <c r="X290" s="47">
        <v>0.002882</v>
      </c>
      <c r="Y290" s="47">
        <v>0</v>
      </c>
      <c r="Z290" s="47">
        <v>0</v>
      </c>
      <c r="AA290" s="69">
        <v>290</v>
      </c>
      <c r="AB290" s="69"/>
      <c r="AC290" s="70"/>
      <c r="AD290" s="76" t="s">
        <v>6149</v>
      </c>
      <c r="AE290" s="83" t="s">
        <v>6403</v>
      </c>
      <c r="AF290" s="76">
        <v>202</v>
      </c>
      <c r="AG290" s="76">
        <v>149</v>
      </c>
      <c r="AH290" s="76">
        <v>163593</v>
      </c>
      <c r="AI290" s="76">
        <v>1</v>
      </c>
      <c r="AJ290" s="76">
        <v>0</v>
      </c>
      <c r="AK290" s="76">
        <v>0</v>
      </c>
      <c r="AL290" s="76" t="b">
        <v>0</v>
      </c>
      <c r="AM290" s="78">
        <v>40791.22258101852</v>
      </c>
      <c r="AN290" s="76" t="s">
        <v>6604</v>
      </c>
      <c r="AO290" s="76" t="s">
        <v>6885</v>
      </c>
      <c r="AP290" s="82" t="str">
        <f>HYPERLINK("http://t.co/EUH9udxldi")</f>
        <v>http://t.co/EUH9udxldi</v>
      </c>
      <c r="AQ290" s="82" t="str">
        <f>HYPERLINK("http://www.jobminer.in")</f>
        <v>http://www.jobminer.in</v>
      </c>
      <c r="AR290" s="76" t="s">
        <v>7113</v>
      </c>
      <c r="AS290" s="76" t="s">
        <v>7157</v>
      </c>
      <c r="AT290" s="76" t="s">
        <v>7161</v>
      </c>
      <c r="AU290" s="76" t="s">
        <v>7181</v>
      </c>
      <c r="AV290" s="76"/>
      <c r="AW290" s="82" t="str">
        <f>HYPERLINK("http://t.co/EUH9udxldi")</f>
        <v>http://t.co/EUH9udxldi</v>
      </c>
      <c r="AX290" s="76" t="b">
        <v>0</v>
      </c>
      <c r="AY290" s="76"/>
      <c r="AZ290" s="76"/>
      <c r="BA290" s="76" t="b">
        <v>0</v>
      </c>
      <c r="BB290" s="76" t="b">
        <v>1</v>
      </c>
      <c r="BC290" s="76" t="b">
        <v>1</v>
      </c>
      <c r="BD290" s="76" t="b">
        <v>0</v>
      </c>
      <c r="BE290" s="76" t="b">
        <v>0</v>
      </c>
      <c r="BF290" s="76" t="b">
        <v>0</v>
      </c>
      <c r="BG290" s="76" t="b">
        <v>0</v>
      </c>
      <c r="BH290" s="76"/>
      <c r="BI290" s="76"/>
      <c r="BJ290" s="76" t="s">
        <v>7188</v>
      </c>
      <c r="BK290" s="76" t="b">
        <v>0</v>
      </c>
      <c r="BL290" s="76"/>
      <c r="BM290" s="76" t="s">
        <v>66</v>
      </c>
      <c r="BN290" s="76" t="s">
        <v>7190</v>
      </c>
      <c r="BO290" s="82" t="str">
        <f>HYPERLINK("https://twitter.com/jobminerin")</f>
        <v>https://twitter.com/jobminerin</v>
      </c>
      <c r="BP290" s="46" t="s">
        <v>7661</v>
      </c>
      <c r="BQ290" s="46" t="s">
        <v>7661</v>
      </c>
      <c r="BR290" s="46" t="s">
        <v>1984</v>
      </c>
      <c r="BS290" s="46" t="s">
        <v>1984</v>
      </c>
      <c r="BT290" s="46" t="s">
        <v>1842</v>
      </c>
      <c r="BU290" s="46" t="s">
        <v>7769</v>
      </c>
      <c r="BV290" s="105" t="s">
        <v>7932</v>
      </c>
      <c r="BW290" s="105" t="s">
        <v>8000</v>
      </c>
      <c r="BX290" s="105" t="s">
        <v>8163</v>
      </c>
      <c r="BY290" s="105" t="s">
        <v>8222</v>
      </c>
      <c r="BZ290" s="2"/>
    </row>
    <row r="291" spans="1:78" ht="15">
      <c r="A291" s="62" t="s">
        <v>379</v>
      </c>
      <c r="B291" s="63"/>
      <c r="C291" s="63"/>
      <c r="D291" s="64"/>
      <c r="E291" s="66"/>
      <c r="F291" s="100" t="str">
        <f>HYPERLINK("https://pbs.twimg.com/profile_images/3576806864/d4f8631a5781656b82ea51cf77beb9d3_normal.png")</f>
        <v>https://pbs.twimg.com/profile_images/3576806864/d4f8631a5781656b82ea51cf77beb9d3_normal.png</v>
      </c>
      <c r="G291" s="63"/>
      <c r="H291" s="67"/>
      <c r="I291" s="68"/>
      <c r="J291" s="68"/>
      <c r="K291" s="67" t="s">
        <v>7478</v>
      </c>
      <c r="L291" s="71"/>
      <c r="M291" s="72">
        <v>8023.12548828125</v>
      </c>
      <c r="N291" s="72">
        <v>1155.6165771484375</v>
      </c>
      <c r="O291" s="73"/>
      <c r="P291" s="74"/>
      <c r="Q291" s="74"/>
      <c r="R291" s="86"/>
      <c r="S291" s="46">
        <v>0</v>
      </c>
      <c r="T291" s="46">
        <v>2</v>
      </c>
      <c r="U291" s="47">
        <v>86</v>
      </c>
      <c r="V291" s="47">
        <v>0.215725</v>
      </c>
      <c r="W291" s="47">
        <v>0.064034</v>
      </c>
      <c r="X291" s="47">
        <v>0.00262</v>
      </c>
      <c r="Y291" s="47">
        <v>0</v>
      </c>
      <c r="Z291" s="47">
        <v>0</v>
      </c>
      <c r="AA291" s="69">
        <v>291</v>
      </c>
      <c r="AB291" s="69"/>
      <c r="AC291" s="70"/>
      <c r="AD291" s="76" t="s">
        <v>6150</v>
      </c>
      <c r="AE291" s="83" t="s">
        <v>6404</v>
      </c>
      <c r="AF291" s="76">
        <v>350</v>
      </c>
      <c r="AG291" s="76">
        <v>885</v>
      </c>
      <c r="AH291" s="76">
        <v>1294</v>
      </c>
      <c r="AI291" s="76">
        <v>15</v>
      </c>
      <c r="AJ291" s="76">
        <v>117</v>
      </c>
      <c r="AK291" s="76">
        <v>269</v>
      </c>
      <c r="AL291" s="76" t="b">
        <v>0</v>
      </c>
      <c r="AM291" s="78">
        <v>41288.57111111111</v>
      </c>
      <c r="AN291" s="76" t="s">
        <v>6605</v>
      </c>
      <c r="AO291" s="76" t="s">
        <v>6886</v>
      </c>
      <c r="AP291" s="82" t="str">
        <f>HYPERLINK("http://t.co/KxDTOysERm")</f>
        <v>http://t.co/KxDTOysERm</v>
      </c>
      <c r="AQ291" s="82" t="str">
        <f>HYPERLINK("http://www.secondsthatcountstudios.com")</f>
        <v>http://www.secondsthatcountstudios.com</v>
      </c>
      <c r="AR291" s="76" t="s">
        <v>7114</v>
      </c>
      <c r="AS291" s="82" t="str">
        <f>HYPERLINK("https://t.co/3mH17fOO8Q")</f>
        <v>https://t.co/3mH17fOO8Q</v>
      </c>
      <c r="AT291" s="82" t="str">
        <f>HYPERLINK("https://www.twine.fm/kimemson")</f>
        <v>https://www.twine.fm/kimemson</v>
      </c>
      <c r="AU291" s="76" t="s">
        <v>7182</v>
      </c>
      <c r="AV291" s="76"/>
      <c r="AW291" s="82" t="str">
        <f>HYPERLINK("http://t.co/KxDTOysERm")</f>
        <v>http://t.co/KxDTOysERm</v>
      </c>
      <c r="AX291" s="76" t="b">
        <v>0</v>
      </c>
      <c r="AY291" s="76"/>
      <c r="AZ291" s="76"/>
      <c r="BA291" s="76" t="b">
        <v>0</v>
      </c>
      <c r="BB291" s="76" t="b">
        <v>1</v>
      </c>
      <c r="BC291" s="76" t="b">
        <v>0</v>
      </c>
      <c r="BD291" s="76" t="b">
        <v>0</v>
      </c>
      <c r="BE291" s="76" t="b">
        <v>0</v>
      </c>
      <c r="BF291" s="76" t="b">
        <v>0</v>
      </c>
      <c r="BG291" s="76" t="b">
        <v>0</v>
      </c>
      <c r="BH291" s="82" t="str">
        <f>HYPERLINK("https://pbs.twimg.com/profile_banners/1089075913/1366981230")</f>
        <v>https://pbs.twimg.com/profile_banners/1089075913/1366981230</v>
      </c>
      <c r="BI291" s="76"/>
      <c r="BJ291" s="76" t="s">
        <v>7188</v>
      </c>
      <c r="BK291" s="76" t="b">
        <v>0</v>
      </c>
      <c r="BL291" s="76"/>
      <c r="BM291" s="76" t="s">
        <v>66</v>
      </c>
      <c r="BN291" s="76" t="s">
        <v>7190</v>
      </c>
      <c r="BO291" s="82" t="str">
        <f>HYPERLINK("https://twitter.com/stcstudios")</f>
        <v>https://twitter.com/stcstudios</v>
      </c>
      <c r="BP291" s="46" t="s">
        <v>7662</v>
      </c>
      <c r="BQ291" s="46" t="s">
        <v>7662</v>
      </c>
      <c r="BR291" s="46" t="s">
        <v>1984</v>
      </c>
      <c r="BS291" s="46" t="s">
        <v>1984</v>
      </c>
      <c r="BT291" s="46" t="s">
        <v>1843</v>
      </c>
      <c r="BU291" s="46" t="s">
        <v>1843</v>
      </c>
      <c r="BV291" s="105" t="s">
        <v>7933</v>
      </c>
      <c r="BW291" s="105" t="s">
        <v>7933</v>
      </c>
      <c r="BX291" s="105" t="s">
        <v>8164</v>
      </c>
      <c r="BY291" s="105" t="s">
        <v>8164</v>
      </c>
      <c r="BZ291" s="2"/>
    </row>
    <row r="292" spans="1:78" ht="15">
      <c r="A292" s="62" t="s">
        <v>380</v>
      </c>
      <c r="B292" s="63"/>
      <c r="C292" s="63"/>
      <c r="D292" s="64"/>
      <c r="E292" s="66"/>
      <c r="F292" s="100" t="str">
        <f>HYPERLINK("https://pbs.twimg.com/profile_images/70171146/home_icon_normal.jpg")</f>
        <v>https://pbs.twimg.com/profile_images/70171146/home_icon_normal.jpg</v>
      </c>
      <c r="G292" s="63"/>
      <c r="H292" s="67"/>
      <c r="I292" s="68"/>
      <c r="J292" s="68"/>
      <c r="K292" s="67" t="s">
        <v>7479</v>
      </c>
      <c r="L292" s="71"/>
      <c r="M292" s="72">
        <v>8049.76513671875</v>
      </c>
      <c r="N292" s="72">
        <v>1058.1416015625</v>
      </c>
      <c r="O292" s="73"/>
      <c r="P292" s="74"/>
      <c r="Q292" s="74"/>
      <c r="R292" s="86"/>
      <c r="S292" s="46">
        <v>0</v>
      </c>
      <c r="T292" s="46">
        <v>1</v>
      </c>
      <c r="U292" s="47">
        <v>0</v>
      </c>
      <c r="V292" s="47">
        <v>0.214691</v>
      </c>
      <c r="W292" s="47">
        <v>0.062026</v>
      </c>
      <c r="X292" s="47">
        <v>0.002499</v>
      </c>
      <c r="Y292" s="47">
        <v>0</v>
      </c>
      <c r="Z292" s="47">
        <v>0</v>
      </c>
      <c r="AA292" s="69">
        <v>292</v>
      </c>
      <c r="AB292" s="69"/>
      <c r="AC292" s="70"/>
      <c r="AD292" s="76" t="s">
        <v>6151</v>
      </c>
      <c r="AE292" s="83" t="s">
        <v>6405</v>
      </c>
      <c r="AF292" s="76">
        <v>6114</v>
      </c>
      <c r="AG292" s="76">
        <v>3370</v>
      </c>
      <c r="AH292" s="76">
        <v>51422</v>
      </c>
      <c r="AI292" s="76">
        <v>149</v>
      </c>
      <c r="AJ292" s="76">
        <v>1</v>
      </c>
      <c r="AK292" s="76">
        <v>0</v>
      </c>
      <c r="AL292" s="76" t="b">
        <v>0</v>
      </c>
      <c r="AM292" s="78">
        <v>39811.92533564815</v>
      </c>
      <c r="AN292" s="76" t="s">
        <v>6465</v>
      </c>
      <c r="AO292" s="76" t="s">
        <v>6887</v>
      </c>
      <c r="AP292" s="82" t="str">
        <f>HYPERLINK("http://t.co/HRrR2A34m1")</f>
        <v>http://t.co/HRrR2A34m1</v>
      </c>
      <c r="AQ292" s="82" t="str">
        <f>HYPERLINK("http://www.twibs.com")</f>
        <v>http://www.twibs.com</v>
      </c>
      <c r="AR292" s="76" t="s">
        <v>7115</v>
      </c>
      <c r="AS292" s="76"/>
      <c r="AT292" s="76"/>
      <c r="AU292" s="76"/>
      <c r="AV292" s="76"/>
      <c r="AW292" s="82" t="str">
        <f>HYPERLINK("http://t.co/HRrR2A34m1")</f>
        <v>http://t.co/HRrR2A34m1</v>
      </c>
      <c r="AX292" s="76" t="b">
        <v>0</v>
      </c>
      <c r="AY292" s="76"/>
      <c r="AZ292" s="76"/>
      <c r="BA292" s="76" t="b">
        <v>0</v>
      </c>
      <c r="BB292" s="76" t="b">
        <v>1</v>
      </c>
      <c r="BC292" s="76" t="b">
        <v>0</v>
      </c>
      <c r="BD292" s="76" t="b">
        <v>0</v>
      </c>
      <c r="BE292" s="76" t="b">
        <v>0</v>
      </c>
      <c r="BF292" s="76" t="b">
        <v>0</v>
      </c>
      <c r="BG292" s="76" t="b">
        <v>0</v>
      </c>
      <c r="BH292" s="76"/>
      <c r="BI292" s="76"/>
      <c r="BJ292" s="76" t="s">
        <v>7188</v>
      </c>
      <c r="BK292" s="76" t="b">
        <v>0</v>
      </c>
      <c r="BL292" s="76"/>
      <c r="BM292" s="76" t="s">
        <v>66</v>
      </c>
      <c r="BN292" s="76" t="s">
        <v>7190</v>
      </c>
      <c r="BO292" s="82" t="str">
        <f>HYPERLINK("https://twitter.com/twibs")</f>
        <v>https://twitter.com/twibs</v>
      </c>
      <c r="BP292" s="46" t="s">
        <v>1964</v>
      </c>
      <c r="BQ292" s="46" t="s">
        <v>7700</v>
      </c>
      <c r="BR292" s="46" t="s">
        <v>7115</v>
      </c>
      <c r="BS292" s="46" t="s">
        <v>7115</v>
      </c>
      <c r="BT292" s="46"/>
      <c r="BU292" s="46"/>
      <c r="BV292" s="105" t="s">
        <v>7934</v>
      </c>
      <c r="BW292" s="105" t="s">
        <v>7934</v>
      </c>
      <c r="BX292" s="105" t="s">
        <v>8165</v>
      </c>
      <c r="BY292" s="105" t="s">
        <v>8165</v>
      </c>
      <c r="BZ292" s="2"/>
    </row>
    <row r="293" spans="1:78" ht="15">
      <c r="A293" s="62" t="s">
        <v>381</v>
      </c>
      <c r="B293" s="63"/>
      <c r="C293" s="63"/>
      <c r="D293" s="64"/>
      <c r="E293" s="66"/>
      <c r="F293" s="100" t="str">
        <f>HYPERLINK("https://pbs.twimg.com/profile_images/1432721216239022084/Hjg-QIdM_normal.jpg")</f>
        <v>https://pbs.twimg.com/profile_images/1432721216239022084/Hjg-QIdM_normal.jpg</v>
      </c>
      <c r="G293" s="63"/>
      <c r="H293" s="67"/>
      <c r="I293" s="68"/>
      <c r="J293" s="68"/>
      <c r="K293" s="67" t="s">
        <v>7480</v>
      </c>
      <c r="L293" s="71"/>
      <c r="M293" s="72">
        <v>8076.40576171875</v>
      </c>
      <c r="N293" s="72">
        <v>965.775634765625</v>
      </c>
      <c r="O293" s="73"/>
      <c r="P293" s="74"/>
      <c r="Q293" s="74"/>
      <c r="R293" s="86"/>
      <c r="S293" s="46">
        <v>0</v>
      </c>
      <c r="T293" s="46">
        <v>1</v>
      </c>
      <c r="U293" s="47">
        <v>0</v>
      </c>
      <c r="V293" s="47">
        <v>0.214691</v>
      </c>
      <c r="W293" s="47">
        <v>0.062026</v>
      </c>
      <c r="X293" s="47">
        <v>0.002499</v>
      </c>
      <c r="Y293" s="47">
        <v>0</v>
      </c>
      <c r="Z293" s="47">
        <v>0</v>
      </c>
      <c r="AA293" s="69">
        <v>293</v>
      </c>
      <c r="AB293" s="69"/>
      <c r="AC293" s="70"/>
      <c r="AD293" s="76" t="s">
        <v>6152</v>
      </c>
      <c r="AE293" s="83" t="s">
        <v>6406</v>
      </c>
      <c r="AF293" s="76">
        <v>412</v>
      </c>
      <c r="AG293" s="76">
        <v>722</v>
      </c>
      <c r="AH293" s="76">
        <v>6145</v>
      </c>
      <c r="AI293" s="76">
        <v>449</v>
      </c>
      <c r="AJ293" s="76">
        <v>6588</v>
      </c>
      <c r="AK293" s="76">
        <v>838</v>
      </c>
      <c r="AL293" s="76" t="b">
        <v>0</v>
      </c>
      <c r="AM293" s="78">
        <v>42219.901354166665</v>
      </c>
      <c r="AN293" s="76" t="s">
        <v>6606</v>
      </c>
      <c r="AO293" s="76" t="s">
        <v>6888</v>
      </c>
      <c r="AP293" s="82" t="str">
        <f>HYPERLINK("https://t.co/gPYPP1wSKT")</f>
        <v>https://t.co/gPYPP1wSKT</v>
      </c>
      <c r="AQ293" s="82" t="str">
        <f>HYPERLINK("https://www.stefka.com/")</f>
        <v>https://www.stefka.com/</v>
      </c>
      <c r="AR293" s="76" t="s">
        <v>7116</v>
      </c>
      <c r="AS293" s="76"/>
      <c r="AT293" s="76"/>
      <c r="AU293" s="76"/>
      <c r="AV293" s="76"/>
      <c r="AW293" s="82" t="str">
        <f>HYPERLINK("https://t.co/gPYPP1wSKT")</f>
        <v>https://t.co/gPYPP1wSKT</v>
      </c>
      <c r="AX293" s="76" t="b">
        <v>0</v>
      </c>
      <c r="AY293" s="76" t="b">
        <v>1</v>
      </c>
      <c r="AZ293" s="76"/>
      <c r="BA293" s="76" t="b">
        <v>1</v>
      </c>
      <c r="BB293" s="76" t="b">
        <v>1</v>
      </c>
      <c r="BC293" s="76" t="b">
        <v>0</v>
      </c>
      <c r="BD293" s="76" t="b">
        <v>0</v>
      </c>
      <c r="BE293" s="76" t="b">
        <v>0</v>
      </c>
      <c r="BF293" s="76" t="b">
        <v>0</v>
      </c>
      <c r="BG293" s="76" t="b">
        <v>0</v>
      </c>
      <c r="BH293" s="82" t="str">
        <f>HYPERLINK("https://pbs.twimg.com/profile_banners/3401908216/1630422354")</f>
        <v>https://pbs.twimg.com/profile_banners/3401908216/1630422354</v>
      </c>
      <c r="BI293" s="76"/>
      <c r="BJ293" s="76" t="s">
        <v>7188</v>
      </c>
      <c r="BK293" s="76" t="b">
        <v>0</v>
      </c>
      <c r="BL293" s="76"/>
      <c r="BM293" s="76" t="s">
        <v>66</v>
      </c>
      <c r="BN293" s="76" t="s">
        <v>7190</v>
      </c>
      <c r="BO293" s="82" t="str">
        <f>HYPERLINK("https://twitter.com/iistefka")</f>
        <v>https://twitter.com/iistefka</v>
      </c>
      <c r="BP293" s="46" t="s">
        <v>7663</v>
      </c>
      <c r="BQ293" s="46" t="s">
        <v>7663</v>
      </c>
      <c r="BR293" s="46" t="s">
        <v>2030</v>
      </c>
      <c r="BS293" s="46" t="s">
        <v>2030</v>
      </c>
      <c r="BT293" s="46"/>
      <c r="BU293" s="46"/>
      <c r="BV293" s="105" t="s">
        <v>7935</v>
      </c>
      <c r="BW293" s="105" t="s">
        <v>7935</v>
      </c>
      <c r="BX293" s="105" t="s">
        <v>8166</v>
      </c>
      <c r="BY293" s="105" t="s">
        <v>8166</v>
      </c>
      <c r="BZ293" s="2"/>
    </row>
    <row r="294" spans="1:78" ht="15">
      <c r="A294" s="62" t="s">
        <v>382</v>
      </c>
      <c r="B294" s="63"/>
      <c r="C294" s="63"/>
      <c r="D294" s="64"/>
      <c r="E294" s="66"/>
      <c r="F294" s="100" t="str">
        <f>HYPERLINK("https://abs.twimg.com/sticky/default_profile_images/default_profile_normal.png")</f>
        <v>https://abs.twimg.com/sticky/default_profile_images/default_profile_normal.png</v>
      </c>
      <c r="G294" s="63"/>
      <c r="H294" s="67"/>
      <c r="I294" s="68"/>
      <c r="J294" s="68"/>
      <c r="K294" s="67" t="s">
        <v>7481</v>
      </c>
      <c r="L294" s="71"/>
      <c r="M294" s="72">
        <v>8103.04541015625</v>
      </c>
      <c r="N294" s="72">
        <v>878.6401977539062</v>
      </c>
      <c r="O294" s="73"/>
      <c r="P294" s="74"/>
      <c r="Q294" s="74"/>
      <c r="R294" s="86"/>
      <c r="S294" s="46">
        <v>1</v>
      </c>
      <c r="T294" s="46">
        <v>1</v>
      </c>
      <c r="U294" s="47">
        <v>0</v>
      </c>
      <c r="V294" s="47">
        <v>0</v>
      </c>
      <c r="W294" s="47">
        <v>0</v>
      </c>
      <c r="X294" s="47">
        <v>0.002882</v>
      </c>
      <c r="Y294" s="47">
        <v>0</v>
      </c>
      <c r="Z294" s="47">
        <v>0</v>
      </c>
      <c r="AA294" s="69">
        <v>294</v>
      </c>
      <c r="AB294" s="69"/>
      <c r="AC294" s="70"/>
      <c r="AD294" s="76" t="s">
        <v>6153</v>
      </c>
      <c r="AE294" s="83" t="s">
        <v>6407</v>
      </c>
      <c r="AF294" s="76">
        <v>117</v>
      </c>
      <c r="AG294" s="76">
        <v>1</v>
      </c>
      <c r="AH294" s="76">
        <v>13704</v>
      </c>
      <c r="AI294" s="76">
        <v>1</v>
      </c>
      <c r="AJ294" s="76">
        <v>0</v>
      </c>
      <c r="AK294" s="76">
        <v>0</v>
      </c>
      <c r="AL294" s="76" t="b">
        <v>0</v>
      </c>
      <c r="AM294" s="78">
        <v>40787.52415509259</v>
      </c>
      <c r="AN294" s="76" t="s">
        <v>3889</v>
      </c>
      <c r="AO294" s="76" t="s">
        <v>6889</v>
      </c>
      <c r="AP294" s="82" t="str">
        <f>HYPERLINK("http://t.co/BlTZX1fUbO")</f>
        <v>http://t.co/BlTZX1fUbO</v>
      </c>
      <c r="AQ294" s="82" t="str">
        <f>HYPERLINK("http://www.indianjobtalks.com/forum/index.php")</f>
        <v>http://www.indianjobtalks.com/forum/index.php</v>
      </c>
      <c r="AR294" s="76" t="s">
        <v>7117</v>
      </c>
      <c r="AS294" s="76"/>
      <c r="AT294" s="76"/>
      <c r="AU294" s="76"/>
      <c r="AV294" s="76"/>
      <c r="AW294" s="82" t="str">
        <f>HYPERLINK("http://t.co/BlTZX1fUbO")</f>
        <v>http://t.co/BlTZX1fUbO</v>
      </c>
      <c r="AX294" s="76" t="b">
        <v>0</v>
      </c>
      <c r="AY294" s="76"/>
      <c r="AZ294" s="76"/>
      <c r="BA294" s="76" t="b">
        <v>0</v>
      </c>
      <c r="BB294" s="76" t="b">
        <v>1</v>
      </c>
      <c r="BC294" s="76" t="b">
        <v>1</v>
      </c>
      <c r="BD294" s="76" t="b">
        <v>1</v>
      </c>
      <c r="BE294" s="76" t="b">
        <v>0</v>
      </c>
      <c r="BF294" s="76" t="b">
        <v>0</v>
      </c>
      <c r="BG294" s="76" t="b">
        <v>0</v>
      </c>
      <c r="BH294" s="76"/>
      <c r="BI294" s="76"/>
      <c r="BJ294" s="76" t="s">
        <v>7188</v>
      </c>
      <c r="BK294" s="76" t="b">
        <v>0</v>
      </c>
      <c r="BL294" s="76"/>
      <c r="BM294" s="76" t="s">
        <v>66</v>
      </c>
      <c r="BN294" s="76" t="s">
        <v>7190</v>
      </c>
      <c r="BO294" s="82" t="str">
        <f>HYPERLINK("https://twitter.com/indianjobtalkss")</f>
        <v>https://twitter.com/indianjobtalkss</v>
      </c>
      <c r="BP294" s="46" t="s">
        <v>1965</v>
      </c>
      <c r="BQ294" s="46" t="s">
        <v>1965</v>
      </c>
      <c r="BR294" s="46" t="s">
        <v>2031</v>
      </c>
      <c r="BS294" s="46" t="s">
        <v>7725</v>
      </c>
      <c r="BT294" s="46"/>
      <c r="BU294" s="46"/>
      <c r="BV294" s="105" t="s">
        <v>7936</v>
      </c>
      <c r="BW294" s="105" t="s">
        <v>7936</v>
      </c>
      <c r="BX294" s="105" t="s">
        <v>8167</v>
      </c>
      <c r="BY294" s="105" t="s">
        <v>8167</v>
      </c>
      <c r="BZ294" s="2"/>
    </row>
    <row r="295" spans="1:78" ht="15">
      <c r="A295" s="62" t="s">
        <v>383</v>
      </c>
      <c r="B295" s="63"/>
      <c r="C295" s="63"/>
      <c r="D295" s="64"/>
      <c r="E295" s="66"/>
      <c r="F295" s="100" t="str">
        <f>HYPERLINK("https://pbs.twimg.com/profile_images/1316788614630707201/sw-NxJ_U_normal.png")</f>
        <v>https://pbs.twimg.com/profile_images/1316788614630707201/sw-NxJ_U_normal.png</v>
      </c>
      <c r="G295" s="63"/>
      <c r="H295" s="67"/>
      <c r="I295" s="68"/>
      <c r="J295" s="68"/>
      <c r="K295" s="67" t="s">
        <v>7482</v>
      </c>
      <c r="L295" s="71"/>
      <c r="M295" s="72">
        <v>8129.685546875</v>
      </c>
      <c r="N295" s="72">
        <v>796.8456420898438</v>
      </c>
      <c r="O295" s="73"/>
      <c r="P295" s="74"/>
      <c r="Q295" s="74"/>
      <c r="R295" s="86"/>
      <c r="S295" s="46">
        <v>0</v>
      </c>
      <c r="T295" s="46">
        <v>2</v>
      </c>
      <c r="U295" s="47">
        <v>86</v>
      </c>
      <c r="V295" s="47">
        <v>0.215725</v>
      </c>
      <c r="W295" s="47">
        <v>0.064034</v>
      </c>
      <c r="X295" s="47">
        <v>0.00262</v>
      </c>
      <c r="Y295" s="47">
        <v>0</v>
      </c>
      <c r="Z295" s="47">
        <v>0</v>
      </c>
      <c r="AA295" s="69">
        <v>295</v>
      </c>
      <c r="AB295" s="69"/>
      <c r="AC295" s="70"/>
      <c r="AD295" s="76" t="s">
        <v>6154</v>
      </c>
      <c r="AE295" s="83" t="s">
        <v>6408</v>
      </c>
      <c r="AF295" s="76">
        <v>997</v>
      </c>
      <c r="AG295" s="76">
        <v>543</v>
      </c>
      <c r="AH295" s="76">
        <v>606</v>
      </c>
      <c r="AI295" s="76">
        <v>31</v>
      </c>
      <c r="AJ295" s="76">
        <v>234</v>
      </c>
      <c r="AK295" s="76">
        <v>58</v>
      </c>
      <c r="AL295" s="76" t="b">
        <v>0</v>
      </c>
      <c r="AM295" s="78">
        <v>41422.71619212963</v>
      </c>
      <c r="AN295" s="76" t="s">
        <v>6607</v>
      </c>
      <c r="AO295" s="76" t="s">
        <v>6890</v>
      </c>
      <c r="AP295" s="82" t="str">
        <f>HYPERLINK("https://t.co/JNHZdw1vpL")</f>
        <v>https://t.co/JNHZdw1vpL</v>
      </c>
      <c r="AQ295" s="82" t="str">
        <f>HYPERLINK("http://nodebb.org")</f>
        <v>http://nodebb.org</v>
      </c>
      <c r="AR295" s="76" t="s">
        <v>7118</v>
      </c>
      <c r="AS295" s="82" t="str">
        <f>HYPERLINK("https://t.co/VoO0dgmUOP")</f>
        <v>https://t.co/VoO0dgmUOP</v>
      </c>
      <c r="AT295" s="82" t="str">
        <f>HYPERLINK("http://fosstodon.org/@nodebb")</f>
        <v>http://fosstodon.org/@nodebb</v>
      </c>
      <c r="AU295" s="76" t="s">
        <v>7183</v>
      </c>
      <c r="AV295" s="76"/>
      <c r="AW295" s="82" t="str">
        <f>HYPERLINK("https://t.co/JNHZdw1vpL")</f>
        <v>https://t.co/JNHZdw1vpL</v>
      </c>
      <c r="AX295" s="76" t="b">
        <v>0</v>
      </c>
      <c r="AY295" s="76"/>
      <c r="AZ295" s="76"/>
      <c r="BA295" s="76" t="b">
        <v>0</v>
      </c>
      <c r="BB295" s="76" t="b">
        <v>1</v>
      </c>
      <c r="BC295" s="76" t="b">
        <v>0</v>
      </c>
      <c r="BD295" s="76" t="b">
        <v>0</v>
      </c>
      <c r="BE295" s="76" t="b">
        <v>0</v>
      </c>
      <c r="BF295" s="76" t="b">
        <v>0</v>
      </c>
      <c r="BG295" s="76" t="b">
        <v>0</v>
      </c>
      <c r="BH295" s="82" t="str">
        <f>HYPERLINK("https://pbs.twimg.com/profile_banners/1465184376/1606146512")</f>
        <v>https://pbs.twimg.com/profile_banners/1465184376/1606146512</v>
      </c>
      <c r="BI295" s="76"/>
      <c r="BJ295" s="76" t="s">
        <v>7188</v>
      </c>
      <c r="BK295" s="76" t="b">
        <v>0</v>
      </c>
      <c r="BL295" s="76"/>
      <c r="BM295" s="76" t="s">
        <v>66</v>
      </c>
      <c r="BN295" s="76" t="s">
        <v>7190</v>
      </c>
      <c r="BO295" s="82" t="str">
        <f>HYPERLINK("https://twitter.com/nodebb")</f>
        <v>https://twitter.com/nodebb</v>
      </c>
      <c r="BP295" s="46" t="s">
        <v>7664</v>
      </c>
      <c r="BQ295" s="46" t="s">
        <v>7664</v>
      </c>
      <c r="BR295" s="46" t="s">
        <v>1981</v>
      </c>
      <c r="BS295" s="46" t="s">
        <v>1981</v>
      </c>
      <c r="BT295" s="46" t="s">
        <v>1844</v>
      </c>
      <c r="BU295" s="46" t="s">
        <v>1844</v>
      </c>
      <c r="BV295" s="105" t="s">
        <v>7937</v>
      </c>
      <c r="BW295" s="105" t="s">
        <v>7937</v>
      </c>
      <c r="BX295" s="105" t="s">
        <v>8168</v>
      </c>
      <c r="BY295" s="105" t="s">
        <v>8168</v>
      </c>
      <c r="BZ295" s="2"/>
    </row>
    <row r="296" spans="1:78" ht="15">
      <c r="A296" s="62" t="s">
        <v>384</v>
      </c>
      <c r="B296" s="63"/>
      <c r="C296" s="63"/>
      <c r="D296" s="64"/>
      <c r="E296" s="66"/>
      <c r="F296" s="100" t="str">
        <f>HYPERLINK("https://pbs.twimg.com/profile_images/453889890501943296/WeAdnVEW_normal.png")</f>
        <v>https://pbs.twimg.com/profile_images/453889890501943296/WeAdnVEW_normal.png</v>
      </c>
      <c r="G296" s="63"/>
      <c r="H296" s="67"/>
      <c r="I296" s="68"/>
      <c r="J296" s="68"/>
      <c r="K296" s="67" t="s">
        <v>7483</v>
      </c>
      <c r="L296" s="71"/>
      <c r="M296" s="72">
        <v>8156.3251953125</v>
      </c>
      <c r="N296" s="72">
        <v>720.4996948242188</v>
      </c>
      <c r="O296" s="73"/>
      <c r="P296" s="74"/>
      <c r="Q296" s="74"/>
      <c r="R296" s="86"/>
      <c r="S296" s="46">
        <v>1</v>
      </c>
      <c r="T296" s="46">
        <v>1</v>
      </c>
      <c r="U296" s="47">
        <v>0</v>
      </c>
      <c r="V296" s="47">
        <v>0</v>
      </c>
      <c r="W296" s="47">
        <v>0</v>
      </c>
      <c r="X296" s="47">
        <v>0.002882</v>
      </c>
      <c r="Y296" s="47">
        <v>0</v>
      </c>
      <c r="Z296" s="47">
        <v>0</v>
      </c>
      <c r="AA296" s="69">
        <v>296</v>
      </c>
      <c r="AB296" s="69"/>
      <c r="AC296" s="70"/>
      <c r="AD296" s="76" t="s">
        <v>384</v>
      </c>
      <c r="AE296" s="83" t="s">
        <v>6409</v>
      </c>
      <c r="AF296" s="76">
        <v>42</v>
      </c>
      <c r="AG296" s="76">
        <v>5</v>
      </c>
      <c r="AH296" s="76">
        <v>5417</v>
      </c>
      <c r="AI296" s="76">
        <v>0</v>
      </c>
      <c r="AJ296" s="76">
        <v>0</v>
      </c>
      <c r="AK296" s="76">
        <v>0</v>
      </c>
      <c r="AL296" s="76" t="b">
        <v>0</v>
      </c>
      <c r="AM296" s="78">
        <v>41738.557442129626</v>
      </c>
      <c r="AN296" s="76"/>
      <c r="AO296" s="76"/>
      <c r="AP296" s="76"/>
      <c r="AQ296" s="76"/>
      <c r="AR296" s="76"/>
      <c r="AS296" s="76"/>
      <c r="AT296" s="76"/>
      <c r="AU296" s="76"/>
      <c r="AV296" s="76"/>
      <c r="AW296" s="76"/>
      <c r="AX296" s="76" t="b">
        <v>0</v>
      </c>
      <c r="AY296" s="76"/>
      <c r="AZ296" s="76"/>
      <c r="BA296" s="76" t="b">
        <v>0</v>
      </c>
      <c r="BB296" s="76" t="b">
        <v>1</v>
      </c>
      <c r="BC296" s="76" t="b">
        <v>1</v>
      </c>
      <c r="BD296" s="76" t="b">
        <v>0</v>
      </c>
      <c r="BE296" s="76" t="b">
        <v>0</v>
      </c>
      <c r="BF296" s="76" t="b">
        <v>0</v>
      </c>
      <c r="BG296" s="76" t="b">
        <v>0</v>
      </c>
      <c r="BH296" s="82" t="str">
        <f>HYPERLINK("https://pbs.twimg.com/profile_banners/2435446556/1397138966")</f>
        <v>https://pbs.twimg.com/profile_banners/2435446556/1397138966</v>
      </c>
      <c r="BI296" s="76"/>
      <c r="BJ296" s="76" t="s">
        <v>7188</v>
      </c>
      <c r="BK296" s="76" t="b">
        <v>0</v>
      </c>
      <c r="BL296" s="76"/>
      <c r="BM296" s="76" t="s">
        <v>66</v>
      </c>
      <c r="BN296" s="76" t="s">
        <v>7190</v>
      </c>
      <c r="BO296" s="82" t="str">
        <f>HYPERLINK("https://twitter.com/alljobs4u_com")</f>
        <v>https://twitter.com/alljobs4u_com</v>
      </c>
      <c r="BP296" s="46" t="s">
        <v>7665</v>
      </c>
      <c r="BQ296" s="46" t="s">
        <v>7665</v>
      </c>
      <c r="BR296" s="46" t="s">
        <v>1975</v>
      </c>
      <c r="BS296" s="46" t="s">
        <v>1975</v>
      </c>
      <c r="BT296" s="46"/>
      <c r="BU296" s="46"/>
      <c r="BV296" s="105" t="s">
        <v>7938</v>
      </c>
      <c r="BW296" s="105" t="s">
        <v>7938</v>
      </c>
      <c r="BX296" s="105" t="s">
        <v>8169</v>
      </c>
      <c r="BY296" s="105" t="s">
        <v>8169</v>
      </c>
      <c r="BZ296" s="2"/>
    </row>
    <row r="297" spans="1:78" ht="15">
      <c r="A297" s="62" t="s">
        <v>385</v>
      </c>
      <c r="B297" s="63"/>
      <c r="C297" s="63"/>
      <c r="D297" s="64"/>
      <c r="E297" s="66"/>
      <c r="F297" s="100" t="str">
        <f>HYPERLINK("https://abs.twimg.com/sticky/default_profile_images/default_profile_normal.png")</f>
        <v>https://abs.twimg.com/sticky/default_profile_images/default_profile_normal.png</v>
      </c>
      <c r="G297" s="63"/>
      <c r="H297" s="67"/>
      <c r="I297" s="68"/>
      <c r="J297" s="68"/>
      <c r="K297" s="67" t="s">
        <v>7484</v>
      </c>
      <c r="L297" s="71"/>
      <c r="M297" s="72">
        <v>8182.96435546875</v>
      </c>
      <c r="N297" s="72">
        <v>649.7008056640625</v>
      </c>
      <c r="O297" s="73"/>
      <c r="P297" s="74"/>
      <c r="Q297" s="74"/>
      <c r="R297" s="86"/>
      <c r="S297" s="46">
        <v>0</v>
      </c>
      <c r="T297" s="46">
        <v>1</v>
      </c>
      <c r="U297" s="47">
        <v>0</v>
      </c>
      <c r="V297" s="47">
        <v>0.214691</v>
      </c>
      <c r="W297" s="47">
        <v>0.062026</v>
      </c>
      <c r="X297" s="47">
        <v>0.002499</v>
      </c>
      <c r="Y297" s="47">
        <v>0</v>
      </c>
      <c r="Z297" s="47">
        <v>0</v>
      </c>
      <c r="AA297" s="69">
        <v>297</v>
      </c>
      <c r="AB297" s="69"/>
      <c r="AC297" s="70"/>
      <c r="AD297" s="76" t="s">
        <v>6155</v>
      </c>
      <c r="AE297" s="83" t="s">
        <v>5824</v>
      </c>
      <c r="AF297" s="76">
        <v>3</v>
      </c>
      <c r="AG297" s="76">
        <v>0</v>
      </c>
      <c r="AH297" s="76">
        <v>1218</v>
      </c>
      <c r="AI297" s="76">
        <v>10</v>
      </c>
      <c r="AJ297" s="76">
        <v>92</v>
      </c>
      <c r="AK297" s="76">
        <v>191</v>
      </c>
      <c r="AL297" s="76" t="b">
        <v>0</v>
      </c>
      <c r="AM297" s="78">
        <v>44809.82644675926</v>
      </c>
      <c r="AN297" s="76"/>
      <c r="AO297" s="76"/>
      <c r="AP297" s="76"/>
      <c r="AQ297" s="76"/>
      <c r="AR297" s="76"/>
      <c r="AS297" s="76"/>
      <c r="AT297" s="76"/>
      <c r="AU297" s="76"/>
      <c r="AV297" s="76"/>
      <c r="AW297" s="76"/>
      <c r="AX297" s="76" t="b">
        <v>0</v>
      </c>
      <c r="AY297" s="76"/>
      <c r="AZ297" s="76"/>
      <c r="BA297" s="76" t="b">
        <v>1</v>
      </c>
      <c r="BB297" s="76" t="b">
        <v>0</v>
      </c>
      <c r="BC297" s="76" t="b">
        <v>1</v>
      </c>
      <c r="BD297" s="76" t="b">
        <v>1</v>
      </c>
      <c r="BE297" s="76" t="b">
        <v>0</v>
      </c>
      <c r="BF297" s="76" t="b">
        <v>0</v>
      </c>
      <c r="BG297" s="76" t="b">
        <v>0</v>
      </c>
      <c r="BH297" s="76"/>
      <c r="BI297" s="76"/>
      <c r="BJ297" s="76" t="s">
        <v>7188</v>
      </c>
      <c r="BK297" s="76" t="b">
        <v>0</v>
      </c>
      <c r="BL297" s="76"/>
      <c r="BM297" s="76" t="s">
        <v>66</v>
      </c>
      <c r="BN297" s="76" t="s">
        <v>7190</v>
      </c>
      <c r="BO297" s="82" t="str">
        <f>HYPERLINK("https://twitter.com/fuckthisdude2")</f>
        <v>https://twitter.com/fuckthisdude2</v>
      </c>
      <c r="BP297" s="46"/>
      <c r="BQ297" s="46"/>
      <c r="BR297" s="46"/>
      <c r="BS297" s="46"/>
      <c r="BT297" s="46"/>
      <c r="BU297" s="46"/>
      <c r="BV297" s="105" t="s">
        <v>7939</v>
      </c>
      <c r="BW297" s="105" t="s">
        <v>7939</v>
      </c>
      <c r="BX297" s="105" t="s">
        <v>8170</v>
      </c>
      <c r="BY297" s="105" t="s">
        <v>8170</v>
      </c>
      <c r="BZ297" s="2"/>
    </row>
    <row r="298" spans="1:78" ht="15">
      <c r="A298" s="62" t="s">
        <v>386</v>
      </c>
      <c r="B298" s="63"/>
      <c r="C298" s="63"/>
      <c r="D298" s="64"/>
      <c r="E298" s="66"/>
      <c r="F298" s="100" t="str">
        <f>HYPERLINK("https://abs.twimg.com/sticky/default_profile_images/default_profile_normal.png")</f>
        <v>https://abs.twimg.com/sticky/default_profile_images/default_profile_normal.png</v>
      </c>
      <c r="G298" s="63"/>
      <c r="H298" s="67"/>
      <c r="I298" s="68"/>
      <c r="J298" s="68"/>
      <c r="K298" s="67" t="s">
        <v>7485</v>
      </c>
      <c r="L298" s="71"/>
      <c r="M298" s="72">
        <v>8209.60546875</v>
      </c>
      <c r="N298" s="72">
        <v>584.5404663085938</v>
      </c>
      <c r="O298" s="73"/>
      <c r="P298" s="74"/>
      <c r="Q298" s="74"/>
      <c r="R298" s="86"/>
      <c r="S298" s="46">
        <v>1</v>
      </c>
      <c r="T298" s="46">
        <v>1</v>
      </c>
      <c r="U298" s="47">
        <v>0</v>
      </c>
      <c r="V298" s="47">
        <v>0</v>
      </c>
      <c r="W298" s="47">
        <v>0</v>
      </c>
      <c r="X298" s="47">
        <v>0.002882</v>
      </c>
      <c r="Y298" s="47">
        <v>0</v>
      </c>
      <c r="Z298" s="47">
        <v>0</v>
      </c>
      <c r="AA298" s="69">
        <v>298</v>
      </c>
      <c r="AB298" s="69"/>
      <c r="AC298" s="70"/>
      <c r="AD298" s="76" t="s">
        <v>6156</v>
      </c>
      <c r="AE298" s="83" t="s">
        <v>6410</v>
      </c>
      <c r="AF298" s="76">
        <v>177</v>
      </c>
      <c r="AG298" s="76">
        <v>0</v>
      </c>
      <c r="AH298" s="76">
        <v>405</v>
      </c>
      <c r="AI298" s="76">
        <v>0</v>
      </c>
      <c r="AJ298" s="76">
        <v>0</v>
      </c>
      <c r="AK298" s="76">
        <v>0</v>
      </c>
      <c r="AL298" s="76" t="b">
        <v>0</v>
      </c>
      <c r="AM298" s="78">
        <v>41365.566782407404</v>
      </c>
      <c r="AN298" s="76"/>
      <c r="AO298" s="76"/>
      <c r="AP298" s="76"/>
      <c r="AQ298" s="76"/>
      <c r="AR298" s="76"/>
      <c r="AS298" s="76"/>
      <c r="AT298" s="76"/>
      <c r="AU298" s="76"/>
      <c r="AV298" s="76"/>
      <c r="AW298" s="76"/>
      <c r="AX298" s="76" t="b">
        <v>0</v>
      </c>
      <c r="AY298" s="76"/>
      <c r="AZ298" s="76"/>
      <c r="BA298" s="76" t="b">
        <v>0</v>
      </c>
      <c r="BB298" s="76" t="b">
        <v>1</v>
      </c>
      <c r="BC298" s="76" t="b">
        <v>1</v>
      </c>
      <c r="BD298" s="76" t="b">
        <v>1</v>
      </c>
      <c r="BE298" s="76" t="b">
        <v>0</v>
      </c>
      <c r="BF298" s="76" t="b">
        <v>0</v>
      </c>
      <c r="BG298" s="76" t="b">
        <v>0</v>
      </c>
      <c r="BH298" s="76"/>
      <c r="BI298" s="76"/>
      <c r="BJ298" s="76" t="s">
        <v>7188</v>
      </c>
      <c r="BK298" s="76" t="b">
        <v>0</v>
      </c>
      <c r="BL298" s="76"/>
      <c r="BM298" s="76" t="s">
        <v>66</v>
      </c>
      <c r="BN298" s="76" t="s">
        <v>7190</v>
      </c>
      <c r="BO298" s="82" t="str">
        <f>HYPERLINK("https://twitter.com/jwjobssms")</f>
        <v>https://twitter.com/jwjobssms</v>
      </c>
      <c r="BP298" s="46"/>
      <c r="BQ298" s="46"/>
      <c r="BR298" s="46"/>
      <c r="BS298" s="46"/>
      <c r="BT298" s="46"/>
      <c r="BU298" s="46"/>
      <c r="BV298" s="105" t="s">
        <v>7940</v>
      </c>
      <c r="BW298" s="105" t="s">
        <v>7940</v>
      </c>
      <c r="BX298" s="105" t="s">
        <v>8171</v>
      </c>
      <c r="BY298" s="105" t="s">
        <v>8171</v>
      </c>
      <c r="BZ298" s="2"/>
    </row>
    <row r="299" spans="1:78" ht="15">
      <c r="A299" s="62" t="s">
        <v>387</v>
      </c>
      <c r="B299" s="63"/>
      <c r="C299" s="63"/>
      <c r="D299" s="64"/>
      <c r="E299" s="66"/>
      <c r="F299" s="100" t="str">
        <f>HYPERLINK("https://pbs.twimg.com/profile_images/2158595664/oracle-dba-career_normal.gif")</f>
        <v>https://pbs.twimg.com/profile_images/2158595664/oracle-dba-career_normal.gif</v>
      </c>
      <c r="G299" s="63"/>
      <c r="H299" s="67"/>
      <c r="I299" s="68"/>
      <c r="J299" s="68"/>
      <c r="K299" s="67" t="s">
        <v>7486</v>
      </c>
      <c r="L299" s="71"/>
      <c r="M299" s="72">
        <v>8236.244140625</v>
      </c>
      <c r="N299" s="72">
        <v>525.1038818359375</v>
      </c>
      <c r="O299" s="73"/>
      <c r="P299" s="74"/>
      <c r="Q299" s="74"/>
      <c r="R299" s="86"/>
      <c r="S299" s="46">
        <v>1</v>
      </c>
      <c r="T299" s="46">
        <v>1</v>
      </c>
      <c r="U299" s="47">
        <v>0</v>
      </c>
      <c r="V299" s="47">
        <v>0</v>
      </c>
      <c r="W299" s="47">
        <v>0</v>
      </c>
      <c r="X299" s="47">
        <v>0.002882</v>
      </c>
      <c r="Y299" s="47">
        <v>0</v>
      </c>
      <c r="Z299" s="47">
        <v>0</v>
      </c>
      <c r="AA299" s="69">
        <v>299</v>
      </c>
      <c r="AB299" s="69"/>
      <c r="AC299" s="70"/>
      <c r="AD299" s="76" t="s">
        <v>6157</v>
      </c>
      <c r="AE299" s="83" t="s">
        <v>6411</v>
      </c>
      <c r="AF299" s="76">
        <v>78</v>
      </c>
      <c r="AG299" s="76">
        <v>5</v>
      </c>
      <c r="AH299" s="76">
        <v>2029</v>
      </c>
      <c r="AI299" s="76">
        <v>0</v>
      </c>
      <c r="AJ299" s="76">
        <v>0</v>
      </c>
      <c r="AK299" s="76">
        <v>0</v>
      </c>
      <c r="AL299" s="76" t="b">
        <v>0</v>
      </c>
      <c r="AM299" s="78">
        <v>41019.783125</v>
      </c>
      <c r="AN299" s="76" t="s">
        <v>3910</v>
      </c>
      <c r="AO299" s="76"/>
      <c r="AP299" s="82" t="str">
        <f>HYPERLINK("http://t.co/a05dPrmfhi")</f>
        <v>http://t.co/a05dPrmfhi</v>
      </c>
      <c r="AQ299" s="82" t="str">
        <f>HYPERLINK("http://www.sandijobs.com")</f>
        <v>http://www.sandijobs.com</v>
      </c>
      <c r="AR299" s="76" t="s">
        <v>7119</v>
      </c>
      <c r="AS299" s="76"/>
      <c r="AT299" s="76"/>
      <c r="AU299" s="76"/>
      <c r="AV299" s="76"/>
      <c r="AW299" s="82" t="str">
        <f>HYPERLINK("http://t.co/a05dPrmfhi")</f>
        <v>http://t.co/a05dPrmfhi</v>
      </c>
      <c r="AX299" s="76" t="b">
        <v>0</v>
      </c>
      <c r="AY299" s="76"/>
      <c r="AZ299" s="76"/>
      <c r="BA299" s="76" t="b">
        <v>0</v>
      </c>
      <c r="BB299" s="76" t="b">
        <v>1</v>
      </c>
      <c r="BC299" s="76" t="b">
        <v>1</v>
      </c>
      <c r="BD299" s="76" t="b">
        <v>0</v>
      </c>
      <c r="BE299" s="76" t="b">
        <v>0</v>
      </c>
      <c r="BF299" s="76" t="b">
        <v>0</v>
      </c>
      <c r="BG299" s="76" t="b">
        <v>0</v>
      </c>
      <c r="BH299" s="76"/>
      <c r="BI299" s="76"/>
      <c r="BJ299" s="76" t="s">
        <v>7188</v>
      </c>
      <c r="BK299" s="76" t="b">
        <v>0</v>
      </c>
      <c r="BL299" s="76"/>
      <c r="BM299" s="76" t="s">
        <v>66</v>
      </c>
      <c r="BN299" s="76" t="s">
        <v>7190</v>
      </c>
      <c r="BO299" s="82" t="str">
        <f>HYPERLINK("https://twitter.com/sandijobs")</f>
        <v>https://twitter.com/sandijobs</v>
      </c>
      <c r="BP299" s="46" t="s">
        <v>7666</v>
      </c>
      <c r="BQ299" s="46" t="s">
        <v>7666</v>
      </c>
      <c r="BR299" s="46" t="s">
        <v>1988</v>
      </c>
      <c r="BS299" s="46" t="s">
        <v>1988</v>
      </c>
      <c r="BT299" s="46"/>
      <c r="BU299" s="46"/>
      <c r="BV299" s="105" t="s">
        <v>7887</v>
      </c>
      <c r="BW299" s="105" t="s">
        <v>7887</v>
      </c>
      <c r="BX299" s="105" t="s">
        <v>8118</v>
      </c>
      <c r="BY299" s="105" t="s">
        <v>8118</v>
      </c>
      <c r="BZ299" s="2"/>
    </row>
    <row r="300" spans="1:78" ht="15">
      <c r="A300" s="62" t="s">
        <v>388</v>
      </c>
      <c r="B300" s="63"/>
      <c r="C300" s="63"/>
      <c r="D300" s="64"/>
      <c r="E300" s="66"/>
      <c r="F300" s="100" t="str">
        <f>HYPERLINK("https://pbs.twimg.com/profile_images/1627632587911954432/GIai539q_normal.jpg")</f>
        <v>https://pbs.twimg.com/profile_images/1627632587911954432/GIai539q_normal.jpg</v>
      </c>
      <c r="G300" s="63"/>
      <c r="H300" s="67"/>
      <c r="I300" s="68"/>
      <c r="J300" s="68"/>
      <c r="K300" s="67" t="s">
        <v>7487</v>
      </c>
      <c r="L300" s="71"/>
      <c r="M300" s="72">
        <v>8262.8837890625</v>
      </c>
      <c r="N300" s="72">
        <v>471.46710205078125</v>
      </c>
      <c r="O300" s="73"/>
      <c r="P300" s="74"/>
      <c r="Q300" s="74"/>
      <c r="R300" s="86"/>
      <c r="S300" s="46">
        <v>0</v>
      </c>
      <c r="T300" s="46">
        <v>1</v>
      </c>
      <c r="U300" s="47">
        <v>0</v>
      </c>
      <c r="V300" s="47">
        <v>0.214691</v>
      </c>
      <c r="W300" s="47">
        <v>0.062026</v>
      </c>
      <c r="X300" s="47">
        <v>0.002499</v>
      </c>
      <c r="Y300" s="47">
        <v>0</v>
      </c>
      <c r="Z300" s="47">
        <v>0</v>
      </c>
      <c r="AA300" s="69">
        <v>300</v>
      </c>
      <c r="AB300" s="69"/>
      <c r="AC300" s="70"/>
      <c r="AD300" s="76" t="s">
        <v>6158</v>
      </c>
      <c r="AE300" s="83" t="s">
        <v>6412</v>
      </c>
      <c r="AF300" s="76">
        <v>6677</v>
      </c>
      <c r="AG300" s="76">
        <v>4141</v>
      </c>
      <c r="AH300" s="76">
        <v>54704</v>
      </c>
      <c r="AI300" s="76">
        <v>753</v>
      </c>
      <c r="AJ300" s="76">
        <v>30457</v>
      </c>
      <c r="AK300" s="76">
        <v>4180</v>
      </c>
      <c r="AL300" s="76" t="b">
        <v>0</v>
      </c>
      <c r="AM300" s="78">
        <v>40130.76614583333</v>
      </c>
      <c r="AN300" s="76" t="s">
        <v>6608</v>
      </c>
      <c r="AO300" s="76" t="s">
        <v>6891</v>
      </c>
      <c r="AP300" s="82" t="str">
        <f>HYPERLINK("https://t.co/29MPkFSJZi")</f>
        <v>https://t.co/29MPkFSJZi</v>
      </c>
      <c r="AQ300" s="82" t="str">
        <f>HYPERLINK("http://marcoting.shop")</f>
        <v>http://marcoting.shop</v>
      </c>
      <c r="AR300" s="76" t="s">
        <v>7120</v>
      </c>
      <c r="AS300" s="82" t="str">
        <f>HYPERLINK("https://t.co/GhomSB1PJz")</f>
        <v>https://t.co/GhomSB1PJz</v>
      </c>
      <c r="AT300" s="82" t="str">
        <f>HYPERLINK("http://marcoting.live")</f>
        <v>http://marcoting.live</v>
      </c>
      <c r="AU300" s="76" t="s">
        <v>7184</v>
      </c>
      <c r="AV300" s="76">
        <v>1.73749910239993E+18</v>
      </c>
      <c r="AW300" s="82" t="str">
        <f>HYPERLINK("https://t.co/29MPkFSJZi")</f>
        <v>https://t.co/29MPkFSJZi</v>
      </c>
      <c r="AX300" s="76" t="b">
        <v>0</v>
      </c>
      <c r="AY300" s="76"/>
      <c r="AZ300" s="76"/>
      <c r="BA300" s="76" t="b">
        <v>0</v>
      </c>
      <c r="BB300" s="76" t="b">
        <v>0</v>
      </c>
      <c r="BC300" s="76" t="b">
        <v>0</v>
      </c>
      <c r="BD300" s="76" t="b">
        <v>0</v>
      </c>
      <c r="BE300" s="76" t="b">
        <v>1</v>
      </c>
      <c r="BF300" s="76" t="b">
        <v>0</v>
      </c>
      <c r="BG300" s="76" t="b">
        <v>0</v>
      </c>
      <c r="BH300" s="82" t="str">
        <f>HYPERLINK("https://pbs.twimg.com/profile_banners/89759989/1615511063")</f>
        <v>https://pbs.twimg.com/profile_banners/89759989/1615511063</v>
      </c>
      <c r="BI300" s="76"/>
      <c r="BJ300" s="76" t="s">
        <v>7188</v>
      </c>
      <c r="BK300" s="76" t="b">
        <v>0</v>
      </c>
      <c r="BL300" s="76"/>
      <c r="BM300" s="76" t="s">
        <v>66</v>
      </c>
      <c r="BN300" s="76" t="s">
        <v>7190</v>
      </c>
      <c r="BO300" s="82" t="str">
        <f>HYPERLINK("https://twitter.com/mfcnovo")</f>
        <v>https://twitter.com/mfcnovo</v>
      </c>
      <c r="BP300" s="46" t="s">
        <v>7667</v>
      </c>
      <c r="BQ300" s="46" t="s">
        <v>7667</v>
      </c>
      <c r="BR300" s="46" t="s">
        <v>2032</v>
      </c>
      <c r="BS300" s="46" t="s">
        <v>2032</v>
      </c>
      <c r="BT300" s="46" t="s">
        <v>7742</v>
      </c>
      <c r="BU300" s="46" t="s">
        <v>7770</v>
      </c>
      <c r="BV300" s="105" t="s">
        <v>7941</v>
      </c>
      <c r="BW300" s="105" t="s">
        <v>8001</v>
      </c>
      <c r="BX300" s="105" t="s">
        <v>8172</v>
      </c>
      <c r="BY300" s="105" t="s">
        <v>8223</v>
      </c>
      <c r="BZ300" s="2"/>
    </row>
    <row r="301" spans="1:78" ht="15">
      <c r="A301" s="62" t="s">
        <v>389</v>
      </c>
      <c r="B301" s="63"/>
      <c r="C301" s="63"/>
      <c r="D301" s="64"/>
      <c r="E301" s="66"/>
      <c r="F301" s="100" t="str">
        <f>HYPERLINK("https://pbs.twimg.com/profile_images/1529780776/medium_don_corleone_normal.jpg")</f>
        <v>https://pbs.twimg.com/profile_images/1529780776/medium_don_corleone_normal.jpg</v>
      </c>
      <c r="G301" s="63"/>
      <c r="H301" s="67"/>
      <c r="I301" s="68"/>
      <c r="J301" s="68"/>
      <c r="K301" s="67" t="s">
        <v>7488</v>
      </c>
      <c r="L301" s="71"/>
      <c r="M301" s="72">
        <v>8289.5244140625</v>
      </c>
      <c r="N301" s="72">
        <v>423.70074462890625</v>
      </c>
      <c r="O301" s="73"/>
      <c r="P301" s="74"/>
      <c r="Q301" s="74"/>
      <c r="R301" s="86"/>
      <c r="S301" s="46">
        <v>0</v>
      </c>
      <c r="T301" s="46">
        <v>1</v>
      </c>
      <c r="U301" s="47">
        <v>0</v>
      </c>
      <c r="V301" s="47">
        <v>0.00289</v>
      </c>
      <c r="W301" s="47">
        <v>0</v>
      </c>
      <c r="X301" s="47">
        <v>0.002882</v>
      </c>
      <c r="Y301" s="47">
        <v>0</v>
      </c>
      <c r="Z301" s="47">
        <v>0</v>
      </c>
      <c r="AA301" s="69">
        <v>301</v>
      </c>
      <c r="AB301" s="69"/>
      <c r="AC301" s="70"/>
      <c r="AD301" s="76" t="s">
        <v>6159</v>
      </c>
      <c r="AE301" s="83" t="s">
        <v>6413</v>
      </c>
      <c r="AF301" s="76">
        <v>356</v>
      </c>
      <c r="AG301" s="76">
        <v>471</v>
      </c>
      <c r="AH301" s="76">
        <v>3717</v>
      </c>
      <c r="AI301" s="76">
        <v>2</v>
      </c>
      <c r="AJ301" s="76">
        <v>270</v>
      </c>
      <c r="AK301" s="76">
        <v>124</v>
      </c>
      <c r="AL301" s="76" t="b">
        <v>0</v>
      </c>
      <c r="AM301" s="78">
        <v>40394.49523148148</v>
      </c>
      <c r="AN301" s="76" t="s">
        <v>6609</v>
      </c>
      <c r="AO301" s="76" t="s">
        <v>6892</v>
      </c>
      <c r="AP301" s="76"/>
      <c r="AQ301" s="76"/>
      <c r="AR301" s="76"/>
      <c r="AS301" s="76"/>
      <c r="AT301" s="76"/>
      <c r="AU301" s="76"/>
      <c r="AV301" s="76"/>
      <c r="AW301" s="76"/>
      <c r="AX301" s="76" t="b">
        <v>0</v>
      </c>
      <c r="AY301" s="76"/>
      <c r="AZ301" s="76"/>
      <c r="BA301" s="76" t="b">
        <v>0</v>
      </c>
      <c r="BB301" s="76" t="b">
        <v>1</v>
      </c>
      <c r="BC301" s="76" t="b">
        <v>1</v>
      </c>
      <c r="BD301" s="76" t="b">
        <v>0</v>
      </c>
      <c r="BE301" s="76" t="b">
        <v>0</v>
      </c>
      <c r="BF301" s="76" t="b">
        <v>0</v>
      </c>
      <c r="BG301" s="76" t="b">
        <v>0</v>
      </c>
      <c r="BH301" s="76"/>
      <c r="BI301" s="76"/>
      <c r="BJ301" s="76" t="s">
        <v>7188</v>
      </c>
      <c r="BK301" s="76" t="b">
        <v>0</v>
      </c>
      <c r="BL301" s="76"/>
      <c r="BM301" s="76" t="s">
        <v>66</v>
      </c>
      <c r="BN301" s="76" t="s">
        <v>7190</v>
      </c>
      <c r="BO301" s="82" t="str">
        <f>HYPERLINK("https://twitter.com/cinemaspecial")</f>
        <v>https://twitter.com/cinemaspecial</v>
      </c>
      <c r="BP301" s="46"/>
      <c r="BQ301" s="46"/>
      <c r="BR301" s="46"/>
      <c r="BS301" s="46"/>
      <c r="BT301" s="46"/>
      <c r="BU301" s="46"/>
      <c r="BV301" s="105" t="s">
        <v>7942</v>
      </c>
      <c r="BW301" s="105" t="s">
        <v>7942</v>
      </c>
      <c r="BX301" s="105" t="s">
        <v>8173</v>
      </c>
      <c r="BY301" s="105" t="s">
        <v>8173</v>
      </c>
      <c r="BZ301" s="2"/>
    </row>
    <row r="302" spans="1:78" ht="15">
      <c r="A302" s="62" t="s">
        <v>552</v>
      </c>
      <c r="B302" s="63"/>
      <c r="C302" s="63"/>
      <c r="D302" s="64"/>
      <c r="E302" s="66"/>
      <c r="F302" s="100" t="str">
        <f>HYPERLINK("https://pbs.twimg.com/profile_images/1410669533069647872/GxozOquv_normal.jpg")</f>
        <v>https://pbs.twimg.com/profile_images/1410669533069647872/GxozOquv_normal.jpg</v>
      </c>
      <c r="G302" s="63"/>
      <c r="H302" s="67"/>
      <c r="I302" s="68"/>
      <c r="J302" s="68"/>
      <c r="K302" s="67" t="s">
        <v>7489</v>
      </c>
      <c r="L302" s="71"/>
      <c r="M302" s="72">
        <v>8316.1640625</v>
      </c>
      <c r="N302" s="72">
        <v>381.86639404296875</v>
      </c>
      <c r="O302" s="73"/>
      <c r="P302" s="74"/>
      <c r="Q302" s="74"/>
      <c r="R302" s="86"/>
      <c r="S302" s="46">
        <v>1</v>
      </c>
      <c r="T302" s="46">
        <v>0</v>
      </c>
      <c r="U302" s="47">
        <v>0</v>
      </c>
      <c r="V302" s="47">
        <v>0.00289</v>
      </c>
      <c r="W302" s="47">
        <v>0</v>
      </c>
      <c r="X302" s="47">
        <v>0.002882</v>
      </c>
      <c r="Y302" s="47">
        <v>0</v>
      </c>
      <c r="Z302" s="47">
        <v>0</v>
      </c>
      <c r="AA302" s="69">
        <v>302</v>
      </c>
      <c r="AB302" s="69"/>
      <c r="AC302" s="70"/>
      <c r="AD302" s="76" t="s">
        <v>6160</v>
      </c>
      <c r="AE302" s="83" t="s">
        <v>5770</v>
      </c>
      <c r="AF302" s="76">
        <v>594847</v>
      </c>
      <c r="AG302" s="76">
        <v>842</v>
      </c>
      <c r="AH302" s="76">
        <v>101770</v>
      </c>
      <c r="AI302" s="76">
        <v>200</v>
      </c>
      <c r="AJ302" s="76">
        <v>13786</v>
      </c>
      <c r="AK302" s="76">
        <v>53893</v>
      </c>
      <c r="AL302" s="76" t="b">
        <v>0</v>
      </c>
      <c r="AM302" s="78">
        <v>40070.08913194444</v>
      </c>
      <c r="AN302" s="76" t="s">
        <v>3895</v>
      </c>
      <c r="AO302" s="76" t="s">
        <v>6893</v>
      </c>
      <c r="AP302" s="82" t="str">
        <f>HYPERLINK("https://t.co/DXH4bUUB3h")</f>
        <v>https://t.co/DXH4bUUB3h</v>
      </c>
      <c r="AQ302" s="82" t="str">
        <f>HYPERLINK("https://www.imdb.com/name/nm9477533/#miscellaneous")</f>
        <v>https://www.imdb.com/name/nm9477533/#miscellaneous</v>
      </c>
      <c r="AR302" s="76" t="s">
        <v>7121</v>
      </c>
      <c r="AS302" s="76"/>
      <c r="AT302" s="76"/>
      <c r="AU302" s="76"/>
      <c r="AV302" s="76">
        <v>1.73454361296757E+18</v>
      </c>
      <c r="AW302" s="82" t="str">
        <f>HYPERLINK("https://t.co/DXH4bUUB3h")</f>
        <v>https://t.co/DXH4bUUB3h</v>
      </c>
      <c r="AX302" s="76" t="b">
        <v>1</v>
      </c>
      <c r="AY302" s="76"/>
      <c r="AZ302" s="76"/>
      <c r="BA302" s="76" t="b">
        <v>0</v>
      </c>
      <c r="BB302" s="76" t="b">
        <v>0</v>
      </c>
      <c r="BC302" s="76" t="b">
        <v>0</v>
      </c>
      <c r="BD302" s="76" t="b">
        <v>0</v>
      </c>
      <c r="BE302" s="76" t="b">
        <v>1</v>
      </c>
      <c r="BF302" s="76" t="b">
        <v>0</v>
      </c>
      <c r="BG302" s="76" t="b">
        <v>0</v>
      </c>
      <c r="BH302" s="82" t="str">
        <f>HYPERLINK("https://pbs.twimg.com/profile_banners/74039463/1699898794")</f>
        <v>https://pbs.twimg.com/profile_banners/74039463/1699898794</v>
      </c>
      <c r="BI302" s="76"/>
      <c r="BJ302" s="76" t="s">
        <v>7188</v>
      </c>
      <c r="BK302" s="76" t="b">
        <v>0</v>
      </c>
      <c r="BL302" s="76"/>
      <c r="BM302" s="76" t="s">
        <v>65</v>
      </c>
      <c r="BN302" s="76" t="s">
        <v>7190</v>
      </c>
      <c r="BO302" s="82" t="str">
        <f>HYPERLINK("https://twitter.com/vamsikaka")</f>
        <v>https://twitter.com/vamsikaka</v>
      </c>
      <c r="BP302" s="46"/>
      <c r="BQ302" s="46"/>
      <c r="BR302" s="46"/>
      <c r="BS302" s="46"/>
      <c r="BT302" s="46"/>
      <c r="BU302" s="46"/>
      <c r="BV302" s="46"/>
      <c r="BW302" s="46"/>
      <c r="BX302" s="46"/>
      <c r="BY302" s="46"/>
      <c r="BZ302" s="2"/>
    </row>
    <row r="303" spans="1:78" ht="15">
      <c r="A303" s="62" t="s">
        <v>390</v>
      </c>
      <c r="B303" s="63"/>
      <c r="C303" s="63"/>
      <c r="D303" s="64"/>
      <c r="E303" s="66"/>
      <c r="F303" s="100" t="str">
        <f>HYPERLINK("https://pbs.twimg.com/profile_images/637142785221529600/YpOleaJ6_normal.jpg")</f>
        <v>https://pbs.twimg.com/profile_images/637142785221529600/YpOleaJ6_normal.jpg</v>
      </c>
      <c r="G303" s="63"/>
      <c r="H303" s="67"/>
      <c r="I303" s="68"/>
      <c r="J303" s="68"/>
      <c r="K303" s="67" t="s">
        <v>7490</v>
      </c>
      <c r="L303" s="71"/>
      <c r="M303" s="72">
        <v>8342.8037109375</v>
      </c>
      <c r="N303" s="72">
        <v>363.13397216796875</v>
      </c>
      <c r="O303" s="73"/>
      <c r="P303" s="74"/>
      <c r="Q303" s="74"/>
      <c r="R303" s="86"/>
      <c r="S303" s="46">
        <v>1</v>
      </c>
      <c r="T303" s="46">
        <v>1</v>
      </c>
      <c r="U303" s="47">
        <v>0</v>
      </c>
      <c r="V303" s="47">
        <v>0</v>
      </c>
      <c r="W303" s="47">
        <v>0</v>
      </c>
      <c r="X303" s="47">
        <v>0.002882</v>
      </c>
      <c r="Y303" s="47">
        <v>0</v>
      </c>
      <c r="Z303" s="47">
        <v>0</v>
      </c>
      <c r="AA303" s="69">
        <v>303</v>
      </c>
      <c r="AB303" s="69"/>
      <c r="AC303" s="70"/>
      <c r="AD303" s="76" t="s">
        <v>6161</v>
      </c>
      <c r="AE303" s="83" t="s">
        <v>6414</v>
      </c>
      <c r="AF303" s="76">
        <v>30</v>
      </c>
      <c r="AG303" s="76">
        <v>28</v>
      </c>
      <c r="AH303" s="76">
        <v>43611</v>
      </c>
      <c r="AI303" s="76">
        <v>0</v>
      </c>
      <c r="AJ303" s="76">
        <v>0</v>
      </c>
      <c r="AK303" s="76">
        <v>3</v>
      </c>
      <c r="AL303" s="76" t="b">
        <v>0</v>
      </c>
      <c r="AM303" s="78">
        <v>42063.56480324074</v>
      </c>
      <c r="AN303" s="76" t="s">
        <v>6610</v>
      </c>
      <c r="AO303" s="76" t="s">
        <v>6894</v>
      </c>
      <c r="AP303" s="82" t="str">
        <f>HYPERLINK("http://t.co/gL08peHIiF")</f>
        <v>http://t.co/gL08peHIiF</v>
      </c>
      <c r="AQ303" s="82" t="str">
        <f>HYPERLINK("http://www.excoecaria.com")</f>
        <v>http://www.excoecaria.com</v>
      </c>
      <c r="AR303" s="76" t="s">
        <v>7122</v>
      </c>
      <c r="AS303" s="76"/>
      <c r="AT303" s="76"/>
      <c r="AU303" s="76"/>
      <c r="AV303" s="76"/>
      <c r="AW303" s="82" t="str">
        <f>HYPERLINK("http://t.co/gL08peHIiF")</f>
        <v>http://t.co/gL08peHIiF</v>
      </c>
      <c r="AX303" s="76" t="b">
        <v>0</v>
      </c>
      <c r="AY303" s="76"/>
      <c r="AZ303" s="76"/>
      <c r="BA303" s="76" t="b">
        <v>0</v>
      </c>
      <c r="BB303" s="76" t="b">
        <v>1</v>
      </c>
      <c r="BC303" s="76" t="b">
        <v>1</v>
      </c>
      <c r="BD303" s="76" t="b">
        <v>0</v>
      </c>
      <c r="BE303" s="76" t="b">
        <v>0</v>
      </c>
      <c r="BF303" s="76" t="b">
        <v>0</v>
      </c>
      <c r="BG303" s="76" t="b">
        <v>0</v>
      </c>
      <c r="BH303" s="82" t="str">
        <f>HYPERLINK("https://pbs.twimg.com/profile_banners/3049813988/1440741682")</f>
        <v>https://pbs.twimg.com/profile_banners/3049813988/1440741682</v>
      </c>
      <c r="BI303" s="76"/>
      <c r="BJ303" s="76" t="s">
        <v>7188</v>
      </c>
      <c r="BK303" s="76" t="b">
        <v>0</v>
      </c>
      <c r="BL303" s="76"/>
      <c r="BM303" s="76" t="s">
        <v>66</v>
      </c>
      <c r="BN303" s="76" t="s">
        <v>7190</v>
      </c>
      <c r="BO303" s="82" t="str">
        <f>HYPERLINK("https://twitter.com/excoecariamedia")</f>
        <v>https://twitter.com/excoecariamedia</v>
      </c>
      <c r="BP303" s="46" t="s">
        <v>7668</v>
      </c>
      <c r="BQ303" s="46" t="s">
        <v>7668</v>
      </c>
      <c r="BR303" s="46" t="s">
        <v>1989</v>
      </c>
      <c r="BS303" s="46" t="s">
        <v>1989</v>
      </c>
      <c r="BT303" s="46" t="s">
        <v>1847</v>
      </c>
      <c r="BU303" s="46" t="s">
        <v>7771</v>
      </c>
      <c r="BV303" s="105" t="s">
        <v>7943</v>
      </c>
      <c r="BW303" s="105" t="s">
        <v>7943</v>
      </c>
      <c r="BX303" s="105" t="s">
        <v>8174</v>
      </c>
      <c r="BY303" s="105" t="s">
        <v>8174</v>
      </c>
      <c r="BZ303" s="2"/>
    </row>
    <row r="304" spans="1:78" ht="15">
      <c r="A304" s="62" t="s">
        <v>391</v>
      </c>
      <c r="B304" s="63"/>
      <c r="C304" s="63"/>
      <c r="D304" s="64"/>
      <c r="E304" s="66"/>
      <c r="F304" s="100" t="str">
        <f>HYPERLINK("https://abs.twimg.com/sticky/default_profile_images/default_profile_normal.png")</f>
        <v>https://abs.twimg.com/sticky/default_profile_images/default_profile_normal.png</v>
      </c>
      <c r="G304" s="63"/>
      <c r="H304" s="67"/>
      <c r="I304" s="68"/>
      <c r="J304" s="68"/>
      <c r="K304" s="67" t="s">
        <v>7491</v>
      </c>
      <c r="L304" s="71"/>
      <c r="M304" s="72">
        <v>8369.443359375</v>
      </c>
      <c r="N304" s="72">
        <v>363.13397216796875</v>
      </c>
      <c r="O304" s="73"/>
      <c r="P304" s="74"/>
      <c r="Q304" s="74"/>
      <c r="R304" s="86"/>
      <c r="S304" s="46">
        <v>1</v>
      </c>
      <c r="T304" s="46">
        <v>1</v>
      </c>
      <c r="U304" s="47">
        <v>0</v>
      </c>
      <c r="V304" s="47">
        <v>0</v>
      </c>
      <c r="W304" s="47">
        <v>0</v>
      </c>
      <c r="X304" s="47">
        <v>0.002882</v>
      </c>
      <c r="Y304" s="47">
        <v>0</v>
      </c>
      <c r="Z304" s="47">
        <v>0</v>
      </c>
      <c r="AA304" s="69">
        <v>304</v>
      </c>
      <c r="AB304" s="69"/>
      <c r="AC304" s="70"/>
      <c r="AD304" s="76" t="s">
        <v>391</v>
      </c>
      <c r="AE304" s="83" t="s">
        <v>5825</v>
      </c>
      <c r="AF304" s="76">
        <v>5</v>
      </c>
      <c r="AG304" s="76">
        <v>6</v>
      </c>
      <c r="AH304" s="76">
        <v>60</v>
      </c>
      <c r="AI304" s="76">
        <v>0</v>
      </c>
      <c r="AJ304" s="76">
        <v>39</v>
      </c>
      <c r="AK304" s="76">
        <v>46</v>
      </c>
      <c r="AL304" s="76" t="b">
        <v>0</v>
      </c>
      <c r="AM304" s="78">
        <v>43780.410266203704</v>
      </c>
      <c r="AN304" s="76"/>
      <c r="AO304" s="76"/>
      <c r="AP304" s="76"/>
      <c r="AQ304" s="76"/>
      <c r="AR304" s="76"/>
      <c r="AS304" s="76"/>
      <c r="AT304" s="76"/>
      <c r="AU304" s="76"/>
      <c r="AV304" s="76">
        <v>1.19783606590352E+18</v>
      </c>
      <c r="AW304" s="76"/>
      <c r="AX304" s="76" t="b">
        <v>0</v>
      </c>
      <c r="AY304" s="76"/>
      <c r="AZ304" s="76"/>
      <c r="BA304" s="76" t="b">
        <v>0</v>
      </c>
      <c r="BB304" s="76" t="b">
        <v>1</v>
      </c>
      <c r="BC304" s="76" t="b">
        <v>1</v>
      </c>
      <c r="BD304" s="76" t="b">
        <v>1</v>
      </c>
      <c r="BE304" s="76" t="b">
        <v>0</v>
      </c>
      <c r="BF304" s="76" t="b">
        <v>0</v>
      </c>
      <c r="BG304" s="76" t="b">
        <v>0</v>
      </c>
      <c r="BH304" s="76"/>
      <c r="BI304" s="76"/>
      <c r="BJ304" s="76" t="s">
        <v>7188</v>
      </c>
      <c r="BK304" s="76" t="b">
        <v>0</v>
      </c>
      <c r="BL304" s="76"/>
      <c r="BM304" s="76" t="s">
        <v>66</v>
      </c>
      <c r="BN304" s="76" t="s">
        <v>7190</v>
      </c>
      <c r="BO304" s="82" t="str">
        <f>HYPERLINK("https://twitter.com/binabindu")</f>
        <v>https://twitter.com/binabindu</v>
      </c>
      <c r="BP304" s="46" t="s">
        <v>7669</v>
      </c>
      <c r="BQ304" s="46" t="s">
        <v>7701</v>
      </c>
      <c r="BR304" s="46" t="s">
        <v>7715</v>
      </c>
      <c r="BS304" s="46" t="s">
        <v>7726</v>
      </c>
      <c r="BT304" s="46" t="s">
        <v>7743</v>
      </c>
      <c r="BU304" s="46" t="s">
        <v>7772</v>
      </c>
      <c r="BV304" s="105" t="s">
        <v>7944</v>
      </c>
      <c r="BW304" s="105" t="s">
        <v>8002</v>
      </c>
      <c r="BX304" s="105" t="s">
        <v>8175</v>
      </c>
      <c r="BY304" s="105" t="s">
        <v>8224</v>
      </c>
      <c r="BZ304" s="2"/>
    </row>
    <row r="305" spans="1:78" ht="15">
      <c r="A305" s="62" t="s">
        <v>392</v>
      </c>
      <c r="B305" s="63"/>
      <c r="C305" s="63"/>
      <c r="D305" s="64"/>
      <c r="E305" s="66"/>
      <c r="F305" s="100" t="str">
        <f>HYPERLINK("https://pbs.twimg.com/profile_images/1728484573242359808/V7LB1QvG_normal.jpg")</f>
        <v>https://pbs.twimg.com/profile_images/1728484573242359808/V7LB1QvG_normal.jpg</v>
      </c>
      <c r="G305" s="63"/>
      <c r="H305" s="67"/>
      <c r="I305" s="68"/>
      <c r="J305" s="68"/>
      <c r="K305" s="67" t="s">
        <v>7492</v>
      </c>
      <c r="L305" s="71"/>
      <c r="M305" s="72">
        <v>8396.0830078125</v>
      </c>
      <c r="N305" s="72">
        <v>363.13397216796875</v>
      </c>
      <c r="O305" s="73"/>
      <c r="P305" s="74"/>
      <c r="Q305" s="74"/>
      <c r="R305" s="86"/>
      <c r="S305" s="46">
        <v>0</v>
      </c>
      <c r="T305" s="46">
        <v>2</v>
      </c>
      <c r="U305" s="47">
        <v>350</v>
      </c>
      <c r="V305" s="47">
        <v>0.215725</v>
      </c>
      <c r="W305" s="47">
        <v>0.062516</v>
      </c>
      <c r="X305" s="47">
        <v>0.002899</v>
      </c>
      <c r="Y305" s="47">
        <v>0</v>
      </c>
      <c r="Z305" s="47">
        <v>0</v>
      </c>
      <c r="AA305" s="69">
        <v>305</v>
      </c>
      <c r="AB305" s="69"/>
      <c r="AC305" s="70"/>
      <c r="AD305" s="76" t="s">
        <v>6162</v>
      </c>
      <c r="AE305" s="83" t="s">
        <v>6415</v>
      </c>
      <c r="AF305" s="76">
        <v>6404</v>
      </c>
      <c r="AG305" s="76">
        <v>221</v>
      </c>
      <c r="AH305" s="76">
        <v>8094</v>
      </c>
      <c r="AI305" s="76">
        <v>0</v>
      </c>
      <c r="AJ305" s="76">
        <v>4353</v>
      </c>
      <c r="AK305" s="76">
        <v>8001</v>
      </c>
      <c r="AL305" s="76" t="b">
        <v>0</v>
      </c>
      <c r="AM305" s="78">
        <v>41909.121400462966</v>
      </c>
      <c r="AN305" s="76"/>
      <c r="AO305" s="76" t="s">
        <v>6895</v>
      </c>
      <c r="AP305" s="82" t="str">
        <f>HYPERLINK("https://t.co/q62eSj0Xe6")</f>
        <v>https://t.co/q62eSj0Xe6</v>
      </c>
      <c r="AQ305" s="82" t="str">
        <f>HYPERLINK("http://cssnectar.com")</f>
        <v>http://cssnectar.com</v>
      </c>
      <c r="AR305" s="76" t="s">
        <v>2038</v>
      </c>
      <c r="AS305" s="76"/>
      <c r="AT305" s="76"/>
      <c r="AU305" s="76"/>
      <c r="AV305" s="76"/>
      <c r="AW305" s="82" t="str">
        <f>HYPERLINK("https://t.co/q62eSj0Xe6")</f>
        <v>https://t.co/q62eSj0Xe6</v>
      </c>
      <c r="AX305" s="76" t="b">
        <v>0</v>
      </c>
      <c r="AY305" s="76"/>
      <c r="AZ305" s="76"/>
      <c r="BA305" s="76" t="b">
        <v>0</v>
      </c>
      <c r="BB305" s="76" t="b">
        <v>1</v>
      </c>
      <c r="BC305" s="76" t="b">
        <v>0</v>
      </c>
      <c r="BD305" s="76" t="b">
        <v>0</v>
      </c>
      <c r="BE305" s="76" t="b">
        <v>0</v>
      </c>
      <c r="BF305" s="76" t="b">
        <v>0</v>
      </c>
      <c r="BG305" s="76" t="b">
        <v>0</v>
      </c>
      <c r="BH305" s="82" t="str">
        <f>HYPERLINK("https://pbs.twimg.com/profile_banners/2833476896/1701130385")</f>
        <v>https://pbs.twimg.com/profile_banners/2833476896/1701130385</v>
      </c>
      <c r="BI305" s="76"/>
      <c r="BJ305" s="76" t="s">
        <v>7188</v>
      </c>
      <c r="BK305" s="76" t="b">
        <v>0</v>
      </c>
      <c r="BL305" s="76"/>
      <c r="BM305" s="76" t="s">
        <v>66</v>
      </c>
      <c r="BN305" s="76" t="s">
        <v>7190</v>
      </c>
      <c r="BO305" s="82" t="str">
        <f>HYPERLINK("https://twitter.com/cssnectar")</f>
        <v>https://twitter.com/cssnectar</v>
      </c>
      <c r="BP305" s="46" t="s">
        <v>7670</v>
      </c>
      <c r="BQ305" s="46" t="s">
        <v>7702</v>
      </c>
      <c r="BR305" s="46" t="s">
        <v>2038</v>
      </c>
      <c r="BS305" s="46" t="s">
        <v>2038</v>
      </c>
      <c r="BT305" s="46" t="s">
        <v>1721</v>
      </c>
      <c r="BU305" s="46" t="s">
        <v>1721</v>
      </c>
      <c r="BV305" s="105" t="s">
        <v>7945</v>
      </c>
      <c r="BW305" s="105" t="s">
        <v>8003</v>
      </c>
      <c r="BX305" s="105" t="s">
        <v>8176</v>
      </c>
      <c r="BY305" s="105" t="s">
        <v>8225</v>
      </c>
      <c r="BZ305" s="2"/>
    </row>
    <row r="306" spans="1:78" ht="15">
      <c r="A306" s="62" t="s">
        <v>553</v>
      </c>
      <c r="B306" s="63"/>
      <c r="C306" s="63"/>
      <c r="D306" s="64"/>
      <c r="E306" s="66"/>
      <c r="F306" s="100" t="str">
        <f>HYPERLINK("https://abs.twimg.com/sticky/default_profile_images/default_profile_normal.png")</f>
        <v>https://abs.twimg.com/sticky/default_profile_images/default_profile_normal.png</v>
      </c>
      <c r="G306" s="63"/>
      <c r="H306" s="67"/>
      <c r="I306" s="68"/>
      <c r="J306" s="68"/>
      <c r="K306" s="67" t="s">
        <v>7493</v>
      </c>
      <c r="L306" s="71"/>
      <c r="M306" s="72">
        <v>8422.7236328125</v>
      </c>
      <c r="N306" s="72">
        <v>363.13397216796875</v>
      </c>
      <c r="O306" s="73"/>
      <c r="P306" s="74"/>
      <c r="Q306" s="74"/>
      <c r="R306" s="86"/>
      <c r="S306" s="46">
        <v>1</v>
      </c>
      <c r="T306" s="46">
        <v>0</v>
      </c>
      <c r="U306" s="47">
        <v>0</v>
      </c>
      <c r="V306" s="47">
        <v>0.151739</v>
      </c>
      <c r="W306" s="47">
        <v>0.005535</v>
      </c>
      <c r="X306" s="47">
        <v>0.002667</v>
      </c>
      <c r="Y306" s="47">
        <v>0</v>
      </c>
      <c r="Z306" s="47">
        <v>0</v>
      </c>
      <c r="AA306" s="69">
        <v>306</v>
      </c>
      <c r="AB306" s="69"/>
      <c r="AC306" s="70"/>
      <c r="AD306" s="76" t="s">
        <v>6163</v>
      </c>
      <c r="AE306" s="83" t="s">
        <v>6416</v>
      </c>
      <c r="AF306" s="76">
        <v>3</v>
      </c>
      <c r="AG306" s="76">
        <v>17</v>
      </c>
      <c r="AH306" s="76">
        <v>0</v>
      </c>
      <c r="AI306" s="76">
        <v>0</v>
      </c>
      <c r="AJ306" s="76">
        <v>0</v>
      </c>
      <c r="AK306" s="76">
        <v>0</v>
      </c>
      <c r="AL306" s="76" t="b">
        <v>0</v>
      </c>
      <c r="AM306" s="78">
        <v>42115.61447916667</v>
      </c>
      <c r="AN306" s="76"/>
      <c r="AO306" s="76"/>
      <c r="AP306" s="76"/>
      <c r="AQ306" s="76"/>
      <c r="AR306" s="76"/>
      <c r="AS306" s="76"/>
      <c r="AT306" s="76"/>
      <c r="AU306" s="76"/>
      <c r="AV306" s="76"/>
      <c r="AW306" s="76"/>
      <c r="AX306" s="76" t="b">
        <v>0</v>
      </c>
      <c r="AY306" s="76"/>
      <c r="AZ306" s="76"/>
      <c r="BA306" s="76" t="b">
        <v>0</v>
      </c>
      <c r="BB306" s="76" t="b">
        <v>1</v>
      </c>
      <c r="BC306" s="76" t="b">
        <v>1</v>
      </c>
      <c r="BD306" s="76" t="b">
        <v>1</v>
      </c>
      <c r="BE306" s="76" t="b">
        <v>0</v>
      </c>
      <c r="BF306" s="76" t="b">
        <v>0</v>
      </c>
      <c r="BG306" s="76" t="b">
        <v>0</v>
      </c>
      <c r="BH306" s="76"/>
      <c r="BI306" s="76"/>
      <c r="BJ306" s="76" t="s">
        <v>7188</v>
      </c>
      <c r="BK306" s="76" t="b">
        <v>0</v>
      </c>
      <c r="BL306" s="76"/>
      <c r="BM306" s="76" t="s">
        <v>65</v>
      </c>
      <c r="BN306" s="76" t="s">
        <v>7190</v>
      </c>
      <c r="BO306" s="82" t="str">
        <f>HYPERLINK("https://twitter.com/w3webdesign_in")</f>
        <v>https://twitter.com/w3webdesign_in</v>
      </c>
      <c r="BP306" s="46"/>
      <c r="BQ306" s="46"/>
      <c r="BR306" s="46"/>
      <c r="BS306" s="46"/>
      <c r="BT306" s="46"/>
      <c r="BU306" s="46"/>
      <c r="BV306" s="46"/>
      <c r="BW306" s="46"/>
      <c r="BX306" s="46"/>
      <c r="BY306" s="46"/>
      <c r="BZ306" s="2"/>
    </row>
    <row r="307" spans="1:78" ht="15">
      <c r="A307" s="62" t="s">
        <v>393</v>
      </c>
      <c r="B307" s="63"/>
      <c r="C307" s="63"/>
      <c r="D307" s="64"/>
      <c r="E307" s="66"/>
      <c r="F307" s="100" t="str">
        <f>HYPERLINK("https://pbs.twimg.com/profile_images/1203968856353595393/7Fni1Ogd_normal.jpg")</f>
        <v>https://pbs.twimg.com/profile_images/1203968856353595393/7Fni1Ogd_normal.jpg</v>
      </c>
      <c r="G307" s="63"/>
      <c r="H307" s="67"/>
      <c r="I307" s="68"/>
      <c r="J307" s="68"/>
      <c r="K307" s="67" t="s">
        <v>7494</v>
      </c>
      <c r="L307" s="71"/>
      <c r="M307" s="72">
        <v>8449.36328125</v>
      </c>
      <c r="N307" s="72">
        <v>363.13397216796875</v>
      </c>
      <c r="O307" s="73"/>
      <c r="P307" s="74"/>
      <c r="Q307" s="74"/>
      <c r="R307" s="86"/>
      <c r="S307" s="46">
        <v>0</v>
      </c>
      <c r="T307" s="46">
        <v>13</v>
      </c>
      <c r="U307" s="47">
        <v>324</v>
      </c>
      <c r="V307" s="47">
        <v>0.037293</v>
      </c>
      <c r="W307" s="47">
        <v>0</v>
      </c>
      <c r="X307" s="47">
        <v>0.007129</v>
      </c>
      <c r="Y307" s="47">
        <v>0</v>
      </c>
      <c r="Z307" s="47">
        <v>0</v>
      </c>
      <c r="AA307" s="69">
        <v>307</v>
      </c>
      <c r="AB307" s="69"/>
      <c r="AC307" s="70"/>
      <c r="AD307" s="76" t="s">
        <v>6164</v>
      </c>
      <c r="AE307" s="83" t="s">
        <v>6417</v>
      </c>
      <c r="AF307" s="76">
        <v>571</v>
      </c>
      <c r="AG307" s="76">
        <v>547</v>
      </c>
      <c r="AH307" s="76">
        <v>5709</v>
      </c>
      <c r="AI307" s="76">
        <v>21</v>
      </c>
      <c r="AJ307" s="76">
        <v>5538</v>
      </c>
      <c r="AK307" s="76">
        <v>444</v>
      </c>
      <c r="AL307" s="76" t="b">
        <v>0</v>
      </c>
      <c r="AM307" s="78">
        <v>40954.87719907407</v>
      </c>
      <c r="AN307" s="76" t="s">
        <v>6611</v>
      </c>
      <c r="AO307" s="76" t="s">
        <v>6896</v>
      </c>
      <c r="AP307" s="82" t="str">
        <f>HYPERLINK("https://t.co/y0DuOlJgjF")</f>
        <v>https://t.co/y0DuOlJgjF</v>
      </c>
      <c r="AQ307" s="82" t="str">
        <f>HYPERLINK("http://symcommunication.fr")</f>
        <v>http://symcommunication.fr</v>
      </c>
      <c r="AR307" s="76" t="s">
        <v>7123</v>
      </c>
      <c r="AS307" s="76"/>
      <c r="AT307" s="76"/>
      <c r="AU307" s="76"/>
      <c r="AV307" s="76"/>
      <c r="AW307" s="82" t="str">
        <f>HYPERLINK("https://t.co/y0DuOlJgjF")</f>
        <v>https://t.co/y0DuOlJgjF</v>
      </c>
      <c r="AX307" s="76" t="b">
        <v>0</v>
      </c>
      <c r="AY307" s="76"/>
      <c r="AZ307" s="76"/>
      <c r="BA307" s="76" t="b">
        <v>0</v>
      </c>
      <c r="BB307" s="76" t="b">
        <v>1</v>
      </c>
      <c r="BC307" s="76" t="b">
        <v>1</v>
      </c>
      <c r="BD307" s="76" t="b">
        <v>0</v>
      </c>
      <c r="BE307" s="76" t="b">
        <v>1</v>
      </c>
      <c r="BF307" s="76" t="b">
        <v>0</v>
      </c>
      <c r="BG307" s="76" t="b">
        <v>0</v>
      </c>
      <c r="BH307" s="82" t="str">
        <f>HYPERLINK("https://pbs.twimg.com/profile_banners/493479758/1646656958")</f>
        <v>https://pbs.twimg.com/profile_banners/493479758/1646656958</v>
      </c>
      <c r="BI307" s="76"/>
      <c r="BJ307" s="76" t="s">
        <v>7188</v>
      </c>
      <c r="BK307" s="76" t="b">
        <v>0</v>
      </c>
      <c r="BL307" s="76"/>
      <c r="BM307" s="76" t="s">
        <v>66</v>
      </c>
      <c r="BN307" s="76" t="s">
        <v>7190</v>
      </c>
      <c r="BO307" s="82" t="str">
        <f>HYPERLINK("https://twitter.com/smontelimar")</f>
        <v>https://twitter.com/smontelimar</v>
      </c>
      <c r="BP307" s="46"/>
      <c r="BQ307" s="46"/>
      <c r="BR307" s="46"/>
      <c r="BS307" s="46"/>
      <c r="BT307" s="46"/>
      <c r="BU307" s="46"/>
      <c r="BV307" s="105" t="s">
        <v>7946</v>
      </c>
      <c r="BW307" s="105" t="s">
        <v>7946</v>
      </c>
      <c r="BX307" s="105" t="s">
        <v>8177</v>
      </c>
      <c r="BY307" s="105" t="s">
        <v>8177</v>
      </c>
      <c r="BZ307" s="2"/>
    </row>
    <row r="308" spans="1:78" ht="15">
      <c r="A308" s="62" t="s">
        <v>554</v>
      </c>
      <c r="B308" s="63"/>
      <c r="C308" s="63"/>
      <c r="D308" s="64"/>
      <c r="E308" s="66"/>
      <c r="F308" s="100" t="str">
        <f>HYPERLINK("https://pbs.twimg.com/profile_images/1717775547713859584/pos_C8am_normal.jpg")</f>
        <v>https://pbs.twimg.com/profile_images/1717775547713859584/pos_C8am_normal.jpg</v>
      </c>
      <c r="G308" s="63"/>
      <c r="H308" s="67"/>
      <c r="I308" s="68"/>
      <c r="J308" s="68"/>
      <c r="K308" s="67" t="s">
        <v>7495</v>
      </c>
      <c r="L308" s="71"/>
      <c r="M308" s="72">
        <v>8476.0029296875</v>
      </c>
      <c r="N308" s="72">
        <v>363.13397216796875</v>
      </c>
      <c r="O308" s="73"/>
      <c r="P308" s="74"/>
      <c r="Q308" s="74"/>
      <c r="R308" s="86"/>
      <c r="S308" s="46">
        <v>1</v>
      </c>
      <c r="T308" s="46">
        <v>0</v>
      </c>
      <c r="U308" s="47">
        <v>0</v>
      </c>
      <c r="V308" s="47">
        <v>0.023121</v>
      </c>
      <c r="W308" s="47">
        <v>0</v>
      </c>
      <c r="X308" s="47">
        <v>0.002532</v>
      </c>
      <c r="Y308" s="47">
        <v>0</v>
      </c>
      <c r="Z308" s="47">
        <v>0</v>
      </c>
      <c r="AA308" s="69">
        <v>308</v>
      </c>
      <c r="AB308" s="69"/>
      <c r="AC308" s="70"/>
      <c r="AD308" s="76" t="s">
        <v>6165</v>
      </c>
      <c r="AE308" s="83" t="s">
        <v>6418</v>
      </c>
      <c r="AF308" s="76">
        <v>54001</v>
      </c>
      <c r="AG308" s="76">
        <v>45313</v>
      </c>
      <c r="AH308" s="76">
        <v>134107</v>
      </c>
      <c r="AI308" s="76">
        <v>3587</v>
      </c>
      <c r="AJ308" s="76">
        <v>37614</v>
      </c>
      <c r="AK308" s="76">
        <v>81443</v>
      </c>
      <c r="AL308" s="76" t="b">
        <v>0</v>
      </c>
      <c r="AM308" s="78">
        <v>40801.43136574074</v>
      </c>
      <c r="AN308" s="76" t="s">
        <v>6580</v>
      </c>
      <c r="AO308" s="76" t="s">
        <v>6897</v>
      </c>
      <c r="AP308" s="82" t="str">
        <f>HYPERLINK("https://t.co/x4lHJlbnMv")</f>
        <v>https://t.co/x4lHJlbnMv</v>
      </c>
      <c r="AQ308" s="82" t="str">
        <f>HYPERLINK("http://www.vladimerbotsvadze.com")</f>
        <v>http://www.vladimerbotsvadze.com</v>
      </c>
      <c r="AR308" s="76" t="s">
        <v>7124</v>
      </c>
      <c r="AS308" s="76"/>
      <c r="AT308" s="76"/>
      <c r="AU308" s="76"/>
      <c r="AV308" s="76">
        <v>1.35143239306073E+18</v>
      </c>
      <c r="AW308" s="82" t="str">
        <f>HYPERLINK("https://t.co/x4lHJlbnMv")</f>
        <v>https://t.co/x4lHJlbnMv</v>
      </c>
      <c r="AX308" s="76" t="b">
        <v>0</v>
      </c>
      <c r="AY308" s="76"/>
      <c r="AZ308" s="76"/>
      <c r="BA308" s="76" t="b">
        <v>0</v>
      </c>
      <c r="BB308" s="76" t="b">
        <v>0</v>
      </c>
      <c r="BC308" s="76" t="b">
        <v>0</v>
      </c>
      <c r="BD308" s="76" t="b">
        <v>0</v>
      </c>
      <c r="BE308" s="76" t="b">
        <v>1</v>
      </c>
      <c r="BF308" s="76" t="b">
        <v>0</v>
      </c>
      <c r="BG308" s="76" t="b">
        <v>0</v>
      </c>
      <c r="BH308" s="82" t="str">
        <f>HYPERLINK("https://pbs.twimg.com/profile_banners/373883201/1702477512")</f>
        <v>https://pbs.twimg.com/profile_banners/373883201/1702477512</v>
      </c>
      <c r="BI308" s="76"/>
      <c r="BJ308" s="76" t="s">
        <v>7189</v>
      </c>
      <c r="BK308" s="76" t="b">
        <v>0</v>
      </c>
      <c r="BL308" s="76"/>
      <c r="BM308" s="76" t="s">
        <v>65</v>
      </c>
      <c r="BN308" s="76" t="s">
        <v>7190</v>
      </c>
      <c r="BO308" s="82" t="str">
        <f>HYPERLINK("https://twitter.com/vladobotsvadze")</f>
        <v>https://twitter.com/vladobotsvadze</v>
      </c>
      <c r="BP308" s="46"/>
      <c r="BQ308" s="46"/>
      <c r="BR308" s="46"/>
      <c r="BS308" s="46"/>
      <c r="BT308" s="46"/>
      <c r="BU308" s="46"/>
      <c r="BV308" s="46"/>
      <c r="BW308" s="46"/>
      <c r="BX308" s="46"/>
      <c r="BY308" s="46"/>
      <c r="BZ308" s="2"/>
    </row>
    <row r="309" spans="1:78" ht="15">
      <c r="A309" s="62" t="s">
        <v>555</v>
      </c>
      <c r="B309" s="63"/>
      <c r="C309" s="63"/>
      <c r="D309" s="64"/>
      <c r="E309" s="66"/>
      <c r="F309" s="100" t="str">
        <f>HYPERLINK("https://pbs.twimg.com/profile_images/966035310403575808/iGEEQqMp_normal.jpg")</f>
        <v>https://pbs.twimg.com/profile_images/966035310403575808/iGEEQqMp_normal.jpg</v>
      </c>
      <c r="G309" s="63"/>
      <c r="H309" s="67"/>
      <c r="I309" s="68"/>
      <c r="J309" s="68"/>
      <c r="K309" s="67" t="s">
        <v>7496</v>
      </c>
      <c r="L309" s="71"/>
      <c r="M309" s="72">
        <v>8502.6435546875</v>
      </c>
      <c r="N309" s="72">
        <v>363.13397216796875</v>
      </c>
      <c r="O309" s="73"/>
      <c r="P309" s="74"/>
      <c r="Q309" s="74"/>
      <c r="R309" s="86"/>
      <c r="S309" s="46">
        <v>1</v>
      </c>
      <c r="T309" s="46">
        <v>0</v>
      </c>
      <c r="U309" s="47">
        <v>0</v>
      </c>
      <c r="V309" s="47">
        <v>0.023121</v>
      </c>
      <c r="W309" s="47">
        <v>0</v>
      </c>
      <c r="X309" s="47">
        <v>0.002532</v>
      </c>
      <c r="Y309" s="47">
        <v>0</v>
      </c>
      <c r="Z309" s="47">
        <v>0</v>
      </c>
      <c r="AA309" s="69">
        <v>309</v>
      </c>
      <c r="AB309" s="69"/>
      <c r="AC309" s="70"/>
      <c r="AD309" s="76" t="s">
        <v>6166</v>
      </c>
      <c r="AE309" s="83" t="s">
        <v>6419</v>
      </c>
      <c r="AF309" s="76">
        <v>33</v>
      </c>
      <c r="AG309" s="76">
        <v>38</v>
      </c>
      <c r="AH309" s="76">
        <v>15</v>
      </c>
      <c r="AI309" s="76">
        <v>0</v>
      </c>
      <c r="AJ309" s="76">
        <v>6</v>
      </c>
      <c r="AK309" s="76">
        <v>4</v>
      </c>
      <c r="AL309" s="76" t="b">
        <v>0</v>
      </c>
      <c r="AM309" s="78">
        <v>43151.81332175926</v>
      </c>
      <c r="AN309" s="76" t="s">
        <v>6612</v>
      </c>
      <c r="AO309" s="76" t="s">
        <v>6898</v>
      </c>
      <c r="AP309" s="82" t="str">
        <f>HYPERLINK("https://t.co/nPMmDXyLx8")</f>
        <v>https://t.co/nPMmDXyLx8</v>
      </c>
      <c r="AQ309" s="82" t="str">
        <f>HYPERLINK("http://lamontilienne.fr/lettre-de-montilienne/")</f>
        <v>http://lamontilienne.fr/lettre-de-montilienne/</v>
      </c>
      <c r="AR309" s="76" t="s">
        <v>7125</v>
      </c>
      <c r="AS309" s="76"/>
      <c r="AT309" s="76"/>
      <c r="AU309" s="76"/>
      <c r="AV309" s="76"/>
      <c r="AW309" s="82" t="str">
        <f>HYPERLINK("https://t.co/nPMmDXyLx8")</f>
        <v>https://t.co/nPMmDXyLx8</v>
      </c>
      <c r="AX309" s="76" t="b">
        <v>0</v>
      </c>
      <c r="AY309" s="76"/>
      <c r="AZ309" s="76"/>
      <c r="BA309" s="76" t="b">
        <v>0</v>
      </c>
      <c r="BB309" s="76" t="b">
        <v>1</v>
      </c>
      <c r="BC309" s="76" t="b">
        <v>0</v>
      </c>
      <c r="BD309" s="76" t="b">
        <v>0</v>
      </c>
      <c r="BE309" s="76" t="b">
        <v>0</v>
      </c>
      <c r="BF309" s="76" t="b">
        <v>0</v>
      </c>
      <c r="BG309" s="76" t="b">
        <v>0</v>
      </c>
      <c r="BH309" s="82" t="str">
        <f>HYPERLINK("https://pbs.twimg.com/profile_banners/966032504292626434/1519155739")</f>
        <v>https://pbs.twimg.com/profile_banners/966032504292626434/1519155739</v>
      </c>
      <c r="BI309" s="76"/>
      <c r="BJ309" s="76" t="s">
        <v>7188</v>
      </c>
      <c r="BK309" s="76" t="b">
        <v>0</v>
      </c>
      <c r="BL309" s="76"/>
      <c r="BM309" s="76" t="s">
        <v>65</v>
      </c>
      <c r="BN309" s="76" t="s">
        <v>7190</v>
      </c>
      <c r="BO309" s="82" t="str">
        <f>HYPERLINK("https://twitter.com/lamontilienne26")</f>
        <v>https://twitter.com/lamontilienne26</v>
      </c>
      <c r="BP309" s="46"/>
      <c r="BQ309" s="46"/>
      <c r="BR309" s="46"/>
      <c r="BS309" s="46"/>
      <c r="BT309" s="46"/>
      <c r="BU309" s="46"/>
      <c r="BV309" s="46"/>
      <c r="BW309" s="46"/>
      <c r="BX309" s="46"/>
      <c r="BY309" s="46"/>
      <c r="BZ309" s="2"/>
    </row>
    <row r="310" spans="1:78" ht="15">
      <c r="A310" s="62" t="s">
        <v>556</v>
      </c>
      <c r="B310" s="63"/>
      <c r="C310" s="63"/>
      <c r="D310" s="64"/>
      <c r="E310" s="66"/>
      <c r="F310" s="100" t="str">
        <f>HYPERLINK("https://pbs.twimg.com/profile_images/852276552410824704/ueTwyvXZ_normal.jpg")</f>
        <v>https://pbs.twimg.com/profile_images/852276552410824704/ueTwyvXZ_normal.jpg</v>
      </c>
      <c r="G310" s="63"/>
      <c r="H310" s="67"/>
      <c r="I310" s="68"/>
      <c r="J310" s="68"/>
      <c r="K310" s="67" t="s">
        <v>7497</v>
      </c>
      <c r="L310" s="71"/>
      <c r="M310" s="72">
        <v>8529.283203125</v>
      </c>
      <c r="N310" s="72">
        <v>363.13397216796875</v>
      </c>
      <c r="O310" s="73"/>
      <c r="P310" s="74"/>
      <c r="Q310" s="74"/>
      <c r="R310" s="86"/>
      <c r="S310" s="46">
        <v>1</v>
      </c>
      <c r="T310" s="46">
        <v>0</v>
      </c>
      <c r="U310" s="47">
        <v>0</v>
      </c>
      <c r="V310" s="47">
        <v>0.023121</v>
      </c>
      <c r="W310" s="47">
        <v>0</v>
      </c>
      <c r="X310" s="47">
        <v>0.002532</v>
      </c>
      <c r="Y310" s="47">
        <v>0</v>
      </c>
      <c r="Z310" s="47">
        <v>0</v>
      </c>
      <c r="AA310" s="69">
        <v>310</v>
      </c>
      <c r="AB310" s="69"/>
      <c r="AC310" s="70"/>
      <c r="AD310" s="76" t="s">
        <v>6167</v>
      </c>
      <c r="AE310" s="83" t="s">
        <v>6420</v>
      </c>
      <c r="AF310" s="76">
        <v>5366</v>
      </c>
      <c r="AG310" s="76">
        <v>5136</v>
      </c>
      <c r="AH310" s="76">
        <v>11660</v>
      </c>
      <c r="AI310" s="76">
        <v>36</v>
      </c>
      <c r="AJ310" s="76">
        <v>3067</v>
      </c>
      <c r="AK310" s="76">
        <v>146</v>
      </c>
      <c r="AL310" s="76" t="b">
        <v>0</v>
      </c>
      <c r="AM310" s="78">
        <v>40984.91359953704</v>
      </c>
      <c r="AN310" s="76" t="s">
        <v>6600</v>
      </c>
      <c r="AO310" s="76" t="s">
        <v>6899</v>
      </c>
      <c r="AP310" s="82" t="str">
        <f>HYPERLINK("http://t.co/VilpQXiWnf")</f>
        <v>http://t.co/VilpQXiWnf</v>
      </c>
      <c r="AQ310" s="82" t="str">
        <f>HYPERLINK("http://www.coacheloquence.com")</f>
        <v>http://www.coacheloquence.com</v>
      </c>
      <c r="AR310" s="76" t="s">
        <v>7126</v>
      </c>
      <c r="AS310" s="76"/>
      <c r="AT310" s="76"/>
      <c r="AU310" s="76"/>
      <c r="AV310" s="76">
        <v>7.76175885057662E+17</v>
      </c>
      <c r="AW310" s="82" t="str">
        <f>HYPERLINK("http://t.co/VilpQXiWnf")</f>
        <v>http://t.co/VilpQXiWnf</v>
      </c>
      <c r="AX310" s="76" t="b">
        <v>0</v>
      </c>
      <c r="AY310" s="76"/>
      <c r="AZ310" s="76"/>
      <c r="BA310" s="76" t="b">
        <v>0</v>
      </c>
      <c r="BB310" s="76" t="b">
        <v>1</v>
      </c>
      <c r="BC310" s="76" t="b">
        <v>0</v>
      </c>
      <c r="BD310" s="76" t="b">
        <v>0</v>
      </c>
      <c r="BE310" s="76" t="b">
        <v>0</v>
      </c>
      <c r="BF310" s="76" t="b">
        <v>0</v>
      </c>
      <c r="BG310" s="76" t="b">
        <v>0</v>
      </c>
      <c r="BH310" s="82" t="str">
        <f>HYPERLINK("https://pbs.twimg.com/profile_banners/526831151/1444947487")</f>
        <v>https://pbs.twimg.com/profile_banners/526831151/1444947487</v>
      </c>
      <c r="BI310" s="76"/>
      <c r="BJ310" s="76" t="s">
        <v>7188</v>
      </c>
      <c r="BK310" s="76" t="b">
        <v>0</v>
      </c>
      <c r="BL310" s="76"/>
      <c r="BM310" s="76" t="s">
        <v>65</v>
      </c>
      <c r="BN310" s="76" t="s">
        <v>7190</v>
      </c>
      <c r="BO310" s="82" t="str">
        <f>HYPERLINK("https://twitter.com/coacheloquence")</f>
        <v>https://twitter.com/coacheloquence</v>
      </c>
      <c r="BP310" s="46"/>
      <c r="BQ310" s="46"/>
      <c r="BR310" s="46"/>
      <c r="BS310" s="46"/>
      <c r="BT310" s="46"/>
      <c r="BU310" s="46"/>
      <c r="BV310" s="46"/>
      <c r="BW310" s="46"/>
      <c r="BX310" s="46"/>
      <c r="BY310" s="46"/>
      <c r="BZ310" s="2"/>
    </row>
    <row r="311" spans="1:78" ht="15">
      <c r="A311" s="62" t="s">
        <v>557</v>
      </c>
      <c r="B311" s="63"/>
      <c r="C311" s="63"/>
      <c r="D311" s="64"/>
      <c r="E311" s="66"/>
      <c r="F311" s="100" t="str">
        <f>HYPERLINK("https://pbs.twimg.com/profile_images/979700551960154112/Hs5jtwzc_normal.jpg")</f>
        <v>https://pbs.twimg.com/profile_images/979700551960154112/Hs5jtwzc_normal.jpg</v>
      </c>
      <c r="G311" s="63"/>
      <c r="H311" s="67"/>
      <c r="I311" s="68"/>
      <c r="J311" s="68"/>
      <c r="K311" s="67" t="s">
        <v>7498</v>
      </c>
      <c r="L311" s="71"/>
      <c r="M311" s="72">
        <v>8555.9228515625</v>
      </c>
      <c r="N311" s="72">
        <v>363.13397216796875</v>
      </c>
      <c r="O311" s="73"/>
      <c r="P311" s="74"/>
      <c r="Q311" s="74"/>
      <c r="R311" s="86"/>
      <c r="S311" s="46">
        <v>1</v>
      </c>
      <c r="T311" s="46">
        <v>0</v>
      </c>
      <c r="U311" s="47">
        <v>0</v>
      </c>
      <c r="V311" s="47">
        <v>0.023121</v>
      </c>
      <c r="W311" s="47">
        <v>0</v>
      </c>
      <c r="X311" s="47">
        <v>0.002532</v>
      </c>
      <c r="Y311" s="47">
        <v>0</v>
      </c>
      <c r="Z311" s="47">
        <v>0</v>
      </c>
      <c r="AA311" s="69">
        <v>311</v>
      </c>
      <c r="AB311" s="69"/>
      <c r="AC311" s="70"/>
      <c r="AD311" s="76" t="s">
        <v>6168</v>
      </c>
      <c r="AE311" s="83" t="s">
        <v>6421</v>
      </c>
      <c r="AF311" s="76">
        <v>117</v>
      </c>
      <c r="AG311" s="76">
        <v>484</v>
      </c>
      <c r="AH311" s="76">
        <v>131</v>
      </c>
      <c r="AI311" s="76">
        <v>5</v>
      </c>
      <c r="AJ311" s="76">
        <v>50</v>
      </c>
      <c r="AK311" s="76">
        <v>19</v>
      </c>
      <c r="AL311" s="76" t="b">
        <v>0</v>
      </c>
      <c r="AM311" s="78">
        <v>42290.61759259259</v>
      </c>
      <c r="AN311" s="76" t="s">
        <v>6613</v>
      </c>
      <c r="AO311" s="76" t="s">
        <v>6900</v>
      </c>
      <c r="AP311" s="82" t="str">
        <f>HYPERLINK("https://t.co/6SgOEWMvYh")</f>
        <v>https://t.co/6SgOEWMvYh</v>
      </c>
      <c r="AQ311" s="82" t="str">
        <f>HYPERLINK("http://www.at-graphisme.fr")</f>
        <v>http://www.at-graphisme.fr</v>
      </c>
      <c r="AR311" s="76" t="s">
        <v>7127</v>
      </c>
      <c r="AS311" s="76"/>
      <c r="AT311" s="76"/>
      <c r="AU311" s="76"/>
      <c r="AV311" s="76"/>
      <c r="AW311" s="82" t="str">
        <f>HYPERLINK("https://t.co/6SgOEWMvYh")</f>
        <v>https://t.co/6SgOEWMvYh</v>
      </c>
      <c r="AX311" s="76" t="b">
        <v>0</v>
      </c>
      <c r="AY311" s="76"/>
      <c r="AZ311" s="76"/>
      <c r="BA311" s="76" t="b">
        <v>0</v>
      </c>
      <c r="BB311" s="76" t="b">
        <v>1</v>
      </c>
      <c r="BC311" s="76" t="b">
        <v>0</v>
      </c>
      <c r="BD311" s="76" t="b">
        <v>0</v>
      </c>
      <c r="BE311" s="76" t="b">
        <v>0</v>
      </c>
      <c r="BF311" s="76" t="b">
        <v>0</v>
      </c>
      <c r="BG311" s="76" t="b">
        <v>0</v>
      </c>
      <c r="BH311" s="82" t="str">
        <f>HYPERLINK("https://pbs.twimg.com/profile_banners/3881624774/1516286016")</f>
        <v>https://pbs.twimg.com/profile_banners/3881624774/1516286016</v>
      </c>
      <c r="BI311" s="76"/>
      <c r="BJ311" s="76" t="s">
        <v>7188</v>
      </c>
      <c r="BK311" s="76" t="b">
        <v>0</v>
      </c>
      <c r="BL311" s="76"/>
      <c r="BM311" s="76" t="s">
        <v>65</v>
      </c>
      <c r="BN311" s="76" t="s">
        <v>7190</v>
      </c>
      <c r="BO311" s="82" t="str">
        <f>HYPERLINK("https://twitter.com/at_graphisme")</f>
        <v>https://twitter.com/at_graphisme</v>
      </c>
      <c r="BP311" s="46"/>
      <c r="BQ311" s="46"/>
      <c r="BR311" s="46"/>
      <c r="BS311" s="46"/>
      <c r="BT311" s="46"/>
      <c r="BU311" s="46"/>
      <c r="BV311" s="46"/>
      <c r="BW311" s="46"/>
      <c r="BX311" s="46"/>
      <c r="BY311" s="46"/>
      <c r="BZ311" s="2"/>
    </row>
    <row r="312" spans="1:78" ht="15">
      <c r="A312" s="62" t="s">
        <v>558</v>
      </c>
      <c r="B312" s="63"/>
      <c r="C312" s="63"/>
      <c r="D312" s="64"/>
      <c r="E312" s="66"/>
      <c r="F312" s="100" t="str">
        <f>HYPERLINK("https://pbs.twimg.com/profile_images/856449405062348800/5i0hySL1_normal.jpg")</f>
        <v>https://pbs.twimg.com/profile_images/856449405062348800/5i0hySL1_normal.jpg</v>
      </c>
      <c r="G312" s="63"/>
      <c r="H312" s="67"/>
      <c r="I312" s="68"/>
      <c r="J312" s="68"/>
      <c r="K312" s="67" t="s">
        <v>7499</v>
      </c>
      <c r="L312" s="71"/>
      <c r="M312" s="72">
        <v>8582.5625</v>
      </c>
      <c r="N312" s="72">
        <v>363.13397216796875</v>
      </c>
      <c r="O312" s="73"/>
      <c r="P312" s="74"/>
      <c r="Q312" s="74"/>
      <c r="R312" s="86"/>
      <c r="S312" s="46">
        <v>1</v>
      </c>
      <c r="T312" s="46">
        <v>0</v>
      </c>
      <c r="U312" s="47">
        <v>0</v>
      </c>
      <c r="V312" s="47">
        <v>0.023121</v>
      </c>
      <c r="W312" s="47">
        <v>0</v>
      </c>
      <c r="X312" s="47">
        <v>0.002532</v>
      </c>
      <c r="Y312" s="47">
        <v>0</v>
      </c>
      <c r="Z312" s="47">
        <v>0</v>
      </c>
      <c r="AA312" s="69">
        <v>312</v>
      </c>
      <c r="AB312" s="69"/>
      <c r="AC312" s="70"/>
      <c r="AD312" s="76" t="s">
        <v>6169</v>
      </c>
      <c r="AE312" s="83" t="s">
        <v>6422</v>
      </c>
      <c r="AF312" s="76">
        <v>1708</v>
      </c>
      <c r="AG312" s="76">
        <v>4509</v>
      </c>
      <c r="AH312" s="76">
        <v>31248</v>
      </c>
      <c r="AI312" s="76">
        <v>11</v>
      </c>
      <c r="AJ312" s="76">
        <v>41</v>
      </c>
      <c r="AK312" s="76">
        <v>16768</v>
      </c>
      <c r="AL312" s="76" t="b">
        <v>0</v>
      </c>
      <c r="AM312" s="78">
        <v>42849.41787037037</v>
      </c>
      <c r="AN312" s="76"/>
      <c r="AO312" s="76" t="s">
        <v>6901</v>
      </c>
      <c r="AP312" s="82" t="str">
        <f>HYPERLINK("https://t.co/GcJlUoY0dv")</f>
        <v>https://t.co/GcJlUoY0dv</v>
      </c>
      <c r="AQ312" s="82" t="str">
        <f>HYPERLINK("http://avis-produit-web.com/")</f>
        <v>http://avis-produit-web.com/</v>
      </c>
      <c r="AR312" s="76" t="s">
        <v>7128</v>
      </c>
      <c r="AS312" s="76"/>
      <c r="AT312" s="76"/>
      <c r="AU312" s="76"/>
      <c r="AV312" s="76">
        <v>1.70409549239989E+18</v>
      </c>
      <c r="AW312" s="82" t="str">
        <f>HYPERLINK("https://t.co/GcJlUoY0dv")</f>
        <v>https://t.co/GcJlUoY0dv</v>
      </c>
      <c r="AX312" s="76" t="b">
        <v>0</v>
      </c>
      <c r="AY312" s="76"/>
      <c r="AZ312" s="76"/>
      <c r="BA312" s="76" t="b">
        <v>0</v>
      </c>
      <c r="BB312" s="76" t="b">
        <v>1</v>
      </c>
      <c r="BC312" s="76" t="b">
        <v>1</v>
      </c>
      <c r="BD312" s="76" t="b">
        <v>0</v>
      </c>
      <c r="BE312" s="76" t="b">
        <v>0</v>
      </c>
      <c r="BF312" s="76" t="b">
        <v>0</v>
      </c>
      <c r="BG312" s="76" t="b">
        <v>0</v>
      </c>
      <c r="BH312" s="82" t="str">
        <f>HYPERLINK("https://pbs.twimg.com/profile_banners/856448059647168512/1493029364")</f>
        <v>https://pbs.twimg.com/profile_banners/856448059647168512/1493029364</v>
      </c>
      <c r="BI312" s="76"/>
      <c r="BJ312" s="76" t="s">
        <v>7188</v>
      </c>
      <c r="BK312" s="76" t="b">
        <v>0</v>
      </c>
      <c r="BL312" s="76"/>
      <c r="BM312" s="76" t="s">
        <v>65</v>
      </c>
      <c r="BN312" s="76" t="s">
        <v>7190</v>
      </c>
      <c r="BO312" s="82" t="str">
        <f>HYPERLINK("https://twitter.com/avisproduitweb")</f>
        <v>https://twitter.com/avisproduitweb</v>
      </c>
      <c r="BP312" s="46"/>
      <c r="BQ312" s="46"/>
      <c r="BR312" s="46"/>
      <c r="BS312" s="46"/>
      <c r="BT312" s="46"/>
      <c r="BU312" s="46"/>
      <c r="BV312" s="46"/>
      <c r="BW312" s="46"/>
      <c r="BX312" s="46"/>
      <c r="BY312" s="46"/>
      <c r="BZ312" s="2"/>
    </row>
    <row r="313" spans="1:78" ht="15">
      <c r="A313" s="62" t="s">
        <v>559</v>
      </c>
      <c r="B313" s="63"/>
      <c r="C313" s="63"/>
      <c r="D313" s="64"/>
      <c r="E313" s="66"/>
      <c r="F313" s="100" t="str">
        <f>HYPERLINK("https://pbs.twimg.com/profile_images/1529113036954521602/ZhS72WXP_normal.jpg")</f>
        <v>https://pbs.twimg.com/profile_images/1529113036954521602/ZhS72WXP_normal.jpg</v>
      </c>
      <c r="G313" s="63"/>
      <c r="H313" s="67"/>
      <c r="I313" s="68"/>
      <c r="J313" s="68"/>
      <c r="K313" s="67" t="s">
        <v>7500</v>
      </c>
      <c r="L313" s="71"/>
      <c r="M313" s="72">
        <v>8609.2021484375</v>
      </c>
      <c r="N313" s="72">
        <v>363.13397216796875</v>
      </c>
      <c r="O313" s="73"/>
      <c r="P313" s="74"/>
      <c r="Q313" s="74"/>
      <c r="R313" s="86"/>
      <c r="S313" s="46">
        <v>1</v>
      </c>
      <c r="T313" s="46">
        <v>0</v>
      </c>
      <c r="U313" s="47">
        <v>0</v>
      </c>
      <c r="V313" s="47">
        <v>0.023121</v>
      </c>
      <c r="W313" s="47">
        <v>0</v>
      </c>
      <c r="X313" s="47">
        <v>0.002532</v>
      </c>
      <c r="Y313" s="47">
        <v>0</v>
      </c>
      <c r="Z313" s="47">
        <v>0</v>
      </c>
      <c r="AA313" s="69">
        <v>313</v>
      </c>
      <c r="AB313" s="69"/>
      <c r="AC313" s="70"/>
      <c r="AD313" s="76" t="s">
        <v>6170</v>
      </c>
      <c r="AE313" s="83" t="s">
        <v>6423</v>
      </c>
      <c r="AF313" s="76">
        <v>275</v>
      </c>
      <c r="AG313" s="76">
        <v>545</v>
      </c>
      <c r="AH313" s="76">
        <v>1089</v>
      </c>
      <c r="AI313" s="76">
        <v>2</v>
      </c>
      <c r="AJ313" s="76">
        <v>407</v>
      </c>
      <c r="AK313" s="76">
        <v>56</v>
      </c>
      <c r="AL313" s="76" t="b">
        <v>0</v>
      </c>
      <c r="AM313" s="78">
        <v>41238.708344907405</v>
      </c>
      <c r="AN313" s="76" t="s">
        <v>6614</v>
      </c>
      <c r="AO313" s="76" t="s">
        <v>6902</v>
      </c>
      <c r="AP313" s="76"/>
      <c r="AQ313" s="76"/>
      <c r="AR313" s="76"/>
      <c r="AS313" s="76"/>
      <c r="AT313" s="76"/>
      <c r="AU313" s="76"/>
      <c r="AV313" s="76"/>
      <c r="AW313" s="76"/>
      <c r="AX313" s="76" t="b">
        <v>0</v>
      </c>
      <c r="AY313" s="76"/>
      <c r="AZ313" s="76"/>
      <c r="BA313" s="76" t="b">
        <v>0</v>
      </c>
      <c r="BB313" s="76" t="b">
        <v>1</v>
      </c>
      <c r="BC313" s="76" t="b">
        <v>1</v>
      </c>
      <c r="BD313" s="76" t="b">
        <v>0</v>
      </c>
      <c r="BE313" s="76" t="b">
        <v>0</v>
      </c>
      <c r="BF313" s="76" t="b">
        <v>0</v>
      </c>
      <c r="BG313" s="76" t="b">
        <v>0</v>
      </c>
      <c r="BH313" s="82" t="str">
        <f>HYPERLINK("https://pbs.twimg.com/profile_banners/970389589/1653405173")</f>
        <v>https://pbs.twimg.com/profile_banners/970389589/1653405173</v>
      </c>
      <c r="BI313" s="76"/>
      <c r="BJ313" s="76" t="s">
        <v>7188</v>
      </c>
      <c r="BK313" s="76" t="b">
        <v>0</v>
      </c>
      <c r="BL313" s="76"/>
      <c r="BM313" s="76" t="s">
        <v>65</v>
      </c>
      <c r="BN313" s="76" t="s">
        <v>7190</v>
      </c>
      <c r="BO313" s="82" t="str">
        <f>HYPERLINK("https://twitter.com/besson1258")</f>
        <v>https://twitter.com/besson1258</v>
      </c>
      <c r="BP313" s="46"/>
      <c r="BQ313" s="46"/>
      <c r="BR313" s="46"/>
      <c r="BS313" s="46"/>
      <c r="BT313" s="46"/>
      <c r="BU313" s="46"/>
      <c r="BV313" s="46"/>
      <c r="BW313" s="46"/>
      <c r="BX313" s="46"/>
      <c r="BY313" s="46"/>
      <c r="BZ313" s="2"/>
    </row>
    <row r="314" spans="1:78" ht="15">
      <c r="A314" s="62" t="s">
        <v>560</v>
      </c>
      <c r="B314" s="63"/>
      <c r="C314" s="63"/>
      <c r="D314" s="64"/>
      <c r="E314" s="66"/>
      <c r="F314" s="100" t="str">
        <f>HYPERLINK("https://pbs.twimg.com/profile_images/970608655509925888/o2NDE6gz_normal.jpg")</f>
        <v>https://pbs.twimg.com/profile_images/970608655509925888/o2NDE6gz_normal.jpg</v>
      </c>
      <c r="G314" s="63"/>
      <c r="H314" s="67"/>
      <c r="I314" s="68"/>
      <c r="J314" s="68"/>
      <c r="K314" s="67" t="s">
        <v>7501</v>
      </c>
      <c r="L314" s="71"/>
      <c r="M314" s="72">
        <v>8635.8427734375</v>
      </c>
      <c r="N314" s="72">
        <v>363.13397216796875</v>
      </c>
      <c r="O314" s="73"/>
      <c r="P314" s="74"/>
      <c r="Q314" s="74"/>
      <c r="R314" s="86"/>
      <c r="S314" s="46">
        <v>1</v>
      </c>
      <c r="T314" s="46">
        <v>0</v>
      </c>
      <c r="U314" s="47">
        <v>0</v>
      </c>
      <c r="V314" s="47">
        <v>0.023121</v>
      </c>
      <c r="W314" s="47">
        <v>0</v>
      </c>
      <c r="X314" s="47">
        <v>0.002532</v>
      </c>
      <c r="Y314" s="47">
        <v>0</v>
      </c>
      <c r="Z314" s="47">
        <v>0</v>
      </c>
      <c r="AA314" s="69">
        <v>314</v>
      </c>
      <c r="AB314" s="69"/>
      <c r="AC314" s="70"/>
      <c r="AD314" s="76" t="s">
        <v>6171</v>
      </c>
      <c r="AE314" s="83" t="s">
        <v>6424</v>
      </c>
      <c r="AF314" s="76">
        <v>298</v>
      </c>
      <c r="AG314" s="76">
        <v>409</v>
      </c>
      <c r="AH314" s="76">
        <v>491</v>
      </c>
      <c r="AI314" s="76">
        <v>8</v>
      </c>
      <c r="AJ314" s="76">
        <v>257</v>
      </c>
      <c r="AK314" s="76">
        <v>264</v>
      </c>
      <c r="AL314" s="76" t="b">
        <v>0</v>
      </c>
      <c r="AM314" s="78">
        <v>43164.434270833335</v>
      </c>
      <c r="AN314" s="76" t="s">
        <v>6615</v>
      </c>
      <c r="AO314" s="76" t="s">
        <v>6903</v>
      </c>
      <c r="AP314" s="76"/>
      <c r="AQ314" s="76"/>
      <c r="AR314" s="76"/>
      <c r="AS314" s="76"/>
      <c r="AT314" s="76"/>
      <c r="AU314" s="76"/>
      <c r="AV314" s="76"/>
      <c r="AW314" s="76"/>
      <c r="AX314" s="76" t="b">
        <v>0</v>
      </c>
      <c r="AY314" s="76"/>
      <c r="AZ314" s="76"/>
      <c r="BA314" s="76" t="b">
        <v>0</v>
      </c>
      <c r="BB314" s="76" t="b">
        <v>1</v>
      </c>
      <c r="BC314" s="76" t="b">
        <v>1</v>
      </c>
      <c r="BD314" s="76" t="b">
        <v>0</v>
      </c>
      <c r="BE314" s="76" t="b">
        <v>0</v>
      </c>
      <c r="BF314" s="76" t="b">
        <v>0</v>
      </c>
      <c r="BG314" s="76" t="b">
        <v>0</v>
      </c>
      <c r="BH314" s="82" t="str">
        <f>HYPERLINK("https://pbs.twimg.com/profile_banners/970606182770585601/1634981160")</f>
        <v>https://pbs.twimg.com/profile_banners/970606182770585601/1634981160</v>
      </c>
      <c r="BI314" s="76"/>
      <c r="BJ314" s="76" t="s">
        <v>7188</v>
      </c>
      <c r="BK314" s="76" t="b">
        <v>0</v>
      </c>
      <c r="BL314" s="76"/>
      <c r="BM314" s="76" t="s">
        <v>65</v>
      </c>
      <c r="BN314" s="76" t="s">
        <v>7190</v>
      </c>
      <c r="BO314" s="82" t="str">
        <f>HYPERLINK("https://twitter.com/rhonevallee")</f>
        <v>https://twitter.com/rhonevallee</v>
      </c>
      <c r="BP314" s="46"/>
      <c r="BQ314" s="46"/>
      <c r="BR314" s="46"/>
      <c r="BS314" s="46"/>
      <c r="BT314" s="46"/>
      <c r="BU314" s="46"/>
      <c r="BV314" s="46"/>
      <c r="BW314" s="46"/>
      <c r="BX314" s="46"/>
      <c r="BY314" s="46"/>
      <c r="BZ314" s="2"/>
    </row>
    <row r="315" spans="1:78" ht="15">
      <c r="A315" s="62" t="s">
        <v>561</v>
      </c>
      <c r="B315" s="63"/>
      <c r="C315" s="63"/>
      <c r="D315" s="64"/>
      <c r="E315" s="66"/>
      <c r="F315" s="100" t="str">
        <f>HYPERLINK("https://pbs.twimg.com/profile_images/837400938788835329/IrfX5srJ_normal.jpg")</f>
        <v>https://pbs.twimg.com/profile_images/837400938788835329/IrfX5srJ_normal.jpg</v>
      </c>
      <c r="G315" s="63"/>
      <c r="H315" s="67"/>
      <c r="I315" s="68"/>
      <c r="J315" s="68"/>
      <c r="K315" s="67" t="s">
        <v>7502</v>
      </c>
      <c r="L315" s="71"/>
      <c r="M315" s="72">
        <v>8662.482421875</v>
      </c>
      <c r="N315" s="72">
        <v>391.76593017578125</v>
      </c>
      <c r="O315" s="73"/>
      <c r="P315" s="74"/>
      <c r="Q315" s="74"/>
      <c r="R315" s="86"/>
      <c r="S315" s="46">
        <v>1</v>
      </c>
      <c r="T315" s="46">
        <v>0</v>
      </c>
      <c r="U315" s="47">
        <v>0</v>
      </c>
      <c r="V315" s="47">
        <v>0.023121</v>
      </c>
      <c r="W315" s="47">
        <v>0</v>
      </c>
      <c r="X315" s="47">
        <v>0.002532</v>
      </c>
      <c r="Y315" s="47">
        <v>0</v>
      </c>
      <c r="Z315" s="47">
        <v>0</v>
      </c>
      <c r="AA315" s="69">
        <v>315</v>
      </c>
      <c r="AB315" s="69"/>
      <c r="AC315" s="70"/>
      <c r="AD315" s="76" t="s">
        <v>6172</v>
      </c>
      <c r="AE315" s="83" t="s">
        <v>6425</v>
      </c>
      <c r="AF315" s="76">
        <v>33</v>
      </c>
      <c r="AG315" s="76">
        <v>191</v>
      </c>
      <c r="AH315" s="76">
        <v>430</v>
      </c>
      <c r="AI315" s="76">
        <v>0</v>
      </c>
      <c r="AJ315" s="76">
        <v>3400</v>
      </c>
      <c r="AK315" s="76">
        <v>1</v>
      </c>
      <c r="AL315" s="76" t="b">
        <v>0</v>
      </c>
      <c r="AM315" s="78">
        <v>42796.851331018515</v>
      </c>
      <c r="AN315" s="76" t="s">
        <v>6616</v>
      </c>
      <c r="AO315" s="76" t="s">
        <v>6904</v>
      </c>
      <c r="AP315" s="76"/>
      <c r="AQ315" s="76"/>
      <c r="AR315" s="76"/>
      <c r="AS315" s="76"/>
      <c r="AT315" s="76"/>
      <c r="AU315" s="76"/>
      <c r="AV315" s="76"/>
      <c r="AW315" s="76"/>
      <c r="AX315" s="76" t="b">
        <v>0</v>
      </c>
      <c r="AY315" s="76"/>
      <c r="AZ315" s="76"/>
      <c r="BA315" s="76" t="b">
        <v>0</v>
      </c>
      <c r="BB315" s="76" t="b">
        <v>1</v>
      </c>
      <c r="BC315" s="76" t="b">
        <v>1</v>
      </c>
      <c r="BD315" s="76" t="b">
        <v>0</v>
      </c>
      <c r="BE315" s="76" t="b">
        <v>1</v>
      </c>
      <c r="BF315" s="76" t="b">
        <v>0</v>
      </c>
      <c r="BG315" s="76" t="b">
        <v>0</v>
      </c>
      <c r="BH315" s="76"/>
      <c r="BI315" s="76"/>
      <c r="BJ315" s="76" t="s">
        <v>7188</v>
      </c>
      <c r="BK315" s="76" t="b">
        <v>0</v>
      </c>
      <c r="BL315" s="76"/>
      <c r="BM315" s="76" t="s">
        <v>65</v>
      </c>
      <c r="BN315" s="76" t="s">
        <v>7190</v>
      </c>
      <c r="BO315" s="82" t="str">
        <f>HYPERLINK("https://twitter.com/nguyen56712041")</f>
        <v>https://twitter.com/nguyen56712041</v>
      </c>
      <c r="BP315" s="46"/>
      <c r="BQ315" s="46"/>
      <c r="BR315" s="46"/>
      <c r="BS315" s="46"/>
      <c r="BT315" s="46"/>
      <c r="BU315" s="46"/>
      <c r="BV315" s="46"/>
      <c r="BW315" s="46"/>
      <c r="BX315" s="46"/>
      <c r="BY315" s="46"/>
      <c r="BZ315" s="2"/>
    </row>
    <row r="316" spans="1:78" ht="15">
      <c r="A316" s="62" t="s">
        <v>562</v>
      </c>
      <c r="B316" s="63"/>
      <c r="C316" s="63"/>
      <c r="D316" s="64"/>
      <c r="E316" s="66"/>
      <c r="F316" s="100" t="str">
        <f>HYPERLINK("https://pbs.twimg.com/profile_images/976074430077169666/Mx8tQUTc_normal.jpg")</f>
        <v>https://pbs.twimg.com/profile_images/976074430077169666/Mx8tQUTc_normal.jpg</v>
      </c>
      <c r="G316" s="63"/>
      <c r="H316" s="67"/>
      <c r="I316" s="68"/>
      <c r="J316" s="68"/>
      <c r="K316" s="67" t="s">
        <v>7503</v>
      </c>
      <c r="L316" s="71"/>
      <c r="M316" s="72">
        <v>8689.1220703125</v>
      </c>
      <c r="N316" s="72">
        <v>435.08868408203125</v>
      </c>
      <c r="O316" s="73"/>
      <c r="P316" s="74"/>
      <c r="Q316" s="74"/>
      <c r="R316" s="86"/>
      <c r="S316" s="46">
        <v>1</v>
      </c>
      <c r="T316" s="46">
        <v>0</v>
      </c>
      <c r="U316" s="47">
        <v>0</v>
      </c>
      <c r="V316" s="47">
        <v>0.023121</v>
      </c>
      <c r="W316" s="47">
        <v>0</v>
      </c>
      <c r="X316" s="47">
        <v>0.002532</v>
      </c>
      <c r="Y316" s="47">
        <v>0</v>
      </c>
      <c r="Z316" s="47">
        <v>0</v>
      </c>
      <c r="AA316" s="69">
        <v>316</v>
      </c>
      <c r="AB316" s="69"/>
      <c r="AC316" s="70"/>
      <c r="AD316" s="76" t="s">
        <v>6173</v>
      </c>
      <c r="AE316" s="83" t="s">
        <v>6426</v>
      </c>
      <c r="AF316" s="76">
        <v>84</v>
      </c>
      <c r="AG316" s="76">
        <v>91</v>
      </c>
      <c r="AH316" s="76">
        <v>49</v>
      </c>
      <c r="AI316" s="76">
        <v>1</v>
      </c>
      <c r="AJ316" s="76">
        <v>17</v>
      </c>
      <c r="AK316" s="76">
        <v>18</v>
      </c>
      <c r="AL316" s="76" t="b">
        <v>0</v>
      </c>
      <c r="AM316" s="78">
        <v>43179.518379629626</v>
      </c>
      <c r="AN316" s="76"/>
      <c r="AO316" s="76" t="s">
        <v>6905</v>
      </c>
      <c r="AP316" s="82" t="str">
        <f>HYPERLINK("https://t.co/miAoPgpAsQ")</f>
        <v>https://t.co/miAoPgpAsQ</v>
      </c>
      <c r="AQ316" s="82" t="str">
        <f>HYPERLINK("https://super-promo.webnode.fr/")</f>
        <v>https://super-promo.webnode.fr/</v>
      </c>
      <c r="AR316" s="76" t="s">
        <v>7129</v>
      </c>
      <c r="AS316" s="82" t="str">
        <f>HYPERLINK("https://t.co/miAoPgpAsQ")</f>
        <v>https://t.co/miAoPgpAsQ</v>
      </c>
      <c r="AT316" s="82" t="str">
        <f>HYPERLINK("https://super-promo.webnode.fr/")</f>
        <v>https://super-promo.webnode.fr/</v>
      </c>
      <c r="AU316" s="76" t="s">
        <v>7129</v>
      </c>
      <c r="AV316" s="76"/>
      <c r="AW316" s="82" t="str">
        <f>HYPERLINK("https://t.co/miAoPgpAsQ")</f>
        <v>https://t.co/miAoPgpAsQ</v>
      </c>
      <c r="AX316" s="76" t="b">
        <v>0</v>
      </c>
      <c r="AY316" s="76"/>
      <c r="AZ316" s="76"/>
      <c r="BA316" s="76" t="b">
        <v>0</v>
      </c>
      <c r="BB316" s="76" t="b">
        <v>1</v>
      </c>
      <c r="BC316" s="76" t="b">
        <v>1</v>
      </c>
      <c r="BD316" s="76" t="b">
        <v>0</v>
      </c>
      <c r="BE316" s="76" t="b">
        <v>0</v>
      </c>
      <c r="BF316" s="76" t="b">
        <v>0</v>
      </c>
      <c r="BG316" s="76" t="b">
        <v>0</v>
      </c>
      <c r="BH316" s="82" t="str">
        <f>HYPERLINK("https://pbs.twimg.com/profile_banners/976072480908546049/1521549240")</f>
        <v>https://pbs.twimg.com/profile_banners/976072480908546049/1521549240</v>
      </c>
      <c r="BI316" s="76"/>
      <c r="BJ316" s="76" t="s">
        <v>7188</v>
      </c>
      <c r="BK316" s="76" t="b">
        <v>0</v>
      </c>
      <c r="BL316" s="76"/>
      <c r="BM316" s="76" t="s">
        <v>65</v>
      </c>
      <c r="BN316" s="76" t="s">
        <v>7190</v>
      </c>
      <c r="BO316" s="82" t="str">
        <f>HYPERLINK("https://twitter.com/superpromo2o18")</f>
        <v>https://twitter.com/superpromo2o18</v>
      </c>
      <c r="BP316" s="46"/>
      <c r="BQ316" s="46"/>
      <c r="BR316" s="46"/>
      <c r="BS316" s="46"/>
      <c r="BT316" s="46"/>
      <c r="BU316" s="46"/>
      <c r="BV316" s="46"/>
      <c r="BW316" s="46"/>
      <c r="BX316" s="46"/>
      <c r="BY316" s="46"/>
      <c r="BZ316" s="2"/>
    </row>
    <row r="317" spans="1:78" ht="15">
      <c r="A317" s="62" t="s">
        <v>563</v>
      </c>
      <c r="B317" s="63"/>
      <c r="C317" s="63"/>
      <c r="D317" s="64"/>
      <c r="E317" s="66"/>
      <c r="F317" s="100" t="str">
        <f>HYPERLINK("https://pbs.twimg.com/profile_images/1513805319880781828/uPWZDGWy_normal.jpg")</f>
        <v>https://pbs.twimg.com/profile_images/1513805319880781828/uPWZDGWy_normal.jpg</v>
      </c>
      <c r="G317" s="63"/>
      <c r="H317" s="67"/>
      <c r="I317" s="68"/>
      <c r="J317" s="68"/>
      <c r="K317" s="67" t="s">
        <v>7504</v>
      </c>
      <c r="L317" s="71"/>
      <c r="M317" s="72">
        <v>8715.7626953125</v>
      </c>
      <c r="N317" s="72">
        <v>484.3283996582031</v>
      </c>
      <c r="O317" s="73"/>
      <c r="P317" s="74"/>
      <c r="Q317" s="74"/>
      <c r="R317" s="86"/>
      <c r="S317" s="46">
        <v>1</v>
      </c>
      <c r="T317" s="46">
        <v>0</v>
      </c>
      <c r="U317" s="47">
        <v>0</v>
      </c>
      <c r="V317" s="47">
        <v>0.023121</v>
      </c>
      <c r="W317" s="47">
        <v>0</v>
      </c>
      <c r="X317" s="47">
        <v>0.002532</v>
      </c>
      <c r="Y317" s="47">
        <v>0</v>
      </c>
      <c r="Z317" s="47">
        <v>0</v>
      </c>
      <c r="AA317" s="69">
        <v>317</v>
      </c>
      <c r="AB317" s="69"/>
      <c r="AC317" s="70"/>
      <c r="AD317" s="76" t="s">
        <v>6174</v>
      </c>
      <c r="AE317" s="83" t="s">
        <v>6427</v>
      </c>
      <c r="AF317" s="76">
        <v>78</v>
      </c>
      <c r="AG317" s="76">
        <v>314</v>
      </c>
      <c r="AH317" s="76">
        <v>339</v>
      </c>
      <c r="AI317" s="76">
        <v>7</v>
      </c>
      <c r="AJ317" s="76">
        <v>176</v>
      </c>
      <c r="AK317" s="76">
        <v>27</v>
      </c>
      <c r="AL317" s="76" t="b">
        <v>0</v>
      </c>
      <c r="AM317" s="78">
        <v>42405.47861111111</v>
      </c>
      <c r="AN317" s="76" t="s">
        <v>6617</v>
      </c>
      <c r="AO317" s="76" t="s">
        <v>6906</v>
      </c>
      <c r="AP317" s="82" t="str">
        <f>HYPERLINK("https://t.co/iVscO5KIgZ")</f>
        <v>https://t.co/iVscO5KIgZ</v>
      </c>
      <c r="AQ317" s="82" t="str">
        <f>HYPERLINK("http://www.pretextedecom.com")</f>
        <v>http://www.pretextedecom.com</v>
      </c>
      <c r="AR317" s="76" t="s">
        <v>7130</v>
      </c>
      <c r="AS317" s="76"/>
      <c r="AT317" s="76"/>
      <c r="AU317" s="76"/>
      <c r="AV317" s="76">
        <v>1.22425258806703E+18</v>
      </c>
      <c r="AW317" s="82" t="str">
        <f>HYPERLINK("https://t.co/iVscO5KIgZ")</f>
        <v>https://t.co/iVscO5KIgZ</v>
      </c>
      <c r="AX317" s="76" t="b">
        <v>0</v>
      </c>
      <c r="AY317" s="76"/>
      <c r="AZ317" s="76"/>
      <c r="BA317" s="76" t="b">
        <v>0</v>
      </c>
      <c r="BB317" s="76" t="b">
        <v>1</v>
      </c>
      <c r="BC317" s="76" t="b">
        <v>0</v>
      </c>
      <c r="BD317" s="76" t="b">
        <v>0</v>
      </c>
      <c r="BE317" s="76" t="b">
        <v>0</v>
      </c>
      <c r="BF317" s="76" t="b">
        <v>0</v>
      </c>
      <c r="BG317" s="76" t="b">
        <v>0</v>
      </c>
      <c r="BH317" s="82" t="str">
        <f>HYPERLINK("https://pbs.twimg.com/profile_banners/4877647019/1649754290")</f>
        <v>https://pbs.twimg.com/profile_banners/4877647019/1649754290</v>
      </c>
      <c r="BI317" s="76"/>
      <c r="BJ317" s="76" t="s">
        <v>7188</v>
      </c>
      <c r="BK317" s="76" t="b">
        <v>0</v>
      </c>
      <c r="BL317" s="76"/>
      <c r="BM317" s="76" t="s">
        <v>65</v>
      </c>
      <c r="BN317" s="76" t="s">
        <v>7190</v>
      </c>
      <c r="BO317" s="82" t="str">
        <f>HYPERLINK("https://twitter.com/nsahuc")</f>
        <v>https://twitter.com/nsahuc</v>
      </c>
      <c r="BP317" s="46"/>
      <c r="BQ317" s="46"/>
      <c r="BR317" s="46"/>
      <c r="BS317" s="46"/>
      <c r="BT317" s="46"/>
      <c r="BU317" s="46"/>
      <c r="BV317" s="46"/>
      <c r="BW317" s="46"/>
      <c r="BX317" s="46"/>
      <c r="BY317" s="46"/>
      <c r="BZ317" s="2"/>
    </row>
    <row r="318" spans="1:78" ht="15">
      <c r="A318" s="62" t="s">
        <v>564</v>
      </c>
      <c r="B318" s="63"/>
      <c r="C318" s="63"/>
      <c r="D318" s="64"/>
      <c r="E318" s="66"/>
      <c r="F318" s="100" t="str">
        <f>HYPERLINK("https://pbs.twimg.com/profile_images/378800000746301173/31740d531cb8fec30fb2a526b0d50f7f_normal.jpeg")</f>
        <v>https://pbs.twimg.com/profile_images/378800000746301173/31740d531cb8fec30fb2a526b0d50f7f_normal.jpeg</v>
      </c>
      <c r="G318" s="63"/>
      <c r="H318" s="67"/>
      <c r="I318" s="68"/>
      <c r="J318" s="68"/>
      <c r="K318" s="67" t="s">
        <v>7505</v>
      </c>
      <c r="L318" s="71"/>
      <c r="M318" s="72">
        <v>8742.40234375</v>
      </c>
      <c r="N318" s="72">
        <v>539.4221801757812</v>
      </c>
      <c r="O318" s="73"/>
      <c r="P318" s="74"/>
      <c r="Q318" s="74"/>
      <c r="R318" s="86"/>
      <c r="S318" s="46">
        <v>1</v>
      </c>
      <c r="T318" s="46">
        <v>0</v>
      </c>
      <c r="U318" s="47">
        <v>0</v>
      </c>
      <c r="V318" s="47">
        <v>0.023121</v>
      </c>
      <c r="W318" s="47">
        <v>0</v>
      </c>
      <c r="X318" s="47">
        <v>0.002532</v>
      </c>
      <c r="Y318" s="47">
        <v>0</v>
      </c>
      <c r="Z318" s="47">
        <v>0</v>
      </c>
      <c r="AA318" s="69">
        <v>318</v>
      </c>
      <c r="AB318" s="69"/>
      <c r="AC318" s="70"/>
      <c r="AD318" s="76" t="s">
        <v>6175</v>
      </c>
      <c r="AE318" s="83" t="s">
        <v>6428</v>
      </c>
      <c r="AF318" s="76">
        <v>32</v>
      </c>
      <c r="AG318" s="76">
        <v>79</v>
      </c>
      <c r="AH318" s="76">
        <v>34</v>
      </c>
      <c r="AI318" s="76">
        <v>0</v>
      </c>
      <c r="AJ318" s="76">
        <v>12</v>
      </c>
      <c r="AK318" s="76">
        <v>33</v>
      </c>
      <c r="AL318" s="76" t="b">
        <v>0</v>
      </c>
      <c r="AM318" s="78">
        <v>41594.33556712963</v>
      </c>
      <c r="AN318" s="76" t="s">
        <v>6618</v>
      </c>
      <c r="AO318" s="76" t="s">
        <v>6907</v>
      </c>
      <c r="AP318" s="82" t="str">
        <f>HYPERLINK("http://t.co/SyFJayC4Bj")</f>
        <v>http://t.co/SyFJayC4Bj</v>
      </c>
      <c r="AQ318" s="82" t="str">
        <f>HYPERLINK("http://shiatsudomontelimar.e-monsite.com/")</f>
        <v>http://shiatsudomontelimar.e-monsite.com/</v>
      </c>
      <c r="AR318" s="76" t="s">
        <v>7131</v>
      </c>
      <c r="AS318" s="76"/>
      <c r="AT318" s="76"/>
      <c r="AU318" s="76"/>
      <c r="AV318" s="76"/>
      <c r="AW318" s="82" t="str">
        <f>HYPERLINK("http://t.co/SyFJayC4Bj")</f>
        <v>http://t.co/SyFJayC4Bj</v>
      </c>
      <c r="AX318" s="76" t="b">
        <v>0</v>
      </c>
      <c r="AY318" s="76"/>
      <c r="AZ318" s="76"/>
      <c r="BA318" s="76" t="b">
        <v>0</v>
      </c>
      <c r="BB318" s="76" t="b">
        <v>1</v>
      </c>
      <c r="BC318" s="76" t="b">
        <v>1</v>
      </c>
      <c r="BD318" s="76" t="b">
        <v>0</v>
      </c>
      <c r="BE318" s="76" t="b">
        <v>0</v>
      </c>
      <c r="BF318" s="76" t="b">
        <v>0</v>
      </c>
      <c r="BG318" s="76" t="b">
        <v>0</v>
      </c>
      <c r="BH318" s="76"/>
      <c r="BI318" s="76"/>
      <c r="BJ318" s="76" t="s">
        <v>7188</v>
      </c>
      <c r="BK318" s="76" t="b">
        <v>0</v>
      </c>
      <c r="BL318" s="76"/>
      <c r="BM318" s="76" t="s">
        <v>65</v>
      </c>
      <c r="BN318" s="76" t="s">
        <v>7190</v>
      </c>
      <c r="BO318" s="82" t="str">
        <f>HYPERLINK("https://twitter.com/shiatsudomontel")</f>
        <v>https://twitter.com/shiatsudomontel</v>
      </c>
      <c r="BP318" s="46"/>
      <c r="BQ318" s="46"/>
      <c r="BR318" s="46"/>
      <c r="BS318" s="46"/>
      <c r="BT318" s="46"/>
      <c r="BU318" s="46"/>
      <c r="BV318" s="46"/>
      <c r="BW318" s="46"/>
      <c r="BX318" s="46"/>
      <c r="BY318" s="46"/>
      <c r="BZ318" s="2"/>
    </row>
    <row r="319" spans="1:78" ht="15">
      <c r="A319" s="62" t="s">
        <v>565</v>
      </c>
      <c r="B319" s="63"/>
      <c r="C319" s="63"/>
      <c r="D319" s="64"/>
      <c r="E319" s="66"/>
      <c r="F319" s="100" t="str">
        <f>HYPERLINK("https://pbs.twimg.com/profile_images/1116004058861588480/fPZG6SwF_normal.png")</f>
        <v>https://pbs.twimg.com/profile_images/1116004058861588480/fPZG6SwF_normal.png</v>
      </c>
      <c r="G319" s="63"/>
      <c r="H319" s="67"/>
      <c r="I319" s="68"/>
      <c r="J319" s="68"/>
      <c r="K319" s="67" t="s">
        <v>7506</v>
      </c>
      <c r="L319" s="71"/>
      <c r="M319" s="72">
        <v>8769.0419921875</v>
      </c>
      <c r="N319" s="72">
        <v>600.2966918945312</v>
      </c>
      <c r="O319" s="73"/>
      <c r="P319" s="74"/>
      <c r="Q319" s="74"/>
      <c r="R319" s="86"/>
      <c r="S319" s="46">
        <v>1</v>
      </c>
      <c r="T319" s="46">
        <v>0</v>
      </c>
      <c r="U319" s="47">
        <v>0</v>
      </c>
      <c r="V319" s="47">
        <v>0.023121</v>
      </c>
      <c r="W319" s="47">
        <v>0</v>
      </c>
      <c r="X319" s="47">
        <v>0.002532</v>
      </c>
      <c r="Y319" s="47">
        <v>0</v>
      </c>
      <c r="Z319" s="47">
        <v>0</v>
      </c>
      <c r="AA319" s="69">
        <v>319</v>
      </c>
      <c r="AB319" s="69"/>
      <c r="AC319" s="70"/>
      <c r="AD319" s="76" t="s">
        <v>6176</v>
      </c>
      <c r="AE319" s="83" t="s">
        <v>6429</v>
      </c>
      <c r="AF319" s="76">
        <v>28147</v>
      </c>
      <c r="AG319" s="76">
        <v>15318</v>
      </c>
      <c r="AH319" s="76">
        <v>24784</v>
      </c>
      <c r="AI319" s="76">
        <v>823</v>
      </c>
      <c r="AJ319" s="76">
        <v>7258</v>
      </c>
      <c r="AK319" s="76">
        <v>77</v>
      </c>
      <c r="AL319" s="76" t="b">
        <v>0</v>
      </c>
      <c r="AM319" s="78">
        <v>41251.564791666664</v>
      </c>
      <c r="AN319" s="76" t="s">
        <v>6602</v>
      </c>
      <c r="AO319" s="76" t="s">
        <v>6908</v>
      </c>
      <c r="AP319" s="76"/>
      <c r="AQ319" s="76"/>
      <c r="AR319" s="76"/>
      <c r="AS319" s="76"/>
      <c r="AT319" s="76"/>
      <c r="AU319" s="76"/>
      <c r="AV319" s="76"/>
      <c r="AW319" s="76"/>
      <c r="AX319" s="76" t="b">
        <v>0</v>
      </c>
      <c r="AY319" s="76"/>
      <c r="AZ319" s="76"/>
      <c r="BA319" s="76" t="b">
        <v>0</v>
      </c>
      <c r="BB319" s="76" t="b">
        <v>1</v>
      </c>
      <c r="BC319" s="76" t="b">
        <v>0</v>
      </c>
      <c r="BD319" s="76" t="b">
        <v>0</v>
      </c>
      <c r="BE319" s="76" t="b">
        <v>0</v>
      </c>
      <c r="BF319" s="76" t="b">
        <v>0</v>
      </c>
      <c r="BG319" s="76" t="b">
        <v>0</v>
      </c>
      <c r="BH319" s="82" t="str">
        <f>HYPERLINK("https://pbs.twimg.com/profile_banners/997166028/1538584050")</f>
        <v>https://pbs.twimg.com/profile_banners/997166028/1538584050</v>
      </c>
      <c r="BI319" s="76"/>
      <c r="BJ319" s="76" t="s">
        <v>7188</v>
      </c>
      <c r="BK319" s="76" t="b">
        <v>0</v>
      </c>
      <c r="BL319" s="76"/>
      <c r="BM319" s="76" t="s">
        <v>65</v>
      </c>
      <c r="BN319" s="76" t="s">
        <v>7190</v>
      </c>
      <c r="BO319" s="82" t="str">
        <f>HYPERLINK("https://twitter.com/marie_veille")</f>
        <v>https://twitter.com/marie_veille</v>
      </c>
      <c r="BP319" s="46"/>
      <c r="BQ319" s="46"/>
      <c r="BR319" s="46"/>
      <c r="BS319" s="46"/>
      <c r="BT319" s="46"/>
      <c r="BU319" s="46"/>
      <c r="BV319" s="46"/>
      <c r="BW319" s="46"/>
      <c r="BX319" s="46"/>
      <c r="BY319" s="46"/>
      <c r="BZ319" s="2"/>
    </row>
    <row r="320" spans="1:78" ht="15">
      <c r="A320" s="62" t="s">
        <v>394</v>
      </c>
      <c r="B320" s="63"/>
      <c r="C320" s="63"/>
      <c r="D320" s="64"/>
      <c r="E320" s="66"/>
      <c r="F320" s="100" t="str">
        <f>HYPERLINK("https://pbs.twimg.com/profile_images/1130956036/love-8204_normal.jpg")</f>
        <v>https://pbs.twimg.com/profile_images/1130956036/love-8204_normal.jpg</v>
      </c>
      <c r="G320" s="63"/>
      <c r="H320" s="67"/>
      <c r="I320" s="68"/>
      <c r="J320" s="68"/>
      <c r="K320" s="67" t="s">
        <v>7507</v>
      </c>
      <c r="L320" s="71"/>
      <c r="M320" s="72">
        <v>8795.681640625</v>
      </c>
      <c r="N320" s="72">
        <v>666.8753051757812</v>
      </c>
      <c r="O320" s="73"/>
      <c r="P320" s="74"/>
      <c r="Q320" s="74"/>
      <c r="R320" s="86"/>
      <c r="S320" s="46">
        <v>1</v>
      </c>
      <c r="T320" s="46">
        <v>1</v>
      </c>
      <c r="U320" s="47">
        <v>0</v>
      </c>
      <c r="V320" s="47">
        <v>0</v>
      </c>
      <c r="W320" s="47">
        <v>0</v>
      </c>
      <c r="X320" s="47">
        <v>0.002882</v>
      </c>
      <c r="Y320" s="47">
        <v>0</v>
      </c>
      <c r="Z320" s="47">
        <v>0</v>
      </c>
      <c r="AA320" s="69">
        <v>320</v>
      </c>
      <c r="AB320" s="69"/>
      <c r="AC320" s="70"/>
      <c r="AD320" s="76" t="s">
        <v>6177</v>
      </c>
      <c r="AE320" s="83" t="s">
        <v>6430</v>
      </c>
      <c r="AF320" s="76">
        <v>49</v>
      </c>
      <c r="AG320" s="76">
        <v>408</v>
      </c>
      <c r="AH320" s="76">
        <v>821</v>
      </c>
      <c r="AI320" s="76">
        <v>0</v>
      </c>
      <c r="AJ320" s="76">
        <v>0</v>
      </c>
      <c r="AK320" s="76">
        <v>0</v>
      </c>
      <c r="AL320" s="76" t="b">
        <v>0</v>
      </c>
      <c r="AM320" s="78">
        <v>40443.735659722224</v>
      </c>
      <c r="AN320" s="76"/>
      <c r="AO320" s="76"/>
      <c r="AP320" s="82" t="str">
        <f>HYPERLINK("http://t.co/eQQqzCGhy7")</f>
        <v>http://t.co/eQQqzCGhy7</v>
      </c>
      <c r="AQ320" s="82" t="str">
        <f>HYPERLINK("http://www.managementguruz.com")</f>
        <v>http://www.managementguruz.com</v>
      </c>
      <c r="AR320" s="76" t="s">
        <v>7132</v>
      </c>
      <c r="AS320" s="76"/>
      <c r="AT320" s="76"/>
      <c r="AU320" s="76"/>
      <c r="AV320" s="76"/>
      <c r="AW320" s="82" t="str">
        <f>HYPERLINK("http://t.co/eQQqzCGhy7")</f>
        <v>http://t.co/eQQqzCGhy7</v>
      </c>
      <c r="AX320" s="76" t="b">
        <v>0</v>
      </c>
      <c r="AY320" s="76"/>
      <c r="AZ320" s="76"/>
      <c r="BA320" s="76" t="b">
        <v>0</v>
      </c>
      <c r="BB320" s="76" t="b">
        <v>1</v>
      </c>
      <c r="BC320" s="76" t="b">
        <v>1</v>
      </c>
      <c r="BD320" s="76" t="b">
        <v>0</v>
      </c>
      <c r="BE320" s="76" t="b">
        <v>0</v>
      </c>
      <c r="BF320" s="76" t="b">
        <v>0</v>
      </c>
      <c r="BG320" s="76" t="b">
        <v>0</v>
      </c>
      <c r="BH320" s="76"/>
      <c r="BI320" s="76"/>
      <c r="BJ320" s="76" t="s">
        <v>7188</v>
      </c>
      <c r="BK320" s="76" t="b">
        <v>0</v>
      </c>
      <c r="BL320" s="76"/>
      <c r="BM320" s="76" t="s">
        <v>66</v>
      </c>
      <c r="BN320" s="76" t="s">
        <v>7190</v>
      </c>
      <c r="BO320" s="82" t="str">
        <f>HYPERLINK("https://twitter.com/mguruz")</f>
        <v>https://twitter.com/mguruz</v>
      </c>
      <c r="BP320" s="46"/>
      <c r="BQ320" s="46"/>
      <c r="BR320" s="46"/>
      <c r="BS320" s="46"/>
      <c r="BT320" s="46"/>
      <c r="BU320" s="46"/>
      <c r="BV320" s="105" t="s">
        <v>7947</v>
      </c>
      <c r="BW320" s="105" t="s">
        <v>7947</v>
      </c>
      <c r="BX320" s="105" t="s">
        <v>8178</v>
      </c>
      <c r="BY320" s="105" t="s">
        <v>8178</v>
      </c>
      <c r="BZ320" s="2"/>
    </row>
    <row r="321" spans="1:78" ht="15">
      <c r="A321" s="62" t="s">
        <v>395</v>
      </c>
      <c r="B321" s="63"/>
      <c r="C321" s="63"/>
      <c r="D321" s="64"/>
      <c r="E321" s="66"/>
      <c r="F321" s="100" t="str">
        <f>HYPERLINK("https://pbs.twimg.com/profile_images/1453428033042333698/QFjMjQn8_normal.jpg")</f>
        <v>https://pbs.twimg.com/profile_images/1453428033042333698/QFjMjQn8_normal.jpg</v>
      </c>
      <c r="G321" s="63"/>
      <c r="H321" s="67"/>
      <c r="I321" s="68"/>
      <c r="J321" s="68"/>
      <c r="K321" s="67" t="s">
        <v>7508</v>
      </c>
      <c r="L321" s="71"/>
      <c r="M321" s="72">
        <v>8822.3212890625</v>
      </c>
      <c r="N321" s="72">
        <v>739.0697021484375</v>
      </c>
      <c r="O321" s="73"/>
      <c r="P321" s="74"/>
      <c r="Q321" s="74"/>
      <c r="R321" s="86"/>
      <c r="S321" s="46">
        <v>0</v>
      </c>
      <c r="T321" s="46">
        <v>2</v>
      </c>
      <c r="U321" s="47">
        <v>86</v>
      </c>
      <c r="V321" s="47">
        <v>0.215725</v>
      </c>
      <c r="W321" s="47">
        <v>0.064034</v>
      </c>
      <c r="X321" s="47">
        <v>0.00262</v>
      </c>
      <c r="Y321" s="47">
        <v>0</v>
      </c>
      <c r="Z321" s="47">
        <v>0</v>
      </c>
      <c r="AA321" s="69">
        <v>321</v>
      </c>
      <c r="AB321" s="69"/>
      <c r="AC321" s="70"/>
      <c r="AD321" s="76" t="s">
        <v>6178</v>
      </c>
      <c r="AE321" s="83" t="s">
        <v>6431</v>
      </c>
      <c r="AF321" s="76">
        <v>9115</v>
      </c>
      <c r="AG321" s="76">
        <v>3352</v>
      </c>
      <c r="AH321" s="76">
        <v>18607</v>
      </c>
      <c r="AI321" s="76">
        <v>676</v>
      </c>
      <c r="AJ321" s="76">
        <v>44</v>
      </c>
      <c r="AK321" s="76">
        <v>281</v>
      </c>
      <c r="AL321" s="76" t="b">
        <v>0</v>
      </c>
      <c r="AM321" s="78">
        <v>39710.07171296296</v>
      </c>
      <c r="AN321" s="76" t="s">
        <v>6619</v>
      </c>
      <c r="AO321" s="76" t="s">
        <v>6909</v>
      </c>
      <c r="AP321" s="82" t="str">
        <f>HYPERLINK("https://t.co/MaZAlkmgB4")</f>
        <v>https://t.co/MaZAlkmgB4</v>
      </c>
      <c r="AQ321" s="82" t="str">
        <f>HYPERLINK("http://HookedOnCustomers.com")</f>
        <v>http://HookedOnCustomers.com</v>
      </c>
      <c r="AR321" s="76" t="s">
        <v>7133</v>
      </c>
      <c r="AS321" s="76"/>
      <c r="AT321" s="76"/>
      <c r="AU321" s="76"/>
      <c r="AV321" s="76"/>
      <c r="AW321" s="82" t="str">
        <f>HYPERLINK("https://t.co/MaZAlkmgB4")</f>
        <v>https://t.co/MaZAlkmgB4</v>
      </c>
      <c r="AX321" s="76" t="b">
        <v>0</v>
      </c>
      <c r="AY321" s="76"/>
      <c r="AZ321" s="76"/>
      <c r="BA321" s="76" t="b">
        <v>1</v>
      </c>
      <c r="BB321" s="76" t="b">
        <v>0</v>
      </c>
      <c r="BC321" s="76" t="b">
        <v>0</v>
      </c>
      <c r="BD321" s="76" t="b">
        <v>0</v>
      </c>
      <c r="BE321" s="76" t="b">
        <v>0</v>
      </c>
      <c r="BF321" s="76" t="b">
        <v>0</v>
      </c>
      <c r="BG321" s="76" t="b">
        <v>0</v>
      </c>
      <c r="BH321" s="82" t="str">
        <f>HYPERLINK("https://pbs.twimg.com/profile_banners/16357285/1399982862")</f>
        <v>https://pbs.twimg.com/profile_banners/16357285/1399982862</v>
      </c>
      <c r="BI321" s="76"/>
      <c r="BJ321" s="76" t="s">
        <v>7188</v>
      </c>
      <c r="BK321" s="76" t="b">
        <v>0</v>
      </c>
      <c r="BL321" s="76"/>
      <c r="BM321" s="76" t="s">
        <v>66</v>
      </c>
      <c r="BN321" s="76" t="s">
        <v>7190</v>
      </c>
      <c r="BO321" s="82" t="str">
        <f>HYPERLINK("https://twitter.com/bob_thompson")</f>
        <v>https://twitter.com/bob_thompson</v>
      </c>
      <c r="BP321" s="46" t="s">
        <v>7671</v>
      </c>
      <c r="BQ321" s="46" t="s">
        <v>7703</v>
      </c>
      <c r="BR321" s="46" t="s">
        <v>1981</v>
      </c>
      <c r="BS321" s="46" t="s">
        <v>1981</v>
      </c>
      <c r="BT321" s="46"/>
      <c r="BU321" s="46"/>
      <c r="BV321" s="105" t="s">
        <v>7948</v>
      </c>
      <c r="BW321" s="105" t="s">
        <v>8004</v>
      </c>
      <c r="BX321" s="105" t="s">
        <v>8179</v>
      </c>
      <c r="BY321" s="105" t="s">
        <v>8226</v>
      </c>
      <c r="BZ321" s="2"/>
    </row>
    <row r="322" spans="1:78" ht="15">
      <c r="A322" s="62" t="s">
        <v>396</v>
      </c>
      <c r="B322" s="63"/>
      <c r="C322" s="63"/>
      <c r="D322" s="64"/>
      <c r="E322" s="66"/>
      <c r="F322" s="100" t="str">
        <f>HYPERLINK("https://pbs.twimg.com/profile_images/874339226023755777/kXsi95qh_normal.jpg")</f>
        <v>https://pbs.twimg.com/profile_images/874339226023755777/kXsi95qh_normal.jpg</v>
      </c>
      <c r="G322" s="63"/>
      <c r="H322" s="67"/>
      <c r="I322" s="68"/>
      <c r="J322" s="68"/>
      <c r="K322" s="67" t="s">
        <v>7509</v>
      </c>
      <c r="L322" s="71"/>
      <c r="M322" s="72">
        <v>8848.9619140625</v>
      </c>
      <c r="N322" s="72">
        <v>816.7874145507812</v>
      </c>
      <c r="O322" s="73"/>
      <c r="P322" s="74"/>
      <c r="Q322" s="74"/>
      <c r="R322" s="86"/>
      <c r="S322" s="46">
        <v>0</v>
      </c>
      <c r="T322" s="46">
        <v>1</v>
      </c>
      <c r="U322" s="47">
        <v>0</v>
      </c>
      <c r="V322" s="47">
        <v>0.214691</v>
      </c>
      <c r="W322" s="47">
        <v>0.062026</v>
      </c>
      <c r="X322" s="47">
        <v>0.002499</v>
      </c>
      <c r="Y322" s="47">
        <v>0</v>
      </c>
      <c r="Z322" s="47">
        <v>0</v>
      </c>
      <c r="AA322" s="69">
        <v>322</v>
      </c>
      <c r="AB322" s="69"/>
      <c r="AC322" s="70"/>
      <c r="AD322" s="76" t="s">
        <v>6179</v>
      </c>
      <c r="AE322" s="83" t="s">
        <v>6432</v>
      </c>
      <c r="AF322" s="76">
        <v>676</v>
      </c>
      <c r="AG322" s="76">
        <v>804</v>
      </c>
      <c r="AH322" s="76">
        <v>7731</v>
      </c>
      <c r="AI322" s="76">
        <v>264</v>
      </c>
      <c r="AJ322" s="76">
        <v>104</v>
      </c>
      <c r="AK322" s="76">
        <v>1776</v>
      </c>
      <c r="AL322" s="76" t="b">
        <v>0</v>
      </c>
      <c r="AM322" s="78">
        <v>42038.076574074075</v>
      </c>
      <c r="AN322" s="76" t="s">
        <v>6620</v>
      </c>
      <c r="AO322" s="76" t="s">
        <v>6910</v>
      </c>
      <c r="AP322" s="82" t="str">
        <f>HYPERLINK("http://t.co/CiT9GQx6UM")</f>
        <v>http://t.co/CiT9GQx6UM</v>
      </c>
      <c r="AQ322" s="82" t="str">
        <f>HYPERLINK("http://www.bluformiga.biz")</f>
        <v>http://www.bluformiga.biz</v>
      </c>
      <c r="AR322" s="76" t="s">
        <v>7134</v>
      </c>
      <c r="AS322" s="76"/>
      <c r="AT322" s="76"/>
      <c r="AU322" s="76"/>
      <c r="AV322" s="76">
        <v>9.38375891788488E+17</v>
      </c>
      <c r="AW322" s="82" t="str">
        <f>HYPERLINK("http://t.co/CiT9GQx6UM")</f>
        <v>http://t.co/CiT9GQx6UM</v>
      </c>
      <c r="AX322" s="76" t="b">
        <v>0</v>
      </c>
      <c r="AY322" s="76" t="b">
        <v>1</v>
      </c>
      <c r="AZ322" s="76"/>
      <c r="BA322" s="76" t="b">
        <v>1</v>
      </c>
      <c r="BB322" s="76" t="b">
        <v>1</v>
      </c>
      <c r="BC322" s="76" t="b">
        <v>0</v>
      </c>
      <c r="BD322" s="76" t="b">
        <v>0</v>
      </c>
      <c r="BE322" s="76" t="b">
        <v>0</v>
      </c>
      <c r="BF322" s="76" t="b">
        <v>0</v>
      </c>
      <c r="BG322" s="76" t="b">
        <v>0</v>
      </c>
      <c r="BH322" s="82" t="str">
        <f>HYPERLINK("https://pbs.twimg.com/profile_banners/3013566597/1497293183")</f>
        <v>https://pbs.twimg.com/profile_banners/3013566597/1497293183</v>
      </c>
      <c r="BI322" s="76"/>
      <c r="BJ322" s="76" t="s">
        <v>7188</v>
      </c>
      <c r="BK322" s="76" t="b">
        <v>0</v>
      </c>
      <c r="BL322" s="76"/>
      <c r="BM322" s="76" t="s">
        <v>66</v>
      </c>
      <c r="BN322" s="76" t="s">
        <v>7190</v>
      </c>
      <c r="BO322" s="82" t="str">
        <f>HYPERLINK("https://twitter.com/bluformiga")</f>
        <v>https://twitter.com/bluformiga</v>
      </c>
      <c r="BP322" s="46" t="s">
        <v>1971</v>
      </c>
      <c r="BQ322" s="46" t="s">
        <v>1971</v>
      </c>
      <c r="BR322" s="46" t="s">
        <v>2039</v>
      </c>
      <c r="BS322" s="46" t="s">
        <v>7727</v>
      </c>
      <c r="BT322" s="46"/>
      <c r="BU322" s="46"/>
      <c r="BV322" s="105" t="s">
        <v>7949</v>
      </c>
      <c r="BW322" s="105" t="s">
        <v>7949</v>
      </c>
      <c r="BX322" s="105" t="s">
        <v>8180</v>
      </c>
      <c r="BY322" s="105" t="s">
        <v>8180</v>
      </c>
      <c r="BZ322" s="2"/>
    </row>
    <row r="323" spans="1:78" ht="15">
      <c r="A323" s="62" t="s">
        <v>397</v>
      </c>
      <c r="B323" s="63"/>
      <c r="C323" s="63"/>
      <c r="D323" s="64"/>
      <c r="E323" s="66"/>
      <c r="F323" s="100" t="str">
        <f>HYPERLINK("https://pbs.twimg.com/profile_images/498334656425897986/huKFIA0R_normal.jpeg")</f>
        <v>https://pbs.twimg.com/profile_images/498334656425897986/huKFIA0R_normal.jpeg</v>
      </c>
      <c r="G323" s="63"/>
      <c r="H323" s="67"/>
      <c r="I323" s="68"/>
      <c r="J323" s="68"/>
      <c r="K323" s="67" t="s">
        <v>7510</v>
      </c>
      <c r="L323" s="71"/>
      <c r="M323" s="72">
        <v>8875.6015625</v>
      </c>
      <c r="N323" s="72">
        <v>899.9271240234375</v>
      </c>
      <c r="O323" s="73"/>
      <c r="P323" s="74"/>
      <c r="Q323" s="74"/>
      <c r="R323" s="86"/>
      <c r="S323" s="46">
        <v>1</v>
      </c>
      <c r="T323" s="46">
        <v>1</v>
      </c>
      <c r="U323" s="47">
        <v>0</v>
      </c>
      <c r="V323" s="47">
        <v>0</v>
      </c>
      <c r="W323" s="47">
        <v>0</v>
      </c>
      <c r="X323" s="47">
        <v>0.002882</v>
      </c>
      <c r="Y323" s="47">
        <v>0</v>
      </c>
      <c r="Z323" s="47">
        <v>0</v>
      </c>
      <c r="AA323" s="69">
        <v>323</v>
      </c>
      <c r="AB323" s="69"/>
      <c r="AC323" s="70"/>
      <c r="AD323" s="76" t="s">
        <v>6180</v>
      </c>
      <c r="AE323" s="83" t="s">
        <v>6433</v>
      </c>
      <c r="AF323" s="76">
        <v>7</v>
      </c>
      <c r="AG323" s="76">
        <v>18</v>
      </c>
      <c r="AH323" s="76">
        <v>436</v>
      </c>
      <c r="AI323" s="76">
        <v>0</v>
      </c>
      <c r="AJ323" s="76">
        <v>186</v>
      </c>
      <c r="AK323" s="76">
        <v>5</v>
      </c>
      <c r="AL323" s="76" t="b">
        <v>0</v>
      </c>
      <c r="AM323" s="78">
        <v>41425.05664351852</v>
      </c>
      <c r="AN323" s="76"/>
      <c r="AO323" s="76"/>
      <c r="AP323" s="76"/>
      <c r="AQ323" s="76"/>
      <c r="AR323" s="76"/>
      <c r="AS323" s="76"/>
      <c r="AT323" s="76"/>
      <c r="AU323" s="76"/>
      <c r="AV323" s="76"/>
      <c r="AW323" s="76"/>
      <c r="AX323" s="76" t="b">
        <v>0</v>
      </c>
      <c r="AY323" s="76"/>
      <c r="AZ323" s="76"/>
      <c r="BA323" s="76" t="b">
        <v>0</v>
      </c>
      <c r="BB323" s="76" t="b">
        <v>1</v>
      </c>
      <c r="BC323" s="76" t="b">
        <v>1</v>
      </c>
      <c r="BD323" s="76" t="b">
        <v>0</v>
      </c>
      <c r="BE323" s="76" t="b">
        <v>0</v>
      </c>
      <c r="BF323" s="76" t="b">
        <v>0</v>
      </c>
      <c r="BG323" s="76" t="b">
        <v>0</v>
      </c>
      <c r="BH323" s="76"/>
      <c r="BI323" s="76"/>
      <c r="BJ323" s="76" t="s">
        <v>7188</v>
      </c>
      <c r="BK323" s="76" t="b">
        <v>0</v>
      </c>
      <c r="BL323" s="76"/>
      <c r="BM323" s="76" t="s">
        <v>66</v>
      </c>
      <c r="BN323" s="76" t="s">
        <v>7190</v>
      </c>
      <c r="BO323" s="82" t="str">
        <f>HYPERLINK("https://twitter.com/shittyscotty")</f>
        <v>https://twitter.com/shittyscotty</v>
      </c>
      <c r="BP323" s="46"/>
      <c r="BQ323" s="46"/>
      <c r="BR323" s="46"/>
      <c r="BS323" s="46"/>
      <c r="BT323" s="46"/>
      <c r="BU323" s="46"/>
      <c r="BV323" s="105" t="s">
        <v>7950</v>
      </c>
      <c r="BW323" s="105" t="s">
        <v>7950</v>
      </c>
      <c r="BX323" s="105" t="s">
        <v>8181</v>
      </c>
      <c r="BY323" s="105" t="s">
        <v>8181</v>
      </c>
      <c r="BZ323" s="2"/>
    </row>
    <row r="324" spans="1:78" ht="15">
      <c r="A324" s="62" t="s">
        <v>398</v>
      </c>
      <c r="B324" s="63"/>
      <c r="C324" s="63"/>
      <c r="D324" s="64"/>
      <c r="E324" s="66"/>
      <c r="F324" s="100" t="str">
        <f>HYPERLINK("https://pbs.twimg.com/profile_images/479648312442642432/F-d7VOXN_normal.jpeg")</f>
        <v>https://pbs.twimg.com/profile_images/479648312442642432/F-d7VOXN_normal.jpeg</v>
      </c>
      <c r="G324" s="63"/>
      <c r="H324" s="67"/>
      <c r="I324" s="68"/>
      <c r="J324" s="68"/>
      <c r="K324" s="67" t="s">
        <v>7511</v>
      </c>
      <c r="L324" s="71"/>
      <c r="M324" s="72">
        <v>8902.2412109375</v>
      </c>
      <c r="N324" s="72">
        <v>988.3818969726562</v>
      </c>
      <c r="O324" s="73"/>
      <c r="P324" s="74"/>
      <c r="Q324" s="74"/>
      <c r="R324" s="86"/>
      <c r="S324" s="46">
        <v>1</v>
      </c>
      <c r="T324" s="46">
        <v>1</v>
      </c>
      <c r="U324" s="47">
        <v>0</v>
      </c>
      <c r="V324" s="47">
        <v>0</v>
      </c>
      <c r="W324" s="47">
        <v>0</v>
      </c>
      <c r="X324" s="47">
        <v>0.002882</v>
      </c>
      <c r="Y324" s="47">
        <v>0</v>
      </c>
      <c r="Z324" s="47">
        <v>0</v>
      </c>
      <c r="AA324" s="69">
        <v>324</v>
      </c>
      <c r="AB324" s="69"/>
      <c r="AC324" s="70"/>
      <c r="AD324" s="76" t="s">
        <v>6181</v>
      </c>
      <c r="AE324" s="83" t="s">
        <v>6434</v>
      </c>
      <c r="AF324" s="76">
        <v>768</v>
      </c>
      <c r="AG324" s="76">
        <v>7</v>
      </c>
      <c r="AH324" s="76">
        <v>592</v>
      </c>
      <c r="AI324" s="76">
        <v>0</v>
      </c>
      <c r="AJ324" s="76">
        <v>0</v>
      </c>
      <c r="AK324" s="76">
        <v>0</v>
      </c>
      <c r="AL324" s="76" t="b">
        <v>0</v>
      </c>
      <c r="AM324" s="78">
        <v>41809.64525462963</v>
      </c>
      <c r="AN324" s="76" t="s">
        <v>3910</v>
      </c>
      <c r="AO324" s="76"/>
      <c r="AP324" s="82" t="str">
        <f>HYPERLINK("http://t.co/UeNXtLbQrI")</f>
        <v>http://t.co/UeNXtLbQrI</v>
      </c>
      <c r="AQ324" s="82" t="str">
        <f>HYPERLINK("http://www.telanganajobalert.in/")</f>
        <v>http://www.telanganajobalert.in/</v>
      </c>
      <c r="AR324" s="76" t="s">
        <v>7135</v>
      </c>
      <c r="AS324" s="76"/>
      <c r="AT324" s="76"/>
      <c r="AU324" s="76"/>
      <c r="AV324" s="76"/>
      <c r="AW324" s="82" t="str">
        <f>HYPERLINK("http://t.co/UeNXtLbQrI")</f>
        <v>http://t.co/UeNXtLbQrI</v>
      </c>
      <c r="AX324" s="76" t="b">
        <v>0</v>
      </c>
      <c r="AY324" s="76"/>
      <c r="AZ324" s="76"/>
      <c r="BA324" s="76" t="b">
        <v>0</v>
      </c>
      <c r="BB324" s="76" t="b">
        <v>1</v>
      </c>
      <c r="BC324" s="76" t="b">
        <v>0</v>
      </c>
      <c r="BD324" s="76" t="b">
        <v>0</v>
      </c>
      <c r="BE324" s="76" t="b">
        <v>0</v>
      </c>
      <c r="BF324" s="76" t="b">
        <v>0</v>
      </c>
      <c r="BG324" s="76" t="b">
        <v>0</v>
      </c>
      <c r="BH324" s="76"/>
      <c r="BI324" s="76"/>
      <c r="BJ324" s="76" t="s">
        <v>7188</v>
      </c>
      <c r="BK324" s="76" t="b">
        <v>0</v>
      </c>
      <c r="BL324" s="76"/>
      <c r="BM324" s="76" t="s">
        <v>66</v>
      </c>
      <c r="BN324" s="76" t="s">
        <v>7190</v>
      </c>
      <c r="BO324" s="82" t="str">
        <f>HYPERLINK("https://twitter.com/tgjobalert")</f>
        <v>https://twitter.com/tgjobalert</v>
      </c>
      <c r="BP324" s="46" t="s">
        <v>7672</v>
      </c>
      <c r="BQ324" s="46" t="s">
        <v>7704</v>
      </c>
      <c r="BR324" s="46" t="s">
        <v>1975</v>
      </c>
      <c r="BS324" s="46" t="s">
        <v>1975</v>
      </c>
      <c r="BT324" s="46"/>
      <c r="BU324" s="46"/>
      <c r="BV324" s="105" t="s">
        <v>7951</v>
      </c>
      <c r="BW324" s="105" t="s">
        <v>8005</v>
      </c>
      <c r="BX324" s="105" t="s">
        <v>8182</v>
      </c>
      <c r="BY324" s="105" t="s">
        <v>8227</v>
      </c>
      <c r="BZ324" s="2"/>
    </row>
    <row r="325" spans="1:78" ht="15">
      <c r="A325" s="62" t="s">
        <v>399</v>
      </c>
      <c r="B325" s="63"/>
      <c r="C325" s="63"/>
      <c r="D325" s="64"/>
      <c r="E325" s="66"/>
      <c r="F325" s="100" t="str">
        <f>HYPERLINK("https://pbs.twimg.com/profile_images/3035297399/09bc9094a48742cce5a6d1dae54bf77c_normal.png")</f>
        <v>https://pbs.twimg.com/profile_images/3035297399/09bc9094a48742cce5a6d1dae54bf77c_normal.png</v>
      </c>
      <c r="G325" s="63"/>
      <c r="H325" s="67"/>
      <c r="I325" s="68"/>
      <c r="J325" s="68"/>
      <c r="K325" s="67" t="s">
        <v>7512</v>
      </c>
      <c r="L325" s="71"/>
      <c r="M325" s="72">
        <v>8928.8818359375</v>
      </c>
      <c r="N325" s="72">
        <v>1082.035888671875</v>
      </c>
      <c r="O325" s="73"/>
      <c r="P325" s="74"/>
      <c r="Q325" s="74"/>
      <c r="R325" s="86"/>
      <c r="S325" s="46">
        <v>1</v>
      </c>
      <c r="T325" s="46">
        <v>1</v>
      </c>
      <c r="U325" s="47">
        <v>0</v>
      </c>
      <c r="V325" s="47">
        <v>0</v>
      </c>
      <c r="W325" s="47">
        <v>0</v>
      </c>
      <c r="X325" s="47">
        <v>0.002882</v>
      </c>
      <c r="Y325" s="47">
        <v>0</v>
      </c>
      <c r="Z325" s="47">
        <v>0</v>
      </c>
      <c r="AA325" s="69">
        <v>325</v>
      </c>
      <c r="AB325" s="69"/>
      <c r="AC325" s="70"/>
      <c r="AD325" s="76" t="s">
        <v>6182</v>
      </c>
      <c r="AE325" s="83" t="s">
        <v>6435</v>
      </c>
      <c r="AF325" s="76">
        <v>5309</v>
      </c>
      <c r="AG325" s="76">
        <v>5442</v>
      </c>
      <c r="AH325" s="76">
        <v>1037757</v>
      </c>
      <c r="AI325" s="76">
        <v>133</v>
      </c>
      <c r="AJ325" s="76">
        <v>3</v>
      </c>
      <c r="AK325" s="76">
        <v>2</v>
      </c>
      <c r="AL325" s="76" t="b">
        <v>0</v>
      </c>
      <c r="AM325" s="78">
        <v>39878.932858796295</v>
      </c>
      <c r="AN325" s="76"/>
      <c r="AO325" s="76" t="s">
        <v>6911</v>
      </c>
      <c r="AP325" s="82" t="str">
        <f>HYPERLINK("http://t.co/QrxBuwnMHH")</f>
        <v>http://t.co/QrxBuwnMHH</v>
      </c>
      <c r="AQ325" s="82" t="str">
        <f>HYPERLINK("http://www.jobs.as")</f>
        <v>http://www.jobs.as</v>
      </c>
      <c r="AR325" s="76" t="s">
        <v>7136</v>
      </c>
      <c r="AS325" s="76"/>
      <c r="AT325" s="76"/>
      <c r="AU325" s="76"/>
      <c r="AV325" s="76"/>
      <c r="AW325" s="82" t="str">
        <f>HYPERLINK("http://t.co/QrxBuwnMHH")</f>
        <v>http://t.co/QrxBuwnMHH</v>
      </c>
      <c r="AX325" s="76" t="b">
        <v>0</v>
      </c>
      <c r="AY325" s="76"/>
      <c r="AZ325" s="76"/>
      <c r="BA325" s="76" t="b">
        <v>0</v>
      </c>
      <c r="BB325" s="76" t="b">
        <v>1</v>
      </c>
      <c r="BC325" s="76" t="b">
        <v>0</v>
      </c>
      <c r="BD325" s="76" t="b">
        <v>0</v>
      </c>
      <c r="BE325" s="76" t="b">
        <v>0</v>
      </c>
      <c r="BF325" s="76" t="b">
        <v>0</v>
      </c>
      <c r="BG325" s="76" t="b">
        <v>0</v>
      </c>
      <c r="BH325" s="82" t="str">
        <f>HYPERLINK("https://pbs.twimg.com/profile_banners/23128010/1356745913")</f>
        <v>https://pbs.twimg.com/profile_banners/23128010/1356745913</v>
      </c>
      <c r="BI325" s="76"/>
      <c r="BJ325" s="76" t="s">
        <v>7188</v>
      </c>
      <c r="BK325" s="76" t="b">
        <v>0</v>
      </c>
      <c r="BL325" s="76"/>
      <c r="BM325" s="76" t="s">
        <v>66</v>
      </c>
      <c r="BN325" s="76" t="s">
        <v>7190</v>
      </c>
      <c r="BO325" s="82" t="str">
        <f>HYPERLINK("https://twitter.com/jobs_board")</f>
        <v>https://twitter.com/jobs_board</v>
      </c>
      <c r="BP325" s="46"/>
      <c r="BQ325" s="46"/>
      <c r="BR325" s="46"/>
      <c r="BS325" s="46"/>
      <c r="BT325" s="46" t="s">
        <v>1862</v>
      </c>
      <c r="BU325" s="46" t="s">
        <v>7773</v>
      </c>
      <c r="BV325" s="105" t="s">
        <v>7952</v>
      </c>
      <c r="BW325" s="105" t="s">
        <v>7952</v>
      </c>
      <c r="BX325" s="105" t="s">
        <v>8183</v>
      </c>
      <c r="BY325" s="105" t="s">
        <v>8183</v>
      </c>
      <c r="BZ325" s="2"/>
    </row>
    <row r="326" spans="1:78" ht="15">
      <c r="A326" s="62" t="s">
        <v>400</v>
      </c>
      <c r="B326" s="63"/>
      <c r="C326" s="63"/>
      <c r="D326" s="64"/>
      <c r="E326" s="66"/>
      <c r="F326" s="100" t="str">
        <f>HYPERLINK("https://pbs.twimg.com/profile_images/1430661185435754496/Tq0Bqq2u_normal.jpg")</f>
        <v>https://pbs.twimg.com/profile_images/1430661185435754496/Tq0Bqq2u_normal.jpg</v>
      </c>
      <c r="G326" s="63"/>
      <c r="H326" s="67"/>
      <c r="I326" s="68"/>
      <c r="J326" s="68"/>
      <c r="K326" s="67" t="s">
        <v>7513</v>
      </c>
      <c r="L326" s="71"/>
      <c r="M326" s="72">
        <v>8955.521484375</v>
      </c>
      <c r="N326" s="72">
        <v>1180.76806640625</v>
      </c>
      <c r="O326" s="73"/>
      <c r="P326" s="74"/>
      <c r="Q326" s="74"/>
      <c r="R326" s="86"/>
      <c r="S326" s="46">
        <v>0</v>
      </c>
      <c r="T326" s="46">
        <v>2</v>
      </c>
      <c r="U326" s="47">
        <v>350</v>
      </c>
      <c r="V326" s="47">
        <v>0.215725</v>
      </c>
      <c r="W326" s="47">
        <v>0.062516</v>
      </c>
      <c r="X326" s="47">
        <v>0.002899</v>
      </c>
      <c r="Y326" s="47">
        <v>0</v>
      </c>
      <c r="Z326" s="47">
        <v>0</v>
      </c>
      <c r="AA326" s="69">
        <v>326</v>
      </c>
      <c r="AB326" s="69"/>
      <c r="AC326" s="70"/>
      <c r="AD326" s="76" t="s">
        <v>6183</v>
      </c>
      <c r="AE326" s="83" t="s">
        <v>6436</v>
      </c>
      <c r="AF326" s="76">
        <v>68488</v>
      </c>
      <c r="AG326" s="76">
        <v>39883</v>
      </c>
      <c r="AH326" s="76">
        <v>389849</v>
      </c>
      <c r="AI326" s="76">
        <v>4899</v>
      </c>
      <c r="AJ326" s="76">
        <v>353411</v>
      </c>
      <c r="AK326" s="76">
        <v>527</v>
      </c>
      <c r="AL326" s="76" t="b">
        <v>0</v>
      </c>
      <c r="AM326" s="78">
        <v>40229.77454861111</v>
      </c>
      <c r="AN326" s="76" t="s">
        <v>6621</v>
      </c>
      <c r="AO326" s="76" t="s">
        <v>6912</v>
      </c>
      <c r="AP326" s="76"/>
      <c r="AQ326" s="76"/>
      <c r="AR326" s="76"/>
      <c r="AS326" s="76"/>
      <c r="AT326" s="76"/>
      <c r="AU326" s="76"/>
      <c r="AV326" s="76"/>
      <c r="AW326" s="76"/>
      <c r="AX326" s="76" t="b">
        <v>0</v>
      </c>
      <c r="AY326" s="76"/>
      <c r="AZ326" s="76"/>
      <c r="BA326" s="76" t="b">
        <v>1</v>
      </c>
      <c r="BB326" s="76" t="b">
        <v>0</v>
      </c>
      <c r="BC326" s="76" t="b">
        <v>0</v>
      </c>
      <c r="BD326" s="76" t="b">
        <v>0</v>
      </c>
      <c r="BE326" s="76" t="b">
        <v>1</v>
      </c>
      <c r="BF326" s="76" t="b">
        <v>0</v>
      </c>
      <c r="BG326" s="76" t="b">
        <v>0</v>
      </c>
      <c r="BH326" s="82" t="str">
        <f>HYPERLINK("https://pbs.twimg.com/profile_banners/115991458/1629931181")</f>
        <v>https://pbs.twimg.com/profile_banners/115991458/1629931181</v>
      </c>
      <c r="BI326" s="76"/>
      <c r="BJ326" s="76" t="s">
        <v>7188</v>
      </c>
      <c r="BK326" s="76" t="b">
        <v>0</v>
      </c>
      <c r="BL326" s="76"/>
      <c r="BM326" s="76" t="s">
        <v>66</v>
      </c>
      <c r="BN326" s="76" t="s">
        <v>7190</v>
      </c>
      <c r="BO326" s="82" t="str">
        <f>HYPERLINK("https://twitter.com/gvalan")</f>
        <v>https://twitter.com/gvalan</v>
      </c>
      <c r="BP326" s="46" t="s">
        <v>7673</v>
      </c>
      <c r="BQ326" s="46" t="s">
        <v>7673</v>
      </c>
      <c r="BR326" s="46" t="s">
        <v>2040</v>
      </c>
      <c r="BS326" s="46" t="s">
        <v>2040</v>
      </c>
      <c r="BT326" s="46"/>
      <c r="BU326" s="46"/>
      <c r="BV326" s="105" t="s">
        <v>7953</v>
      </c>
      <c r="BW326" s="105" t="s">
        <v>7953</v>
      </c>
      <c r="BX326" s="105" t="s">
        <v>8184</v>
      </c>
      <c r="BY326" s="105" t="s">
        <v>8184</v>
      </c>
      <c r="BZ326" s="2"/>
    </row>
    <row r="327" spans="1:78" ht="15">
      <c r="A327" s="62" t="s">
        <v>566</v>
      </c>
      <c r="B327" s="63"/>
      <c r="C327" s="63"/>
      <c r="D327" s="64"/>
      <c r="E327" s="66"/>
      <c r="F327" s="100" t="str">
        <f>HYPERLINK("https://pbs.twimg.com/profile_images/558503425499873281/XiMPxMYV_normal.png")</f>
        <v>https://pbs.twimg.com/profile_images/558503425499873281/XiMPxMYV_normal.png</v>
      </c>
      <c r="G327" s="63"/>
      <c r="H327" s="67"/>
      <c r="I327" s="68"/>
      <c r="J327" s="68"/>
      <c r="K327" s="67" t="s">
        <v>7514</v>
      </c>
      <c r="L327" s="71"/>
      <c r="M327" s="72">
        <v>8982.1611328125</v>
      </c>
      <c r="N327" s="72">
        <v>1284.4512939453125</v>
      </c>
      <c r="O327" s="73"/>
      <c r="P327" s="74"/>
      <c r="Q327" s="74"/>
      <c r="R327" s="86"/>
      <c r="S327" s="46">
        <v>1</v>
      </c>
      <c r="T327" s="46">
        <v>0</v>
      </c>
      <c r="U327" s="47">
        <v>0</v>
      </c>
      <c r="V327" s="47">
        <v>0.151739</v>
      </c>
      <c r="W327" s="47">
        <v>0.005535</v>
      </c>
      <c r="X327" s="47">
        <v>0.002667</v>
      </c>
      <c r="Y327" s="47">
        <v>0</v>
      </c>
      <c r="Z327" s="47">
        <v>0</v>
      </c>
      <c r="AA327" s="69">
        <v>327</v>
      </c>
      <c r="AB327" s="69"/>
      <c r="AC327" s="70"/>
      <c r="AD327" s="76" t="s">
        <v>6184</v>
      </c>
      <c r="AE327" s="83" t="s">
        <v>6437</v>
      </c>
      <c r="AF327" s="76">
        <v>762</v>
      </c>
      <c r="AG327" s="76">
        <v>30</v>
      </c>
      <c r="AH327" s="76">
        <v>2147</v>
      </c>
      <c r="AI327" s="76">
        <v>78</v>
      </c>
      <c r="AJ327" s="76">
        <v>12</v>
      </c>
      <c r="AK327" s="76">
        <v>17</v>
      </c>
      <c r="AL327" s="76" t="b">
        <v>0</v>
      </c>
      <c r="AM327" s="78">
        <v>41892.967835648145</v>
      </c>
      <c r="AN327" s="76" t="s">
        <v>6622</v>
      </c>
      <c r="AO327" s="76" t="s">
        <v>6913</v>
      </c>
      <c r="AP327" s="82" t="str">
        <f>HYPERLINK("http://t.co/YJC3FvzK6G")</f>
        <v>http://t.co/YJC3FvzK6G</v>
      </c>
      <c r="AQ327" s="82" t="str">
        <f>HYPERLINK("http://www.successlakeseo.com")</f>
        <v>http://www.successlakeseo.com</v>
      </c>
      <c r="AR327" s="76" t="s">
        <v>7137</v>
      </c>
      <c r="AS327" s="76"/>
      <c r="AT327" s="76"/>
      <c r="AU327" s="76"/>
      <c r="AV327" s="76"/>
      <c r="AW327" s="82" t="str">
        <f>HYPERLINK("http://t.co/YJC3FvzK6G")</f>
        <v>http://t.co/YJC3FvzK6G</v>
      </c>
      <c r="AX327" s="76" t="b">
        <v>0</v>
      </c>
      <c r="AY327" s="76"/>
      <c r="AZ327" s="76"/>
      <c r="BA327" s="76" t="b">
        <v>1</v>
      </c>
      <c r="BB327" s="76" t="b">
        <v>1</v>
      </c>
      <c r="BC327" s="76" t="b">
        <v>0</v>
      </c>
      <c r="BD327" s="76" t="b">
        <v>0</v>
      </c>
      <c r="BE327" s="76" t="b">
        <v>0</v>
      </c>
      <c r="BF327" s="76" t="b">
        <v>0</v>
      </c>
      <c r="BG327" s="76" t="b">
        <v>0</v>
      </c>
      <c r="BH327" s="82" t="str">
        <f>HYPERLINK("https://pbs.twimg.com/profile_banners/2802648367/1421992539")</f>
        <v>https://pbs.twimg.com/profile_banners/2802648367/1421992539</v>
      </c>
      <c r="BI327" s="76"/>
      <c r="BJ327" s="76" t="s">
        <v>7188</v>
      </c>
      <c r="BK327" s="76" t="b">
        <v>0</v>
      </c>
      <c r="BL327" s="76"/>
      <c r="BM327" s="76" t="s">
        <v>65</v>
      </c>
      <c r="BN327" s="76" t="s">
        <v>7190</v>
      </c>
      <c r="BO327" s="82" t="str">
        <f>HYPERLINK("https://twitter.com/successlake")</f>
        <v>https://twitter.com/successlake</v>
      </c>
      <c r="BP327" s="46"/>
      <c r="BQ327" s="46"/>
      <c r="BR327" s="46"/>
      <c r="BS327" s="46"/>
      <c r="BT327" s="46"/>
      <c r="BU327" s="46"/>
      <c r="BV327" s="46"/>
      <c r="BW327" s="46"/>
      <c r="BX327" s="46"/>
      <c r="BY327" s="46"/>
      <c r="BZ327" s="2"/>
    </row>
    <row r="328" spans="1:78" ht="15">
      <c r="A328" s="62" t="s">
        <v>401</v>
      </c>
      <c r="B328" s="63"/>
      <c r="C328" s="63"/>
      <c r="D328" s="64"/>
      <c r="E328" s="66"/>
      <c r="F328" s="100" t="str">
        <f>HYPERLINK("https://abs.twimg.com/sticky/default_profile_images/default_profile_normal.png")</f>
        <v>https://abs.twimg.com/sticky/default_profile_images/default_profile_normal.png</v>
      </c>
      <c r="G328" s="63"/>
      <c r="H328" s="67"/>
      <c r="I328" s="68"/>
      <c r="J328" s="68"/>
      <c r="K328" s="67" t="s">
        <v>7515</v>
      </c>
      <c r="L328" s="71"/>
      <c r="M328" s="72">
        <v>9008.80078125</v>
      </c>
      <c r="N328" s="72">
        <v>1392.9500732421875</v>
      </c>
      <c r="O328" s="73"/>
      <c r="P328" s="74"/>
      <c r="Q328" s="74"/>
      <c r="R328" s="86"/>
      <c r="S328" s="46">
        <v>1</v>
      </c>
      <c r="T328" s="46">
        <v>1</v>
      </c>
      <c r="U328" s="47">
        <v>0</v>
      </c>
      <c r="V328" s="47">
        <v>0</v>
      </c>
      <c r="W328" s="47">
        <v>0</v>
      </c>
      <c r="X328" s="47">
        <v>0.002882</v>
      </c>
      <c r="Y328" s="47">
        <v>0</v>
      </c>
      <c r="Z328" s="47">
        <v>0</v>
      </c>
      <c r="AA328" s="69">
        <v>328</v>
      </c>
      <c r="AB328" s="69"/>
      <c r="AC328" s="70"/>
      <c r="AD328" s="76" t="s">
        <v>299</v>
      </c>
      <c r="AE328" s="83" t="s">
        <v>5826</v>
      </c>
      <c r="AF328" s="76">
        <v>0</v>
      </c>
      <c r="AG328" s="76">
        <v>134</v>
      </c>
      <c r="AH328" s="76">
        <v>8</v>
      </c>
      <c r="AI328" s="76">
        <v>0</v>
      </c>
      <c r="AJ328" s="76">
        <v>2</v>
      </c>
      <c r="AK328" s="76">
        <v>2</v>
      </c>
      <c r="AL328" s="76" t="b">
        <v>0</v>
      </c>
      <c r="AM328" s="78">
        <v>43682.27484953704</v>
      </c>
      <c r="AN328" s="76"/>
      <c r="AO328" s="76" t="s">
        <v>6914</v>
      </c>
      <c r="AP328" s="82" t="str">
        <f>HYPERLINK("https://t.co/ItP7ApYfN6")</f>
        <v>https://t.co/ItP7ApYfN6</v>
      </c>
      <c r="AQ328" s="82" t="str">
        <f>HYPERLINK("https://www.inovies.com/digital-marketing-company/")</f>
        <v>https://www.inovies.com/digital-marketing-company/</v>
      </c>
      <c r="AR328" s="76" t="s">
        <v>7138</v>
      </c>
      <c r="AS328" s="76"/>
      <c r="AT328" s="76"/>
      <c r="AU328" s="76"/>
      <c r="AV328" s="76"/>
      <c r="AW328" s="82" t="str">
        <f>HYPERLINK("https://t.co/ItP7ApYfN6")</f>
        <v>https://t.co/ItP7ApYfN6</v>
      </c>
      <c r="AX328" s="76" t="b">
        <v>0</v>
      </c>
      <c r="AY328" s="76"/>
      <c r="AZ328" s="76"/>
      <c r="BA328" s="76" t="b">
        <v>0</v>
      </c>
      <c r="BB328" s="76" t="b">
        <v>1</v>
      </c>
      <c r="BC328" s="76" t="b">
        <v>1</v>
      </c>
      <c r="BD328" s="76" t="b">
        <v>1</v>
      </c>
      <c r="BE328" s="76" t="b">
        <v>0</v>
      </c>
      <c r="BF328" s="76" t="b">
        <v>0</v>
      </c>
      <c r="BG328" s="76" t="b">
        <v>0</v>
      </c>
      <c r="BH328" s="76"/>
      <c r="BI328" s="76"/>
      <c r="BJ328" s="76" t="s">
        <v>7188</v>
      </c>
      <c r="BK328" s="76" t="b">
        <v>0</v>
      </c>
      <c r="BL328" s="76"/>
      <c r="BM328" s="76" t="s">
        <v>66</v>
      </c>
      <c r="BN328" s="76" t="s">
        <v>7190</v>
      </c>
      <c r="BO328" s="82" t="str">
        <f>HYPERLINK("https://twitter.com/inovies1")</f>
        <v>https://twitter.com/inovies1</v>
      </c>
      <c r="BP328" s="46" t="s">
        <v>7674</v>
      </c>
      <c r="BQ328" s="46" t="s">
        <v>7674</v>
      </c>
      <c r="BR328" s="46" t="s">
        <v>1984</v>
      </c>
      <c r="BS328" s="46" t="s">
        <v>1984</v>
      </c>
      <c r="BT328" s="46" t="s">
        <v>7744</v>
      </c>
      <c r="BU328" s="46" t="s">
        <v>7774</v>
      </c>
      <c r="BV328" s="105" t="s">
        <v>7954</v>
      </c>
      <c r="BW328" s="105" t="s">
        <v>8006</v>
      </c>
      <c r="BX328" s="105" t="s">
        <v>8185</v>
      </c>
      <c r="BY328" s="105" t="s">
        <v>8228</v>
      </c>
      <c r="BZ328" s="2"/>
    </row>
    <row r="329" spans="1:78" ht="15">
      <c r="A329" s="62" t="s">
        <v>403</v>
      </c>
      <c r="B329" s="63"/>
      <c r="C329" s="63"/>
      <c r="D329" s="64"/>
      <c r="E329" s="66"/>
      <c r="F329" s="100" t="str">
        <f>HYPERLINK("https://pbs.twimg.com/profile_images/1402231080317505537/XzRmMhMg_normal.jpg")</f>
        <v>https://pbs.twimg.com/profile_images/1402231080317505537/XzRmMhMg_normal.jpg</v>
      </c>
      <c r="G329" s="63"/>
      <c r="H329" s="67"/>
      <c r="I329" s="68"/>
      <c r="J329" s="68"/>
      <c r="K329" s="67" t="s">
        <v>7516</v>
      </c>
      <c r="L329" s="71"/>
      <c r="M329" s="72">
        <v>9035.4404296875</v>
      </c>
      <c r="N329" s="72">
        <v>1506.125</v>
      </c>
      <c r="O329" s="73"/>
      <c r="P329" s="74"/>
      <c r="Q329" s="74"/>
      <c r="R329" s="86"/>
      <c r="S329" s="46">
        <v>1</v>
      </c>
      <c r="T329" s="46">
        <v>1</v>
      </c>
      <c r="U329" s="47">
        <v>0</v>
      </c>
      <c r="V329" s="47">
        <v>0</v>
      </c>
      <c r="W329" s="47">
        <v>0</v>
      </c>
      <c r="X329" s="47">
        <v>0.002882</v>
      </c>
      <c r="Y329" s="47">
        <v>0</v>
      </c>
      <c r="Z329" s="47">
        <v>0</v>
      </c>
      <c r="AA329" s="69">
        <v>329</v>
      </c>
      <c r="AB329" s="69"/>
      <c r="AC329" s="70"/>
      <c r="AD329" s="76" t="s">
        <v>6185</v>
      </c>
      <c r="AE329" s="83" t="s">
        <v>6438</v>
      </c>
      <c r="AF329" s="76">
        <v>1774</v>
      </c>
      <c r="AG329" s="76">
        <v>834</v>
      </c>
      <c r="AH329" s="76">
        <v>30894</v>
      </c>
      <c r="AI329" s="76">
        <v>7</v>
      </c>
      <c r="AJ329" s="76">
        <v>24847</v>
      </c>
      <c r="AK329" s="76">
        <v>3179</v>
      </c>
      <c r="AL329" s="76" t="b">
        <v>0</v>
      </c>
      <c r="AM329" s="78">
        <v>42013.74873842593</v>
      </c>
      <c r="AN329" s="76" t="s">
        <v>6623</v>
      </c>
      <c r="AO329" s="76" t="s">
        <v>6915</v>
      </c>
      <c r="AP329" s="82" t="str">
        <f>HYPERLINK("https://t.co/ikDn32gAL9")</f>
        <v>https://t.co/ikDn32gAL9</v>
      </c>
      <c r="AQ329" s="82" t="str">
        <f>HYPERLINK("https://curiouscat.qa/signalminari")</f>
        <v>https://curiouscat.qa/signalminari</v>
      </c>
      <c r="AR329" s="76" t="s">
        <v>7139</v>
      </c>
      <c r="AS329" s="76"/>
      <c r="AT329" s="76"/>
      <c r="AU329" s="76"/>
      <c r="AV329" s="76">
        <v>1.29520005686641E+18</v>
      </c>
      <c r="AW329" s="82" t="str">
        <f>HYPERLINK("https://t.co/ikDn32gAL9")</f>
        <v>https://t.co/ikDn32gAL9</v>
      </c>
      <c r="AX329" s="76" t="b">
        <v>0</v>
      </c>
      <c r="AY329" s="76"/>
      <c r="AZ329" s="76"/>
      <c r="BA329" s="76" t="b">
        <v>1</v>
      </c>
      <c r="BB329" s="76" t="b">
        <v>1</v>
      </c>
      <c r="BC329" s="76" t="b">
        <v>0</v>
      </c>
      <c r="BD329" s="76" t="b">
        <v>0</v>
      </c>
      <c r="BE329" s="76" t="b">
        <v>1</v>
      </c>
      <c r="BF329" s="76" t="b">
        <v>0</v>
      </c>
      <c r="BG329" s="76" t="b">
        <v>0</v>
      </c>
      <c r="BH329" s="82" t="str">
        <f>HYPERLINK("https://pbs.twimg.com/profile_banners/2970126215/1622495772")</f>
        <v>https://pbs.twimg.com/profile_banners/2970126215/1622495772</v>
      </c>
      <c r="BI329" s="76"/>
      <c r="BJ329" s="76" t="s">
        <v>7188</v>
      </c>
      <c r="BK329" s="76" t="b">
        <v>0</v>
      </c>
      <c r="BL329" s="76"/>
      <c r="BM329" s="76" t="s">
        <v>66</v>
      </c>
      <c r="BN329" s="76" t="s">
        <v>7190</v>
      </c>
      <c r="BO329" s="82" t="str">
        <f>HYPERLINK("https://twitter.com/oncemanu")</f>
        <v>https://twitter.com/oncemanu</v>
      </c>
      <c r="BP329" s="46"/>
      <c r="BQ329" s="46"/>
      <c r="BR329" s="46"/>
      <c r="BS329" s="46"/>
      <c r="BT329" s="46"/>
      <c r="BU329" s="46"/>
      <c r="BV329" s="105" t="s">
        <v>7955</v>
      </c>
      <c r="BW329" s="105" t="s">
        <v>7955</v>
      </c>
      <c r="BX329" s="105" t="s">
        <v>8186</v>
      </c>
      <c r="BY329" s="105" t="s">
        <v>8186</v>
      </c>
      <c r="BZ329" s="2"/>
    </row>
    <row r="330" spans="1:78" ht="15">
      <c r="A330" s="62" t="s">
        <v>404</v>
      </c>
      <c r="B330" s="63"/>
      <c r="C330" s="63"/>
      <c r="D330" s="64"/>
      <c r="E330" s="66"/>
      <c r="F330" s="100" t="str">
        <f>HYPERLINK("https://pbs.twimg.com/profile_images/889352010339713028/-jdopwhx_normal.jpg")</f>
        <v>https://pbs.twimg.com/profile_images/889352010339713028/-jdopwhx_normal.jpg</v>
      </c>
      <c r="G330" s="63"/>
      <c r="H330" s="67"/>
      <c r="I330" s="68"/>
      <c r="J330" s="68"/>
      <c r="K330" s="67" t="s">
        <v>7517</v>
      </c>
      <c r="L330" s="71"/>
      <c r="M330" s="72">
        <v>9062.0810546875</v>
      </c>
      <c r="N330" s="72">
        <v>1623.827880859375</v>
      </c>
      <c r="O330" s="73"/>
      <c r="P330" s="74"/>
      <c r="Q330" s="74"/>
      <c r="R330" s="86"/>
      <c r="S330" s="46">
        <v>0</v>
      </c>
      <c r="T330" s="46">
        <v>2</v>
      </c>
      <c r="U330" s="47">
        <v>350</v>
      </c>
      <c r="V330" s="47">
        <v>0.215725</v>
      </c>
      <c r="W330" s="47">
        <v>0.062516</v>
      </c>
      <c r="X330" s="47">
        <v>0.002899</v>
      </c>
      <c r="Y330" s="47">
        <v>0</v>
      </c>
      <c r="Z330" s="47">
        <v>0</v>
      </c>
      <c r="AA330" s="69">
        <v>330</v>
      </c>
      <c r="AB330" s="69"/>
      <c r="AC330" s="70"/>
      <c r="AD330" s="76" t="s">
        <v>6186</v>
      </c>
      <c r="AE330" s="83" t="s">
        <v>6439</v>
      </c>
      <c r="AF330" s="76">
        <v>6916</v>
      </c>
      <c r="AG330" s="76">
        <v>1405</v>
      </c>
      <c r="AH330" s="76">
        <v>19923</v>
      </c>
      <c r="AI330" s="76">
        <v>169</v>
      </c>
      <c r="AJ330" s="76">
        <v>3835</v>
      </c>
      <c r="AK330" s="76">
        <v>3552</v>
      </c>
      <c r="AL330" s="76" t="b">
        <v>0</v>
      </c>
      <c r="AM330" s="78">
        <v>40252.504166666666</v>
      </c>
      <c r="AN330" s="76" t="s">
        <v>6624</v>
      </c>
      <c r="AO330" s="76" t="s">
        <v>6916</v>
      </c>
      <c r="AP330" s="82" t="str">
        <f>HYPERLINK("https://t.co/96QIqhIUo4")</f>
        <v>https://t.co/96QIqhIUo4</v>
      </c>
      <c r="AQ330" s="82" t="str">
        <f>HYPERLINK("http://www.defindia.org")</f>
        <v>http://www.defindia.org</v>
      </c>
      <c r="AR330" s="76" t="s">
        <v>7140</v>
      </c>
      <c r="AS330" s="76"/>
      <c r="AT330" s="76"/>
      <c r="AU330" s="76"/>
      <c r="AV330" s="76">
        <v>1.73338220962772E+18</v>
      </c>
      <c r="AW330" s="82" t="str">
        <f>HYPERLINK("https://t.co/96QIqhIUo4")</f>
        <v>https://t.co/96QIqhIUo4</v>
      </c>
      <c r="AX330" s="76" t="b">
        <v>0</v>
      </c>
      <c r="AY330" s="76"/>
      <c r="AZ330" s="76"/>
      <c r="BA330" s="76" t="b">
        <v>0</v>
      </c>
      <c r="BB330" s="76" t="b">
        <v>1</v>
      </c>
      <c r="BC330" s="76" t="b">
        <v>0</v>
      </c>
      <c r="BD330" s="76" t="b">
        <v>0</v>
      </c>
      <c r="BE330" s="76" t="b">
        <v>1</v>
      </c>
      <c r="BF330" s="76" t="b">
        <v>0</v>
      </c>
      <c r="BG330" s="76" t="b">
        <v>0</v>
      </c>
      <c r="BH330" s="82" t="str">
        <f>HYPERLINK("https://pbs.twimg.com/profile_banners/123227807/1678427463")</f>
        <v>https://pbs.twimg.com/profile_banners/123227807/1678427463</v>
      </c>
      <c r="BI330" s="76"/>
      <c r="BJ330" s="76" t="s">
        <v>7188</v>
      </c>
      <c r="BK330" s="76" t="b">
        <v>0</v>
      </c>
      <c r="BL330" s="76"/>
      <c r="BM330" s="76" t="s">
        <v>66</v>
      </c>
      <c r="BN330" s="76" t="s">
        <v>7190</v>
      </c>
      <c r="BO330" s="82" t="str">
        <f>HYPERLINK("https://twitter.com/defindia")</f>
        <v>https://twitter.com/defindia</v>
      </c>
      <c r="BP330" s="46" t="s">
        <v>7675</v>
      </c>
      <c r="BQ330" s="46" t="s">
        <v>7675</v>
      </c>
      <c r="BR330" s="46" t="s">
        <v>1985</v>
      </c>
      <c r="BS330" s="46" t="s">
        <v>1985</v>
      </c>
      <c r="BT330" s="46" t="s">
        <v>1866</v>
      </c>
      <c r="BU330" s="46" t="s">
        <v>1866</v>
      </c>
      <c r="BV330" s="105" t="s">
        <v>7956</v>
      </c>
      <c r="BW330" s="105" t="s">
        <v>7956</v>
      </c>
      <c r="BX330" s="105" t="s">
        <v>8187</v>
      </c>
      <c r="BY330" s="105" t="s">
        <v>8187</v>
      </c>
      <c r="BZ330" s="2"/>
    </row>
    <row r="331" spans="1:78" ht="15">
      <c r="A331" s="62" t="s">
        <v>567</v>
      </c>
      <c r="B331" s="63"/>
      <c r="C331" s="63"/>
      <c r="D331" s="64"/>
      <c r="E331" s="66"/>
      <c r="F331" s="100" t="str">
        <f>HYPERLINK("https://pbs.twimg.com/profile_images/766496051759030272/74eLOLJK_normal.jpg")</f>
        <v>https://pbs.twimg.com/profile_images/766496051759030272/74eLOLJK_normal.jpg</v>
      </c>
      <c r="G331" s="63"/>
      <c r="H331" s="67"/>
      <c r="I331" s="68"/>
      <c r="J331" s="68"/>
      <c r="K331" s="67" t="s">
        <v>7518</v>
      </c>
      <c r="L331" s="71"/>
      <c r="M331" s="72">
        <v>9088.720703125</v>
      </c>
      <c r="N331" s="72">
        <v>1745.9068603515625</v>
      </c>
      <c r="O331" s="73"/>
      <c r="P331" s="74"/>
      <c r="Q331" s="74"/>
      <c r="R331" s="86"/>
      <c r="S331" s="46">
        <v>1</v>
      </c>
      <c r="T331" s="46">
        <v>0</v>
      </c>
      <c r="U331" s="47">
        <v>0</v>
      </c>
      <c r="V331" s="47">
        <v>0.151739</v>
      </c>
      <c r="W331" s="47">
        <v>0.005535</v>
      </c>
      <c r="X331" s="47">
        <v>0.002667</v>
      </c>
      <c r="Y331" s="47">
        <v>0</v>
      </c>
      <c r="Z331" s="47">
        <v>0</v>
      </c>
      <c r="AA331" s="69">
        <v>331</v>
      </c>
      <c r="AB331" s="69"/>
      <c r="AC331" s="70"/>
      <c r="AD331" s="76" t="s">
        <v>6187</v>
      </c>
      <c r="AE331" s="83" t="s">
        <v>6440</v>
      </c>
      <c r="AF331" s="76">
        <v>1354</v>
      </c>
      <c r="AG331" s="76">
        <v>1893</v>
      </c>
      <c r="AH331" s="76">
        <v>4005</v>
      </c>
      <c r="AI331" s="76">
        <v>18</v>
      </c>
      <c r="AJ331" s="76">
        <v>129</v>
      </c>
      <c r="AK331" s="76">
        <v>162</v>
      </c>
      <c r="AL331" s="76" t="b">
        <v>0</v>
      </c>
      <c r="AM331" s="78">
        <v>40163.62357638889</v>
      </c>
      <c r="AN331" s="76"/>
      <c r="AO331" s="76" t="s">
        <v>6917</v>
      </c>
      <c r="AP331" s="82" t="str">
        <f>HYPERLINK("http://t.co/R6wFPlVUjr")</f>
        <v>http://t.co/R6wFPlVUjr</v>
      </c>
      <c r="AQ331" s="82" t="str">
        <f>HYPERLINK("http://manthanaward.org")</f>
        <v>http://manthanaward.org</v>
      </c>
      <c r="AR331" s="76" t="s">
        <v>7141</v>
      </c>
      <c r="AS331" s="76"/>
      <c r="AT331" s="76"/>
      <c r="AU331" s="76"/>
      <c r="AV331" s="76"/>
      <c r="AW331" s="82" t="str">
        <f>HYPERLINK("http://t.co/R6wFPlVUjr")</f>
        <v>http://t.co/R6wFPlVUjr</v>
      </c>
      <c r="AX331" s="76" t="b">
        <v>0</v>
      </c>
      <c r="AY331" s="76"/>
      <c r="AZ331" s="76"/>
      <c r="BA331" s="76" t="b">
        <v>0</v>
      </c>
      <c r="BB331" s="76" t="b">
        <v>1</v>
      </c>
      <c r="BC331" s="76" t="b">
        <v>0</v>
      </c>
      <c r="BD331" s="76" t="b">
        <v>0</v>
      </c>
      <c r="BE331" s="76" t="b">
        <v>0</v>
      </c>
      <c r="BF331" s="76" t="b">
        <v>0</v>
      </c>
      <c r="BG331" s="76" t="b">
        <v>0</v>
      </c>
      <c r="BH331" s="82" t="str">
        <f>HYPERLINK("https://pbs.twimg.com/profile_banners/97224682/1513410192")</f>
        <v>https://pbs.twimg.com/profile_banners/97224682/1513410192</v>
      </c>
      <c r="BI331" s="76"/>
      <c r="BJ331" s="76" t="s">
        <v>7188</v>
      </c>
      <c r="BK331" s="76" t="b">
        <v>0</v>
      </c>
      <c r="BL331" s="76"/>
      <c r="BM331" s="76" t="s">
        <v>65</v>
      </c>
      <c r="BN331" s="76" t="s">
        <v>7190</v>
      </c>
      <c r="BO331" s="82" t="str">
        <f>HYPERLINK("https://twitter.com/manthanaward")</f>
        <v>https://twitter.com/manthanaward</v>
      </c>
      <c r="BP331" s="46"/>
      <c r="BQ331" s="46"/>
      <c r="BR331" s="46"/>
      <c r="BS331" s="46"/>
      <c r="BT331" s="46"/>
      <c r="BU331" s="46"/>
      <c r="BV331" s="46"/>
      <c r="BW331" s="46"/>
      <c r="BX331" s="46"/>
      <c r="BY331" s="46"/>
      <c r="BZ331" s="2"/>
    </row>
    <row r="332" spans="1:78" ht="15">
      <c r="A332" s="62" t="s">
        <v>405</v>
      </c>
      <c r="B332" s="63"/>
      <c r="C332" s="63"/>
      <c r="D332" s="64"/>
      <c r="E332" s="66"/>
      <c r="F332" s="100" t="str">
        <f>HYPERLINK("https://pbs.twimg.com/profile_images/976878554666471425/BJHFc8tF_normal.jpg")</f>
        <v>https://pbs.twimg.com/profile_images/976878554666471425/BJHFc8tF_normal.jpg</v>
      </c>
      <c r="G332" s="63"/>
      <c r="H332" s="67"/>
      <c r="I332" s="68"/>
      <c r="J332" s="68"/>
      <c r="K332" s="67" t="s">
        <v>7519</v>
      </c>
      <c r="L332" s="71"/>
      <c r="M332" s="72">
        <v>9115.359375</v>
      </c>
      <c r="N332" s="72">
        <v>1872.2037353515625</v>
      </c>
      <c r="O332" s="73"/>
      <c r="P332" s="74"/>
      <c r="Q332" s="74"/>
      <c r="R332" s="86"/>
      <c r="S332" s="46">
        <v>1</v>
      </c>
      <c r="T332" s="46">
        <v>1</v>
      </c>
      <c r="U332" s="47">
        <v>0</v>
      </c>
      <c r="V332" s="47">
        <v>0</v>
      </c>
      <c r="W332" s="47">
        <v>0</v>
      </c>
      <c r="X332" s="47">
        <v>0.002882</v>
      </c>
      <c r="Y332" s="47">
        <v>0</v>
      </c>
      <c r="Z332" s="47">
        <v>0</v>
      </c>
      <c r="AA332" s="69">
        <v>332</v>
      </c>
      <c r="AB332" s="69"/>
      <c r="AC332" s="70"/>
      <c r="AD332" s="76" t="s">
        <v>6188</v>
      </c>
      <c r="AE332" s="83" t="s">
        <v>6441</v>
      </c>
      <c r="AF332" s="76">
        <v>36842</v>
      </c>
      <c r="AG332" s="76">
        <v>29128</v>
      </c>
      <c r="AH332" s="76">
        <v>384272</v>
      </c>
      <c r="AI332" s="76">
        <v>1587</v>
      </c>
      <c r="AJ332" s="76">
        <v>3907</v>
      </c>
      <c r="AK332" s="76">
        <v>7220</v>
      </c>
      <c r="AL332" s="76" t="b">
        <v>0</v>
      </c>
      <c r="AM332" s="78">
        <v>39653.86875</v>
      </c>
      <c r="AN332" s="76" t="s">
        <v>6471</v>
      </c>
      <c r="AO332" s="76" t="s">
        <v>6918</v>
      </c>
      <c r="AP332" s="82" t="str">
        <f>HYPERLINK("https://t.co/CNpgH6u4YR")</f>
        <v>https://t.co/CNpgH6u4YR</v>
      </c>
      <c r="AQ332" s="82" t="str">
        <f>HYPERLINK("http://ow.ly/bLAw30d4srH")</f>
        <v>http://ow.ly/bLAw30d4srH</v>
      </c>
      <c r="AR332" s="76" t="s">
        <v>7142</v>
      </c>
      <c r="AS332" s="82" t="str">
        <f>HYPERLINK("https://t.co/ejeIanQ5oo")</f>
        <v>https://t.co/ejeIanQ5oo</v>
      </c>
      <c r="AT332" s="82" t="str">
        <f>HYPERLINK("https://buff.ly/2XUPctO")</f>
        <v>https://buff.ly/2XUPctO</v>
      </c>
      <c r="AU332" s="76" t="s">
        <v>7185</v>
      </c>
      <c r="AV332" s="76">
        <v>1.41885504845769E+18</v>
      </c>
      <c r="AW332" s="82" t="str">
        <f>HYPERLINK("https://t.co/CNpgH6u4YR")</f>
        <v>https://t.co/CNpgH6u4YR</v>
      </c>
      <c r="AX332" s="76" t="b">
        <v>0</v>
      </c>
      <c r="AY332" s="76"/>
      <c r="AZ332" s="76"/>
      <c r="BA332" s="76" t="b">
        <v>0</v>
      </c>
      <c r="BB332" s="76" t="b">
        <v>0</v>
      </c>
      <c r="BC332" s="76" t="b">
        <v>0</v>
      </c>
      <c r="BD332" s="76" t="b">
        <v>0</v>
      </c>
      <c r="BE332" s="76" t="b">
        <v>1</v>
      </c>
      <c r="BF332" s="76" t="b">
        <v>0</v>
      </c>
      <c r="BG332" s="76" t="b">
        <v>0</v>
      </c>
      <c r="BH332" s="82" t="str">
        <f>HYPERLINK("https://pbs.twimg.com/profile_banners/15588825/1521740600")</f>
        <v>https://pbs.twimg.com/profile_banners/15588825/1521740600</v>
      </c>
      <c r="BI332" s="76"/>
      <c r="BJ332" s="76" t="s">
        <v>7188</v>
      </c>
      <c r="BK332" s="76" t="b">
        <v>0</v>
      </c>
      <c r="BL332" s="76"/>
      <c r="BM332" s="76" t="s">
        <v>66</v>
      </c>
      <c r="BN332" s="76" t="s">
        <v>7190</v>
      </c>
      <c r="BO332" s="82" t="str">
        <f>HYPERLINK("https://twitter.com/entwistletx")</f>
        <v>https://twitter.com/entwistletx</v>
      </c>
      <c r="BP332" s="46" t="s">
        <v>7676</v>
      </c>
      <c r="BQ332" s="46" t="s">
        <v>7676</v>
      </c>
      <c r="BR332" s="46" t="s">
        <v>2041</v>
      </c>
      <c r="BS332" s="46" t="s">
        <v>2041</v>
      </c>
      <c r="BT332" s="46" t="s">
        <v>1867</v>
      </c>
      <c r="BU332" s="46" t="s">
        <v>7775</v>
      </c>
      <c r="BV332" s="105" t="s">
        <v>7957</v>
      </c>
      <c r="BW332" s="105" t="s">
        <v>7957</v>
      </c>
      <c r="BX332" s="105" t="s">
        <v>8188</v>
      </c>
      <c r="BY332" s="105" t="s">
        <v>8188</v>
      </c>
      <c r="BZ332" s="2"/>
    </row>
    <row r="333" spans="1:78" ht="15">
      <c r="A333" s="62" t="s">
        <v>406</v>
      </c>
      <c r="B333" s="63"/>
      <c r="C333" s="63"/>
      <c r="D333" s="64"/>
      <c r="E333" s="66"/>
      <c r="F333" s="100" t="str">
        <f>HYPERLINK("https://pbs.twimg.com/profile_images/1326095627240034304/f6Bl2HxI_normal.jpg")</f>
        <v>https://pbs.twimg.com/profile_images/1326095627240034304/f6Bl2HxI_normal.jpg</v>
      </c>
      <c r="G333" s="63"/>
      <c r="H333" s="67"/>
      <c r="I333" s="68"/>
      <c r="J333" s="68"/>
      <c r="K333" s="67" t="s">
        <v>7520</v>
      </c>
      <c r="L333" s="71"/>
      <c r="M333" s="72">
        <v>9142.0009765625</v>
      </c>
      <c r="N333" s="72">
        <v>2002.554443359375</v>
      </c>
      <c r="O333" s="73"/>
      <c r="P333" s="74"/>
      <c r="Q333" s="74"/>
      <c r="R333" s="86"/>
      <c r="S333" s="46">
        <v>1</v>
      </c>
      <c r="T333" s="46">
        <v>1</v>
      </c>
      <c r="U333" s="47">
        <v>0</v>
      </c>
      <c r="V333" s="47">
        <v>0</v>
      </c>
      <c r="W333" s="47">
        <v>0</v>
      </c>
      <c r="X333" s="47">
        <v>0.002882</v>
      </c>
      <c r="Y333" s="47">
        <v>0</v>
      </c>
      <c r="Z333" s="47">
        <v>0</v>
      </c>
      <c r="AA333" s="69">
        <v>333</v>
      </c>
      <c r="AB333" s="69"/>
      <c r="AC333" s="70"/>
      <c r="AD333" s="76">
        <v>360</v>
      </c>
      <c r="AE333" s="83" t="s">
        <v>5828</v>
      </c>
      <c r="AF333" s="76">
        <v>9693</v>
      </c>
      <c r="AG333" s="76">
        <v>9544</v>
      </c>
      <c r="AH333" s="76">
        <v>32962</v>
      </c>
      <c r="AI333" s="76">
        <v>250</v>
      </c>
      <c r="AJ333" s="76">
        <v>6529</v>
      </c>
      <c r="AK333" s="76">
        <v>21339</v>
      </c>
      <c r="AL333" s="76" t="b">
        <v>0</v>
      </c>
      <c r="AM333" s="78">
        <v>42537.27224537037</v>
      </c>
      <c r="AN333" s="76" t="s">
        <v>6625</v>
      </c>
      <c r="AO333" s="76" t="s">
        <v>6919</v>
      </c>
      <c r="AP333" s="82" t="str">
        <f>HYPERLINK("https://t.co/guUBeJIkgs")</f>
        <v>https://t.co/guUBeJIkgs</v>
      </c>
      <c r="AQ333" s="82" t="str">
        <f>HYPERLINK("http://www.360s.ml")</f>
        <v>http://www.360s.ml</v>
      </c>
      <c r="AR333" s="76" t="s">
        <v>7143</v>
      </c>
      <c r="AS333" s="76" t="s">
        <v>7158</v>
      </c>
      <c r="AT333" s="76" t="s">
        <v>7162</v>
      </c>
      <c r="AU333" s="76" t="s">
        <v>7186</v>
      </c>
      <c r="AV333" s="76">
        <v>1.34946295078499E+18</v>
      </c>
      <c r="AW333" s="82" t="str">
        <f>HYPERLINK("https://t.co/guUBeJIkgs")</f>
        <v>https://t.co/guUBeJIkgs</v>
      </c>
      <c r="AX333" s="76" t="b">
        <v>0</v>
      </c>
      <c r="AY333" s="76"/>
      <c r="AZ333" s="76"/>
      <c r="BA333" s="76" t="b">
        <v>1</v>
      </c>
      <c r="BB333" s="76" t="b">
        <v>1</v>
      </c>
      <c r="BC333" s="76" t="b">
        <v>0</v>
      </c>
      <c r="BD333" s="76" t="b">
        <v>0</v>
      </c>
      <c r="BE333" s="76" t="b">
        <v>1</v>
      </c>
      <c r="BF333" s="76" t="b">
        <v>0</v>
      </c>
      <c r="BG333" s="76" t="b">
        <v>0</v>
      </c>
      <c r="BH333" s="82" t="str">
        <f>HYPERLINK("https://pbs.twimg.com/profile_banners/743330272339329024/1612101880")</f>
        <v>https://pbs.twimg.com/profile_banners/743330272339329024/1612101880</v>
      </c>
      <c r="BI333" s="76"/>
      <c r="BJ333" s="76" t="s">
        <v>7188</v>
      </c>
      <c r="BK333" s="76" t="b">
        <v>0</v>
      </c>
      <c r="BL333" s="76"/>
      <c r="BM333" s="76" t="s">
        <v>66</v>
      </c>
      <c r="BN333" s="76" t="s">
        <v>7190</v>
      </c>
      <c r="BO333" s="82" t="str">
        <f>HYPERLINK("https://twitter.com/360ie")</f>
        <v>https://twitter.com/360ie</v>
      </c>
      <c r="BP333" s="46" t="s">
        <v>7677</v>
      </c>
      <c r="BQ333" s="46" t="s">
        <v>7677</v>
      </c>
      <c r="BR333" s="46" t="s">
        <v>1978</v>
      </c>
      <c r="BS333" s="46" t="s">
        <v>1978</v>
      </c>
      <c r="BT333" s="46"/>
      <c r="BU333" s="46"/>
      <c r="BV333" s="105" t="s">
        <v>7958</v>
      </c>
      <c r="BW333" s="105" t="s">
        <v>7958</v>
      </c>
      <c r="BX333" s="105" t="s">
        <v>8189</v>
      </c>
      <c r="BY333" s="105" t="s">
        <v>8189</v>
      </c>
      <c r="BZ333" s="2"/>
    </row>
    <row r="334" spans="1:78" ht="15">
      <c r="A334" s="62" t="s">
        <v>407</v>
      </c>
      <c r="B334" s="63"/>
      <c r="C334" s="63"/>
      <c r="D334" s="64"/>
      <c r="E334" s="66"/>
      <c r="F334" s="100" t="str">
        <f>HYPERLINK("https://pbs.twimg.com/profile_images/567424377189199872/oe2x0fsA_normal.jpeg")</f>
        <v>https://pbs.twimg.com/profile_images/567424377189199872/oe2x0fsA_normal.jpeg</v>
      </c>
      <c r="G334" s="63"/>
      <c r="H334" s="67"/>
      <c r="I334" s="68"/>
      <c r="J334" s="68"/>
      <c r="K334" s="67" t="s">
        <v>7521</v>
      </c>
      <c r="L334" s="71"/>
      <c r="M334" s="72">
        <v>9168.6396484375</v>
      </c>
      <c r="N334" s="72">
        <v>2136.791015625</v>
      </c>
      <c r="O334" s="73"/>
      <c r="P334" s="74"/>
      <c r="Q334" s="74"/>
      <c r="R334" s="86"/>
      <c r="S334" s="46">
        <v>0</v>
      </c>
      <c r="T334" s="46">
        <v>1</v>
      </c>
      <c r="U334" s="47">
        <v>0</v>
      </c>
      <c r="V334" s="47">
        <v>0.214691</v>
      </c>
      <c r="W334" s="47">
        <v>0.062026</v>
      </c>
      <c r="X334" s="47">
        <v>0.002499</v>
      </c>
      <c r="Y334" s="47">
        <v>0</v>
      </c>
      <c r="Z334" s="47">
        <v>0</v>
      </c>
      <c r="AA334" s="69">
        <v>334</v>
      </c>
      <c r="AB334" s="69"/>
      <c r="AC334" s="70"/>
      <c r="AD334" s="76" t="s">
        <v>6189</v>
      </c>
      <c r="AE334" s="83" t="s">
        <v>6442</v>
      </c>
      <c r="AF334" s="76">
        <v>9706</v>
      </c>
      <c r="AG334" s="76">
        <v>7558</v>
      </c>
      <c r="AH334" s="76">
        <v>47439</v>
      </c>
      <c r="AI334" s="76">
        <v>872</v>
      </c>
      <c r="AJ334" s="76">
        <v>15421</v>
      </c>
      <c r="AK334" s="76">
        <v>25336</v>
      </c>
      <c r="AL334" s="76" t="b">
        <v>0</v>
      </c>
      <c r="AM334" s="78">
        <v>42036.798310185186</v>
      </c>
      <c r="AN334" s="76" t="s">
        <v>6626</v>
      </c>
      <c r="AO334" s="76" t="s">
        <v>6920</v>
      </c>
      <c r="AP334" s="82" t="str">
        <f>HYPERLINK("https://t.co/hHdeDwmL0V")</f>
        <v>https://t.co/hHdeDwmL0V</v>
      </c>
      <c r="AQ334" s="82" t="str">
        <f>HYPERLINK("http://willow.link/qualifications")</f>
        <v>http://willow.link/qualifications</v>
      </c>
      <c r="AR334" s="76" t="s">
        <v>7144</v>
      </c>
      <c r="AS334" s="76"/>
      <c r="AT334" s="76"/>
      <c r="AU334" s="76"/>
      <c r="AV334" s="76"/>
      <c r="AW334" s="82" t="str">
        <f>HYPERLINK("https://t.co/hHdeDwmL0V")</f>
        <v>https://t.co/hHdeDwmL0V</v>
      </c>
      <c r="AX334" s="76" t="b">
        <v>0</v>
      </c>
      <c r="AY334" s="76"/>
      <c r="AZ334" s="76"/>
      <c r="BA334" s="76" t="b">
        <v>0</v>
      </c>
      <c r="BB334" s="76" t="b">
        <v>1</v>
      </c>
      <c r="BC334" s="76" t="b">
        <v>0</v>
      </c>
      <c r="BD334" s="76" t="b">
        <v>0</v>
      </c>
      <c r="BE334" s="76" t="b">
        <v>0</v>
      </c>
      <c r="BF334" s="76" t="b">
        <v>0</v>
      </c>
      <c r="BG334" s="76" t="b">
        <v>0</v>
      </c>
      <c r="BH334" s="82" t="str">
        <f>HYPERLINK("https://pbs.twimg.com/profile_banners/3007133678/1422818100")</f>
        <v>https://pbs.twimg.com/profile_banners/3007133678/1422818100</v>
      </c>
      <c r="BI334" s="76"/>
      <c r="BJ334" s="76" t="s">
        <v>7188</v>
      </c>
      <c r="BK334" s="76" t="b">
        <v>0</v>
      </c>
      <c r="BL334" s="76"/>
      <c r="BM334" s="76" t="s">
        <v>66</v>
      </c>
      <c r="BN334" s="76" t="s">
        <v>7190</v>
      </c>
      <c r="BO334" s="82" t="str">
        <f>HYPERLINK("https://twitter.com/willowassist")</f>
        <v>https://twitter.com/willowassist</v>
      </c>
      <c r="BP334" s="46" t="s">
        <v>7678</v>
      </c>
      <c r="BQ334" s="46" t="s">
        <v>7678</v>
      </c>
      <c r="BR334" s="46" t="s">
        <v>2042</v>
      </c>
      <c r="BS334" s="46" t="s">
        <v>2042</v>
      </c>
      <c r="BT334" s="46" t="s">
        <v>1868</v>
      </c>
      <c r="BU334" s="46" t="s">
        <v>7776</v>
      </c>
      <c r="BV334" s="105" t="s">
        <v>7959</v>
      </c>
      <c r="BW334" s="105" t="s">
        <v>7959</v>
      </c>
      <c r="BX334" s="105" t="s">
        <v>8190</v>
      </c>
      <c r="BY334" s="105" t="s">
        <v>8190</v>
      </c>
      <c r="BZ334" s="2"/>
    </row>
    <row r="335" spans="1:78" ht="15">
      <c r="A335" s="62" t="s">
        <v>408</v>
      </c>
      <c r="B335" s="63"/>
      <c r="C335" s="63"/>
      <c r="D335" s="64"/>
      <c r="E335" s="66"/>
      <c r="F335" s="100" t="str">
        <f>HYPERLINK("https://pbs.twimg.com/profile_images/1003750515606421506/9nTZsVzQ_normal.jpg")</f>
        <v>https://pbs.twimg.com/profile_images/1003750515606421506/9nTZsVzQ_normal.jpg</v>
      </c>
      <c r="G335" s="63"/>
      <c r="H335" s="67"/>
      <c r="I335" s="68"/>
      <c r="J335" s="68"/>
      <c r="K335" s="67" t="s">
        <v>7522</v>
      </c>
      <c r="L335" s="71"/>
      <c r="M335" s="72">
        <v>9195.2802734375</v>
      </c>
      <c r="N335" s="72">
        <v>2274.7373046875</v>
      </c>
      <c r="O335" s="73"/>
      <c r="P335" s="74"/>
      <c r="Q335" s="74"/>
      <c r="R335" s="86"/>
      <c r="S335" s="46">
        <v>0</v>
      </c>
      <c r="T335" s="46">
        <v>1</v>
      </c>
      <c r="U335" s="47">
        <v>0</v>
      </c>
      <c r="V335" s="47">
        <v>0.214691</v>
      </c>
      <c r="W335" s="47">
        <v>0.062026</v>
      </c>
      <c r="X335" s="47">
        <v>0.002499</v>
      </c>
      <c r="Y335" s="47">
        <v>0</v>
      </c>
      <c r="Z335" s="47">
        <v>0</v>
      </c>
      <c r="AA335" s="69">
        <v>335</v>
      </c>
      <c r="AB335" s="69"/>
      <c r="AC335" s="70"/>
      <c r="AD335" s="76" t="s">
        <v>6190</v>
      </c>
      <c r="AE335" s="83" t="s">
        <v>6443</v>
      </c>
      <c r="AF335" s="76">
        <v>345</v>
      </c>
      <c r="AG335" s="76">
        <v>293</v>
      </c>
      <c r="AH335" s="76">
        <v>7632</v>
      </c>
      <c r="AI335" s="76">
        <v>161</v>
      </c>
      <c r="AJ335" s="76">
        <v>21</v>
      </c>
      <c r="AK335" s="76">
        <v>0</v>
      </c>
      <c r="AL335" s="76" t="b">
        <v>0</v>
      </c>
      <c r="AM335" s="78">
        <v>42285.664872685185</v>
      </c>
      <c r="AN335" s="76" t="s">
        <v>6627</v>
      </c>
      <c r="AO335" s="76" t="s">
        <v>6921</v>
      </c>
      <c r="AP335" s="82" t="str">
        <f>HYPERLINK("https://t.co/S4APQmhwj2")</f>
        <v>https://t.co/S4APQmhwj2</v>
      </c>
      <c r="AQ335" s="82" t="str">
        <f>HYPERLINK("http://twitterpulse.io")</f>
        <v>http://twitterpulse.io</v>
      </c>
      <c r="AR335" s="76" t="s">
        <v>7145</v>
      </c>
      <c r="AS335" s="76"/>
      <c r="AT335" s="76"/>
      <c r="AU335" s="76"/>
      <c r="AV335" s="76"/>
      <c r="AW335" s="82" t="str">
        <f>HYPERLINK("https://t.co/S4APQmhwj2")</f>
        <v>https://t.co/S4APQmhwj2</v>
      </c>
      <c r="AX335" s="76" t="b">
        <v>0</v>
      </c>
      <c r="AY335" s="76"/>
      <c r="AZ335" s="76"/>
      <c r="BA335" s="76" t="b">
        <v>0</v>
      </c>
      <c r="BB335" s="76" t="b">
        <v>1</v>
      </c>
      <c r="BC335" s="76" t="b">
        <v>0</v>
      </c>
      <c r="BD335" s="76" t="b">
        <v>0</v>
      </c>
      <c r="BE335" s="76" t="b">
        <v>0</v>
      </c>
      <c r="BF335" s="76" t="b">
        <v>0</v>
      </c>
      <c r="BG335" s="76" t="b">
        <v>0</v>
      </c>
      <c r="BH335" s="82" t="str">
        <f>HYPERLINK("https://pbs.twimg.com/profile_banners/3900808721/1483445780")</f>
        <v>https://pbs.twimg.com/profile_banners/3900808721/1483445780</v>
      </c>
      <c r="BI335" s="76"/>
      <c r="BJ335" s="76" t="s">
        <v>7188</v>
      </c>
      <c r="BK335" s="76" t="b">
        <v>0</v>
      </c>
      <c r="BL335" s="76"/>
      <c r="BM335" s="76" t="s">
        <v>66</v>
      </c>
      <c r="BN335" s="76" t="s">
        <v>7190</v>
      </c>
      <c r="BO335" s="82" t="str">
        <f>HYPERLINK("https://twitter.com/twitpulse_in")</f>
        <v>https://twitter.com/twitpulse_in</v>
      </c>
      <c r="BP335" s="46"/>
      <c r="BQ335" s="46"/>
      <c r="BR335" s="46"/>
      <c r="BS335" s="46"/>
      <c r="BT335" s="46"/>
      <c r="BU335" s="46"/>
      <c r="BV335" s="105" t="s">
        <v>7960</v>
      </c>
      <c r="BW335" s="105" t="s">
        <v>8007</v>
      </c>
      <c r="BX335" s="105" t="s">
        <v>8191</v>
      </c>
      <c r="BY335" s="105" t="s">
        <v>8229</v>
      </c>
      <c r="BZ335" s="2"/>
    </row>
    <row r="336" spans="1:78" ht="15">
      <c r="A336" s="62" t="s">
        <v>409</v>
      </c>
      <c r="B336" s="63"/>
      <c r="C336" s="63"/>
      <c r="D336" s="64"/>
      <c r="E336" s="66"/>
      <c r="F336" s="100" t="str">
        <f>HYPERLINK("https://pbs.twimg.com/profile_images/1473321911908122627/TL3cRWaX_normal.jpg")</f>
        <v>https://pbs.twimg.com/profile_images/1473321911908122627/TL3cRWaX_normal.jpg</v>
      </c>
      <c r="G336" s="63"/>
      <c r="H336" s="67"/>
      <c r="I336" s="68"/>
      <c r="J336" s="68"/>
      <c r="K336" s="67" t="s">
        <v>7523</v>
      </c>
      <c r="L336" s="71"/>
      <c r="M336" s="72">
        <v>9221.919921875</v>
      </c>
      <c r="N336" s="72">
        <v>2416.216796875</v>
      </c>
      <c r="O336" s="73"/>
      <c r="P336" s="74"/>
      <c r="Q336" s="74"/>
      <c r="R336" s="86"/>
      <c r="S336" s="46">
        <v>0</v>
      </c>
      <c r="T336" s="46">
        <v>1</v>
      </c>
      <c r="U336" s="47">
        <v>0</v>
      </c>
      <c r="V336" s="47">
        <v>0.214691</v>
      </c>
      <c r="W336" s="47">
        <v>0.062026</v>
      </c>
      <c r="X336" s="47">
        <v>0.002499</v>
      </c>
      <c r="Y336" s="47">
        <v>0</v>
      </c>
      <c r="Z336" s="47">
        <v>0</v>
      </c>
      <c r="AA336" s="69">
        <v>336</v>
      </c>
      <c r="AB336" s="69"/>
      <c r="AC336" s="70"/>
      <c r="AD336" s="76" t="s">
        <v>6191</v>
      </c>
      <c r="AE336" s="83" t="s">
        <v>6444</v>
      </c>
      <c r="AF336" s="76">
        <v>696</v>
      </c>
      <c r="AG336" s="76">
        <v>1133</v>
      </c>
      <c r="AH336" s="76">
        <v>5028</v>
      </c>
      <c r="AI336" s="76">
        <v>94</v>
      </c>
      <c r="AJ336" s="76">
        <v>1560</v>
      </c>
      <c r="AK336" s="76">
        <v>312</v>
      </c>
      <c r="AL336" s="76" t="b">
        <v>0</v>
      </c>
      <c r="AM336" s="78">
        <v>41686.95445601852</v>
      </c>
      <c r="AN336" s="76" t="s">
        <v>6628</v>
      </c>
      <c r="AO336" s="76" t="s">
        <v>6922</v>
      </c>
      <c r="AP336" s="82" t="str">
        <f>HYPERLINK("https://t.co/ZmzIVWaYgq")</f>
        <v>https://t.co/ZmzIVWaYgq</v>
      </c>
      <c r="AQ336" s="82" t="str">
        <f>HYPERLINK("http://twitch.tv/zerocoollatte")</f>
        <v>http://twitch.tv/zerocoollatte</v>
      </c>
      <c r="AR336" s="76" t="s">
        <v>7146</v>
      </c>
      <c r="AS336" s="76"/>
      <c r="AT336" s="76"/>
      <c r="AU336" s="76"/>
      <c r="AV336" s="76"/>
      <c r="AW336" s="82" t="str">
        <f>HYPERLINK("https://t.co/ZmzIVWaYgq")</f>
        <v>https://t.co/ZmzIVWaYgq</v>
      </c>
      <c r="AX336" s="76" t="b">
        <v>0</v>
      </c>
      <c r="AY336" s="76"/>
      <c r="AZ336" s="76"/>
      <c r="BA336" s="76" t="b">
        <v>0</v>
      </c>
      <c r="BB336" s="76" t="b">
        <v>1</v>
      </c>
      <c r="BC336" s="76" t="b">
        <v>0</v>
      </c>
      <c r="BD336" s="76" t="b">
        <v>0</v>
      </c>
      <c r="BE336" s="76" t="b">
        <v>0</v>
      </c>
      <c r="BF336" s="76" t="b">
        <v>0</v>
      </c>
      <c r="BG336" s="76" t="b">
        <v>0</v>
      </c>
      <c r="BH336" s="82" t="str">
        <f>HYPERLINK("https://pbs.twimg.com/profile_banners/2347548374/1609786928")</f>
        <v>https://pbs.twimg.com/profile_banners/2347548374/1609786928</v>
      </c>
      <c r="BI336" s="76"/>
      <c r="BJ336" s="76" t="s">
        <v>7188</v>
      </c>
      <c r="BK336" s="76" t="b">
        <v>0</v>
      </c>
      <c r="BL336" s="76"/>
      <c r="BM336" s="76" t="s">
        <v>66</v>
      </c>
      <c r="BN336" s="76" t="s">
        <v>7190</v>
      </c>
      <c r="BO336" s="82" t="str">
        <f>HYPERLINK("https://twitter.com/zerocoollatte")</f>
        <v>https://twitter.com/zerocoollatte</v>
      </c>
      <c r="BP336" s="46" t="s">
        <v>7679</v>
      </c>
      <c r="BQ336" s="46" t="s">
        <v>7679</v>
      </c>
      <c r="BR336" s="46" t="s">
        <v>2040</v>
      </c>
      <c r="BS336" s="46" t="s">
        <v>2040</v>
      </c>
      <c r="BT336" s="46"/>
      <c r="BU336" s="46"/>
      <c r="BV336" s="105" t="s">
        <v>7961</v>
      </c>
      <c r="BW336" s="105" t="s">
        <v>7961</v>
      </c>
      <c r="BX336" s="105" t="s">
        <v>8192</v>
      </c>
      <c r="BY336" s="105" t="s">
        <v>8192</v>
      </c>
      <c r="BZ336" s="2"/>
    </row>
    <row r="337" spans="1:78" ht="15">
      <c r="A337" s="62" t="s">
        <v>410</v>
      </c>
      <c r="B337" s="63"/>
      <c r="C337" s="63"/>
      <c r="D337" s="64"/>
      <c r="E337" s="66"/>
      <c r="F337" s="100" t="str">
        <f>HYPERLINK("https://pbs.twimg.com/profile_images/475691913702408192/Lt4oX9Nv_normal.jpeg")</f>
        <v>https://pbs.twimg.com/profile_images/475691913702408192/Lt4oX9Nv_normal.jpeg</v>
      </c>
      <c r="G337" s="63"/>
      <c r="H337" s="67"/>
      <c r="I337" s="68"/>
      <c r="J337" s="68"/>
      <c r="K337" s="67" t="s">
        <v>7524</v>
      </c>
      <c r="L337" s="71"/>
      <c r="M337" s="72">
        <v>9248.5595703125</v>
      </c>
      <c r="N337" s="72">
        <v>2561.044677734375</v>
      </c>
      <c r="O337" s="73"/>
      <c r="P337" s="74"/>
      <c r="Q337" s="74"/>
      <c r="R337" s="86"/>
      <c r="S337" s="46">
        <v>1</v>
      </c>
      <c r="T337" s="46">
        <v>1</v>
      </c>
      <c r="U337" s="47">
        <v>0</v>
      </c>
      <c r="V337" s="47">
        <v>0</v>
      </c>
      <c r="W337" s="47">
        <v>0</v>
      </c>
      <c r="X337" s="47">
        <v>0.002882</v>
      </c>
      <c r="Y337" s="47">
        <v>0</v>
      </c>
      <c r="Z337" s="47">
        <v>0</v>
      </c>
      <c r="AA337" s="69">
        <v>337</v>
      </c>
      <c r="AB337" s="69"/>
      <c r="AC337" s="70"/>
      <c r="AD337" s="76" t="s">
        <v>6192</v>
      </c>
      <c r="AE337" s="83" t="s">
        <v>6445</v>
      </c>
      <c r="AF337" s="76">
        <v>503</v>
      </c>
      <c r="AG337" s="76">
        <v>0</v>
      </c>
      <c r="AH337" s="76">
        <v>37036</v>
      </c>
      <c r="AI337" s="76">
        <v>6</v>
      </c>
      <c r="AJ337" s="76">
        <v>0</v>
      </c>
      <c r="AK337" s="76">
        <v>1080</v>
      </c>
      <c r="AL337" s="76" t="b">
        <v>0</v>
      </c>
      <c r="AM337" s="78">
        <v>41798.72724537037</v>
      </c>
      <c r="AN337" s="76"/>
      <c r="AO337" s="76"/>
      <c r="AP337" s="76"/>
      <c r="AQ337" s="76"/>
      <c r="AR337" s="76"/>
      <c r="AS337" s="76"/>
      <c r="AT337" s="76"/>
      <c r="AU337" s="76"/>
      <c r="AV337" s="76"/>
      <c r="AW337" s="76"/>
      <c r="AX337" s="76" t="b">
        <v>0</v>
      </c>
      <c r="AY337" s="76"/>
      <c r="AZ337" s="76"/>
      <c r="BA337" s="76" t="b">
        <v>0</v>
      </c>
      <c r="BB337" s="76" t="b">
        <v>1</v>
      </c>
      <c r="BC337" s="76" t="b">
        <v>1</v>
      </c>
      <c r="BD337" s="76" t="b">
        <v>0</v>
      </c>
      <c r="BE337" s="76" t="b">
        <v>0</v>
      </c>
      <c r="BF337" s="76" t="b">
        <v>0</v>
      </c>
      <c r="BG337" s="76" t="b">
        <v>0</v>
      </c>
      <c r="BH337" s="82" t="str">
        <f>HYPERLINK("https://pbs.twimg.com/profile_banners/2555190554/1402248976")</f>
        <v>https://pbs.twimg.com/profile_banners/2555190554/1402248976</v>
      </c>
      <c r="BI337" s="76"/>
      <c r="BJ337" s="76" t="s">
        <v>7188</v>
      </c>
      <c r="BK337" s="76" t="b">
        <v>0</v>
      </c>
      <c r="BL337" s="76"/>
      <c r="BM337" s="76" t="s">
        <v>66</v>
      </c>
      <c r="BN337" s="76" t="s">
        <v>7190</v>
      </c>
      <c r="BO337" s="82" t="str">
        <f>HYPERLINK("https://twitter.com/expertjobsorg")</f>
        <v>https://twitter.com/expertjobsorg</v>
      </c>
      <c r="BP337" s="46" t="s">
        <v>7680</v>
      </c>
      <c r="BQ337" s="46" t="s">
        <v>7705</v>
      </c>
      <c r="BR337" s="46" t="s">
        <v>1984</v>
      </c>
      <c r="BS337" s="46" t="s">
        <v>1984</v>
      </c>
      <c r="BT337" s="46"/>
      <c r="BU337" s="46"/>
      <c r="BV337" s="105" t="s">
        <v>7962</v>
      </c>
      <c r="BW337" s="105" t="s">
        <v>8008</v>
      </c>
      <c r="BX337" s="105" t="s">
        <v>8193</v>
      </c>
      <c r="BY337" s="105" t="s">
        <v>8230</v>
      </c>
      <c r="BZ337" s="2"/>
    </row>
    <row r="338" spans="1:78" ht="15">
      <c r="A338" s="62" t="s">
        <v>411</v>
      </c>
      <c r="B338" s="63"/>
      <c r="C338" s="63"/>
      <c r="D338" s="64"/>
      <c r="E338" s="66"/>
      <c r="F338" s="100" t="str">
        <f>HYPERLINK("https://pbs.twimg.com/profile_images/1690602207912321024/0h5SO3kd_normal.jpg")</f>
        <v>https://pbs.twimg.com/profile_images/1690602207912321024/0h5SO3kd_normal.jpg</v>
      </c>
      <c r="G338" s="63"/>
      <c r="H338" s="67"/>
      <c r="I338" s="68"/>
      <c r="J338" s="68"/>
      <c r="K338" s="67" t="s">
        <v>7525</v>
      </c>
      <c r="L338" s="71"/>
      <c r="M338" s="72">
        <v>9275.19921875</v>
      </c>
      <c r="N338" s="72">
        <v>2709.03369140625</v>
      </c>
      <c r="O338" s="73"/>
      <c r="P338" s="74"/>
      <c r="Q338" s="74"/>
      <c r="R338" s="86"/>
      <c r="S338" s="46">
        <v>0</v>
      </c>
      <c r="T338" s="46">
        <v>1</v>
      </c>
      <c r="U338" s="47">
        <v>0</v>
      </c>
      <c r="V338" s="47">
        <v>0.00289</v>
      </c>
      <c r="W338" s="47">
        <v>0</v>
      </c>
      <c r="X338" s="47">
        <v>0.002882</v>
      </c>
      <c r="Y338" s="47">
        <v>0</v>
      </c>
      <c r="Z338" s="47">
        <v>0</v>
      </c>
      <c r="AA338" s="69">
        <v>338</v>
      </c>
      <c r="AB338" s="69"/>
      <c r="AC338" s="70"/>
      <c r="AD338" s="76" t="s">
        <v>6193</v>
      </c>
      <c r="AE338" s="83" t="s">
        <v>6446</v>
      </c>
      <c r="AF338" s="76">
        <v>717</v>
      </c>
      <c r="AG338" s="76">
        <v>5000</v>
      </c>
      <c r="AH338" s="76">
        <v>32316</v>
      </c>
      <c r="AI338" s="76">
        <v>0</v>
      </c>
      <c r="AJ338" s="76">
        <v>125849</v>
      </c>
      <c r="AK338" s="76">
        <v>2018</v>
      </c>
      <c r="AL338" s="76" t="b">
        <v>0</v>
      </c>
      <c r="AM338" s="78">
        <v>41859.45023148148</v>
      </c>
      <c r="AN338" s="76" t="s">
        <v>6508</v>
      </c>
      <c r="AO338" s="76" t="s">
        <v>6923</v>
      </c>
      <c r="AP338" s="76"/>
      <c r="AQ338" s="76"/>
      <c r="AR338" s="76"/>
      <c r="AS338" s="76"/>
      <c r="AT338" s="76"/>
      <c r="AU338" s="76"/>
      <c r="AV338" s="76">
        <v>9.97017733496754E+17</v>
      </c>
      <c r="AW338" s="76"/>
      <c r="AX338" s="76" t="b">
        <v>0</v>
      </c>
      <c r="AY338" s="76"/>
      <c r="AZ338" s="76"/>
      <c r="BA338" s="76" t="b">
        <v>0</v>
      </c>
      <c r="BB338" s="76" t="b">
        <v>1</v>
      </c>
      <c r="BC338" s="76" t="b">
        <v>0</v>
      </c>
      <c r="BD338" s="76" t="b">
        <v>0</v>
      </c>
      <c r="BE338" s="76" t="b">
        <v>1</v>
      </c>
      <c r="BF338" s="76" t="b">
        <v>0</v>
      </c>
      <c r="BG338" s="76" t="b">
        <v>0</v>
      </c>
      <c r="BH338" s="82" t="str">
        <f>HYPERLINK("https://pbs.twimg.com/profile_banners/2716868599/1667044298")</f>
        <v>https://pbs.twimg.com/profile_banners/2716868599/1667044298</v>
      </c>
      <c r="BI338" s="76"/>
      <c r="BJ338" s="76" t="s">
        <v>7188</v>
      </c>
      <c r="BK338" s="76" t="b">
        <v>0</v>
      </c>
      <c r="BL338" s="76"/>
      <c r="BM338" s="76" t="s">
        <v>66</v>
      </c>
      <c r="BN338" s="76" t="s">
        <v>7190</v>
      </c>
      <c r="BO338" s="82" t="str">
        <f>HYPERLINK("https://twitter.com/darbeputtur")</f>
        <v>https://twitter.com/darbeputtur</v>
      </c>
      <c r="BP338" s="46"/>
      <c r="BQ338" s="46"/>
      <c r="BR338" s="46"/>
      <c r="BS338" s="46"/>
      <c r="BT338" s="46"/>
      <c r="BU338" s="46"/>
      <c r="BV338" s="105" t="s">
        <v>7963</v>
      </c>
      <c r="BW338" s="105" t="s">
        <v>7963</v>
      </c>
      <c r="BX338" s="105" t="s">
        <v>8194</v>
      </c>
      <c r="BY338" s="105" t="s">
        <v>8194</v>
      </c>
      <c r="BZ338" s="2"/>
    </row>
    <row r="339" spans="1:78" ht="15">
      <c r="A339" s="62" t="s">
        <v>568</v>
      </c>
      <c r="B339" s="63"/>
      <c r="C339" s="63"/>
      <c r="D339" s="64"/>
      <c r="E339" s="66"/>
      <c r="F339" s="100" t="str">
        <f>HYPERLINK("https://pbs.twimg.com/profile_images/1694056732618829824/z7VcxonQ_normal.jpg")</f>
        <v>https://pbs.twimg.com/profile_images/1694056732618829824/z7VcxonQ_normal.jpg</v>
      </c>
      <c r="G339" s="63"/>
      <c r="H339" s="67"/>
      <c r="I339" s="68"/>
      <c r="J339" s="68"/>
      <c r="K339" s="67" t="s">
        <v>7526</v>
      </c>
      <c r="L339" s="71"/>
      <c r="M339" s="72">
        <v>9301.8388671875</v>
      </c>
      <c r="N339" s="72">
        <v>2859.992919921875</v>
      </c>
      <c r="O339" s="73"/>
      <c r="P339" s="74"/>
      <c r="Q339" s="74"/>
      <c r="R339" s="86"/>
      <c r="S339" s="46">
        <v>1</v>
      </c>
      <c r="T339" s="46">
        <v>0</v>
      </c>
      <c r="U339" s="47">
        <v>0</v>
      </c>
      <c r="V339" s="47">
        <v>0.00289</v>
      </c>
      <c r="W339" s="47">
        <v>0</v>
      </c>
      <c r="X339" s="47">
        <v>0.002882</v>
      </c>
      <c r="Y339" s="47">
        <v>0</v>
      </c>
      <c r="Z339" s="47">
        <v>0</v>
      </c>
      <c r="AA339" s="69">
        <v>339</v>
      </c>
      <c r="AB339" s="69"/>
      <c r="AC339" s="70"/>
      <c r="AD339" s="76" t="s">
        <v>6194</v>
      </c>
      <c r="AE339" s="83" t="s">
        <v>5771</v>
      </c>
      <c r="AF339" s="76">
        <v>30070</v>
      </c>
      <c r="AG339" s="76">
        <v>1014</v>
      </c>
      <c r="AH339" s="76">
        <v>69585</v>
      </c>
      <c r="AI339" s="76">
        <v>76</v>
      </c>
      <c r="AJ339" s="76">
        <v>236621</v>
      </c>
      <c r="AK339" s="76">
        <v>10418</v>
      </c>
      <c r="AL339" s="76" t="b">
        <v>0</v>
      </c>
      <c r="AM339" s="78">
        <v>42312.426840277774</v>
      </c>
      <c r="AN339" s="76" t="s">
        <v>6472</v>
      </c>
      <c r="AO339" s="76" t="s">
        <v>6924</v>
      </c>
      <c r="AP339" s="82" t="str">
        <f>HYPERLINK("https://t.co/lgvrV5zDru")</f>
        <v>https://t.co/lgvrV5zDru</v>
      </c>
      <c r="AQ339" s="82" t="str">
        <f>HYPERLINK("http://instagram.com/shaandelhiteinc")</f>
        <v>http://instagram.com/shaandelhiteinc</v>
      </c>
      <c r="AR339" s="76" t="s">
        <v>7147</v>
      </c>
      <c r="AS339" s="76"/>
      <c r="AT339" s="76"/>
      <c r="AU339" s="76"/>
      <c r="AV339" s="76">
        <v>1.48886998105188E+18</v>
      </c>
      <c r="AW339" s="82" t="str">
        <f>HYPERLINK("https://t.co/lgvrV5zDru")</f>
        <v>https://t.co/lgvrV5zDru</v>
      </c>
      <c r="AX339" s="76" t="b">
        <v>1</v>
      </c>
      <c r="AY339" s="76"/>
      <c r="AZ339" s="76"/>
      <c r="BA339" s="76" t="b">
        <v>1</v>
      </c>
      <c r="BB339" s="76" t="b">
        <v>0</v>
      </c>
      <c r="BC339" s="76" t="b">
        <v>0</v>
      </c>
      <c r="BD339" s="76" t="b">
        <v>0</v>
      </c>
      <c r="BE339" s="76" t="b">
        <v>1</v>
      </c>
      <c r="BF339" s="76" t="b">
        <v>0</v>
      </c>
      <c r="BG339" s="76" t="b">
        <v>0</v>
      </c>
      <c r="BH339" s="82" t="str">
        <f>HYPERLINK("https://pbs.twimg.com/profile_banners/4122758778/1700338026")</f>
        <v>https://pbs.twimg.com/profile_banners/4122758778/1700338026</v>
      </c>
      <c r="BI339" s="76"/>
      <c r="BJ339" s="76" t="s">
        <v>7188</v>
      </c>
      <c r="BK339" s="76" t="b">
        <v>0</v>
      </c>
      <c r="BL339" s="76"/>
      <c r="BM339" s="76" t="s">
        <v>65</v>
      </c>
      <c r="BN339" s="76" t="s">
        <v>7190</v>
      </c>
      <c r="BO339" s="82" t="str">
        <f>HYPERLINK("https://twitter.com/shaandelhite")</f>
        <v>https://twitter.com/shaandelhite</v>
      </c>
      <c r="BP339" s="46"/>
      <c r="BQ339" s="46"/>
      <c r="BR339" s="46"/>
      <c r="BS339" s="46"/>
      <c r="BT339" s="46"/>
      <c r="BU339" s="46"/>
      <c r="BV339" s="46"/>
      <c r="BW339" s="46"/>
      <c r="BX339" s="46"/>
      <c r="BY339" s="46"/>
      <c r="BZ339" s="2"/>
    </row>
    <row r="340" spans="1:78" ht="15">
      <c r="A340" s="62" t="s">
        <v>412</v>
      </c>
      <c r="B340" s="63"/>
      <c r="C340" s="63"/>
      <c r="D340" s="64"/>
      <c r="E340" s="66"/>
      <c r="F340" s="100" t="str">
        <f>HYPERLINK("https://pbs.twimg.com/profile_images/1694040924974694403/ctD31x5C_normal.jpg")</f>
        <v>https://pbs.twimg.com/profile_images/1694040924974694403/ctD31x5C_normal.jpg</v>
      </c>
      <c r="G340" s="63"/>
      <c r="H340" s="67"/>
      <c r="I340" s="68"/>
      <c r="J340" s="68"/>
      <c r="K340" s="67" t="s">
        <v>7527</v>
      </c>
      <c r="L340" s="71"/>
      <c r="M340" s="72">
        <v>9328.478515625</v>
      </c>
      <c r="N340" s="72">
        <v>3013.724609375</v>
      </c>
      <c r="O340" s="73"/>
      <c r="P340" s="74"/>
      <c r="Q340" s="74"/>
      <c r="R340" s="86"/>
      <c r="S340" s="46">
        <v>1</v>
      </c>
      <c r="T340" s="46">
        <v>1</v>
      </c>
      <c r="U340" s="47">
        <v>0</v>
      </c>
      <c r="V340" s="47">
        <v>0</v>
      </c>
      <c r="W340" s="47">
        <v>0</v>
      </c>
      <c r="X340" s="47">
        <v>0.002882</v>
      </c>
      <c r="Y340" s="47">
        <v>0</v>
      </c>
      <c r="Z340" s="47">
        <v>0</v>
      </c>
      <c r="AA340" s="69">
        <v>340</v>
      </c>
      <c r="AB340" s="69"/>
      <c r="AC340" s="70"/>
      <c r="AD340" s="76" t="s">
        <v>6195</v>
      </c>
      <c r="AE340" s="83" t="s">
        <v>6447</v>
      </c>
      <c r="AF340" s="76">
        <v>415</v>
      </c>
      <c r="AG340" s="76">
        <v>423</v>
      </c>
      <c r="AH340" s="76">
        <v>29459</v>
      </c>
      <c r="AI340" s="76">
        <v>17</v>
      </c>
      <c r="AJ340" s="76">
        <v>62336</v>
      </c>
      <c r="AK340" s="76">
        <v>691</v>
      </c>
      <c r="AL340" s="76" t="b">
        <v>0</v>
      </c>
      <c r="AM340" s="78">
        <v>41410.10855324074</v>
      </c>
      <c r="AN340" s="76" t="s">
        <v>6629</v>
      </c>
      <c r="AO340" s="76" t="s">
        <v>6925</v>
      </c>
      <c r="AP340" s="76"/>
      <c r="AQ340" s="76"/>
      <c r="AR340" s="76"/>
      <c r="AS340" s="76"/>
      <c r="AT340" s="76"/>
      <c r="AU340" s="76"/>
      <c r="AV340" s="76">
        <v>8.91447531238031E+17</v>
      </c>
      <c r="AW340" s="76"/>
      <c r="AX340" s="76" t="b">
        <v>0</v>
      </c>
      <c r="AY340" s="76"/>
      <c r="AZ340" s="76"/>
      <c r="BA340" s="76" t="b">
        <v>1</v>
      </c>
      <c r="BB340" s="76" t="b">
        <v>0</v>
      </c>
      <c r="BC340" s="76" t="b">
        <v>1</v>
      </c>
      <c r="BD340" s="76" t="b">
        <v>0</v>
      </c>
      <c r="BE340" s="76" t="b">
        <v>1</v>
      </c>
      <c r="BF340" s="76" t="b">
        <v>0</v>
      </c>
      <c r="BG340" s="76" t="b">
        <v>0</v>
      </c>
      <c r="BH340" s="76"/>
      <c r="BI340" s="76"/>
      <c r="BJ340" s="76" t="s">
        <v>7188</v>
      </c>
      <c r="BK340" s="76" t="b">
        <v>0</v>
      </c>
      <c r="BL340" s="76"/>
      <c r="BM340" s="76" t="s">
        <v>66</v>
      </c>
      <c r="BN340" s="76" t="s">
        <v>7190</v>
      </c>
      <c r="BO340" s="82" t="str">
        <f>HYPERLINK("https://twitter.com/therealfrankson")</f>
        <v>https://twitter.com/therealfrankson</v>
      </c>
      <c r="BP340" s="46"/>
      <c r="BQ340" s="46"/>
      <c r="BR340" s="46"/>
      <c r="BS340" s="46"/>
      <c r="BT340" s="46"/>
      <c r="BU340" s="46"/>
      <c r="BV340" s="105" t="s">
        <v>7964</v>
      </c>
      <c r="BW340" s="105" t="s">
        <v>7964</v>
      </c>
      <c r="BX340" s="105" t="s">
        <v>8195</v>
      </c>
      <c r="BY340" s="105" t="s">
        <v>8195</v>
      </c>
      <c r="BZ340" s="2"/>
    </row>
    <row r="341" spans="1:78" ht="15">
      <c r="A341" s="62" t="s">
        <v>413</v>
      </c>
      <c r="B341" s="63"/>
      <c r="C341" s="63"/>
      <c r="D341" s="64"/>
      <c r="E341" s="66"/>
      <c r="F341" s="100" t="str">
        <f>HYPERLINK("https://pbs.twimg.com/profile_images/1665965062115446784/ayCLWQ48_normal.jpg")</f>
        <v>https://pbs.twimg.com/profile_images/1665965062115446784/ayCLWQ48_normal.jpg</v>
      </c>
      <c r="G341" s="63"/>
      <c r="H341" s="67"/>
      <c r="I341" s="68"/>
      <c r="J341" s="68"/>
      <c r="K341" s="67" t="s">
        <v>7528</v>
      </c>
      <c r="L341" s="71"/>
      <c r="M341" s="72">
        <v>9355.119140625</v>
      </c>
      <c r="N341" s="72">
        <v>3170.031005859375</v>
      </c>
      <c r="O341" s="73"/>
      <c r="P341" s="74"/>
      <c r="Q341" s="74"/>
      <c r="R341" s="86"/>
      <c r="S341" s="46">
        <v>0</v>
      </c>
      <c r="T341" s="46">
        <v>1</v>
      </c>
      <c r="U341" s="47">
        <v>0</v>
      </c>
      <c r="V341" s="47">
        <v>0.214691</v>
      </c>
      <c r="W341" s="47">
        <v>0.062026</v>
      </c>
      <c r="X341" s="47">
        <v>0.002499</v>
      </c>
      <c r="Y341" s="47">
        <v>0</v>
      </c>
      <c r="Z341" s="47">
        <v>0</v>
      </c>
      <c r="AA341" s="69">
        <v>341</v>
      </c>
      <c r="AB341" s="69"/>
      <c r="AC341" s="70"/>
      <c r="AD341" s="76" t="s">
        <v>6196</v>
      </c>
      <c r="AE341" s="83" t="s">
        <v>5829</v>
      </c>
      <c r="AF341" s="76">
        <v>9</v>
      </c>
      <c r="AG341" s="76">
        <v>37</v>
      </c>
      <c r="AH341" s="76">
        <v>5616</v>
      </c>
      <c r="AI341" s="76">
        <v>0</v>
      </c>
      <c r="AJ341" s="76">
        <v>948</v>
      </c>
      <c r="AK341" s="76">
        <v>763</v>
      </c>
      <c r="AL341" s="76" t="b">
        <v>0</v>
      </c>
      <c r="AM341" s="78">
        <v>44947.21471064815</v>
      </c>
      <c r="AN341" s="76"/>
      <c r="AO341" s="76" t="s">
        <v>6926</v>
      </c>
      <c r="AP341" s="76"/>
      <c r="AQ341" s="76"/>
      <c r="AR341" s="76"/>
      <c r="AS341" s="76"/>
      <c r="AT341" s="76"/>
      <c r="AU341" s="76"/>
      <c r="AV341" s="76"/>
      <c r="AW341" s="76"/>
      <c r="AX341" s="76" t="b">
        <v>0</v>
      </c>
      <c r="AY341" s="76"/>
      <c r="AZ341" s="76"/>
      <c r="BA341" s="76" t="b">
        <v>0</v>
      </c>
      <c r="BB341" s="76" t="b">
        <v>1</v>
      </c>
      <c r="BC341" s="76" t="b">
        <v>1</v>
      </c>
      <c r="BD341" s="76" t="b">
        <v>0</v>
      </c>
      <c r="BE341" s="76" t="b">
        <v>0</v>
      </c>
      <c r="BF341" s="76" t="b">
        <v>0</v>
      </c>
      <c r="BG341" s="76" t="b">
        <v>0</v>
      </c>
      <c r="BH341" s="82" t="str">
        <f>HYPERLINK("https://pbs.twimg.com/profile_banners/1616664141728743424/1686032025")</f>
        <v>https://pbs.twimg.com/profile_banners/1616664141728743424/1686032025</v>
      </c>
      <c r="BI341" s="76"/>
      <c r="BJ341" s="76" t="s">
        <v>7188</v>
      </c>
      <c r="BK341" s="76" t="b">
        <v>0</v>
      </c>
      <c r="BL341" s="76"/>
      <c r="BM341" s="76" t="s">
        <v>66</v>
      </c>
      <c r="BN341" s="76" t="s">
        <v>7190</v>
      </c>
      <c r="BO341" s="82" t="str">
        <f>HYPERLINK("https://twitter.com/varahipackage")</f>
        <v>https://twitter.com/varahipackage</v>
      </c>
      <c r="BP341" s="46"/>
      <c r="BQ341" s="46"/>
      <c r="BR341" s="46"/>
      <c r="BS341" s="46"/>
      <c r="BT341" s="46" t="s">
        <v>1869</v>
      </c>
      <c r="BU341" s="46" t="s">
        <v>7777</v>
      </c>
      <c r="BV341" s="105" t="s">
        <v>7965</v>
      </c>
      <c r="BW341" s="105" t="s">
        <v>7965</v>
      </c>
      <c r="BX341" s="105" t="s">
        <v>8196</v>
      </c>
      <c r="BY341" s="105" t="s">
        <v>8196</v>
      </c>
      <c r="BZ341" s="2"/>
    </row>
    <row r="342" spans="1:78" ht="15">
      <c r="A342" s="62" t="s">
        <v>414</v>
      </c>
      <c r="B342" s="63"/>
      <c r="C342" s="63"/>
      <c r="D342" s="64"/>
      <c r="E342" s="66"/>
      <c r="F342" s="100" t="str">
        <f>HYPERLINK("https://pbs.twimg.com/profile_images/1332013023784022017/8XyXtTl2_normal.jpg")</f>
        <v>https://pbs.twimg.com/profile_images/1332013023784022017/8XyXtTl2_normal.jpg</v>
      </c>
      <c r="G342" s="63"/>
      <c r="H342" s="67"/>
      <c r="I342" s="68"/>
      <c r="J342" s="68"/>
      <c r="K342" s="67" t="s">
        <v>7529</v>
      </c>
      <c r="L342" s="71"/>
      <c r="M342" s="72">
        <v>9381.7587890625</v>
      </c>
      <c r="N342" s="72">
        <v>3328.709228515625</v>
      </c>
      <c r="O342" s="73"/>
      <c r="P342" s="74"/>
      <c r="Q342" s="74"/>
      <c r="R342" s="86"/>
      <c r="S342" s="46">
        <v>1</v>
      </c>
      <c r="T342" s="46">
        <v>1</v>
      </c>
      <c r="U342" s="47">
        <v>0</v>
      </c>
      <c r="V342" s="47">
        <v>0</v>
      </c>
      <c r="W342" s="47">
        <v>0</v>
      </c>
      <c r="X342" s="47">
        <v>0.002882</v>
      </c>
      <c r="Y342" s="47">
        <v>0</v>
      </c>
      <c r="Z342" s="47">
        <v>0</v>
      </c>
      <c r="AA342" s="69">
        <v>342</v>
      </c>
      <c r="AB342" s="69"/>
      <c r="AC342" s="70"/>
      <c r="AD342" s="76" t="s">
        <v>6197</v>
      </c>
      <c r="AE342" s="83" t="s">
        <v>6448</v>
      </c>
      <c r="AF342" s="76">
        <v>69975</v>
      </c>
      <c r="AG342" s="76">
        <v>31887</v>
      </c>
      <c r="AH342" s="76">
        <v>277756</v>
      </c>
      <c r="AI342" s="76">
        <v>431</v>
      </c>
      <c r="AJ342" s="76">
        <v>97782</v>
      </c>
      <c r="AK342" s="76">
        <v>21559</v>
      </c>
      <c r="AL342" s="76" t="b">
        <v>0</v>
      </c>
      <c r="AM342" s="78">
        <v>41553.342152777775</v>
      </c>
      <c r="AN342" s="76" t="s">
        <v>6630</v>
      </c>
      <c r="AO342" s="76" t="s">
        <v>6927</v>
      </c>
      <c r="AP342" s="82" t="str">
        <f>HYPERLINK("https://t.co/W0vnXeNA2h")</f>
        <v>https://t.co/W0vnXeNA2h</v>
      </c>
      <c r="AQ342" s="82" t="str">
        <f>HYPERLINK("http://www.intellisystem.it")</f>
        <v>http://www.intellisystem.it</v>
      </c>
      <c r="AR342" s="76" t="s">
        <v>7148</v>
      </c>
      <c r="AS342" s="76"/>
      <c r="AT342" s="76"/>
      <c r="AU342" s="76"/>
      <c r="AV342" s="76">
        <v>1.64654881263319E+18</v>
      </c>
      <c r="AW342" s="82" t="str">
        <f>HYPERLINK("https://t.co/W0vnXeNA2h")</f>
        <v>https://t.co/W0vnXeNA2h</v>
      </c>
      <c r="AX342" s="76" t="b">
        <v>0</v>
      </c>
      <c r="AY342" s="76"/>
      <c r="AZ342" s="76"/>
      <c r="BA342" s="76" t="b">
        <v>1</v>
      </c>
      <c r="BB342" s="76" t="b">
        <v>0</v>
      </c>
      <c r="BC342" s="76" t="b">
        <v>1</v>
      </c>
      <c r="BD342" s="76" t="b">
        <v>0</v>
      </c>
      <c r="BE342" s="76" t="b">
        <v>0</v>
      </c>
      <c r="BF342" s="76" t="b">
        <v>0</v>
      </c>
      <c r="BG342" s="76" t="b">
        <v>0</v>
      </c>
      <c r="BH342" s="82" t="str">
        <f>HYPERLINK("https://pbs.twimg.com/profile_banners/1940230142/1672136632")</f>
        <v>https://pbs.twimg.com/profile_banners/1940230142/1672136632</v>
      </c>
      <c r="BI342" s="76"/>
      <c r="BJ342" s="76" t="s">
        <v>7188</v>
      </c>
      <c r="BK342" s="76" t="b">
        <v>0</v>
      </c>
      <c r="BL342" s="76"/>
      <c r="BM342" s="76" t="s">
        <v>66</v>
      </c>
      <c r="BN342" s="76" t="s">
        <v>7190</v>
      </c>
      <c r="BO342" s="82" t="str">
        <f>HYPERLINK("https://twitter.com/c_randieri")</f>
        <v>https://twitter.com/c_randieri</v>
      </c>
      <c r="BP342" s="46" t="s">
        <v>7551</v>
      </c>
      <c r="BQ342" s="46" t="s">
        <v>7551</v>
      </c>
      <c r="BR342" s="46" t="s">
        <v>2000</v>
      </c>
      <c r="BS342" s="46" t="s">
        <v>2000</v>
      </c>
      <c r="BT342" s="46"/>
      <c r="BU342" s="46"/>
      <c r="BV342" s="105" t="s">
        <v>7966</v>
      </c>
      <c r="BW342" s="105" t="s">
        <v>7966</v>
      </c>
      <c r="BX342" s="105" t="s">
        <v>8197</v>
      </c>
      <c r="BY342" s="105" t="s">
        <v>8197</v>
      </c>
      <c r="BZ342" s="2"/>
    </row>
    <row r="343" spans="1:78" ht="15">
      <c r="A343" s="62" t="s">
        <v>415</v>
      </c>
      <c r="B343" s="63"/>
      <c r="C343" s="63"/>
      <c r="D343" s="64"/>
      <c r="E343" s="66"/>
      <c r="F343" s="100" t="str">
        <f>HYPERLINK("https://pbs.twimg.com/profile_images/753803909303377920/FV_g2JBZ_normal.jpg")</f>
        <v>https://pbs.twimg.com/profile_images/753803909303377920/FV_g2JBZ_normal.jpg</v>
      </c>
      <c r="G343" s="63"/>
      <c r="H343" s="67"/>
      <c r="I343" s="68"/>
      <c r="J343" s="68"/>
      <c r="K343" s="67" t="s">
        <v>7530</v>
      </c>
      <c r="L343" s="71"/>
      <c r="M343" s="72">
        <v>9408.3994140625</v>
      </c>
      <c r="N343" s="72">
        <v>3489.552734375</v>
      </c>
      <c r="O343" s="73"/>
      <c r="P343" s="74"/>
      <c r="Q343" s="74"/>
      <c r="R343" s="86"/>
      <c r="S343" s="46">
        <v>1</v>
      </c>
      <c r="T343" s="46">
        <v>1</v>
      </c>
      <c r="U343" s="47">
        <v>0</v>
      </c>
      <c r="V343" s="47">
        <v>0</v>
      </c>
      <c r="W343" s="47">
        <v>0</v>
      </c>
      <c r="X343" s="47">
        <v>0.002882</v>
      </c>
      <c r="Y343" s="47">
        <v>0</v>
      </c>
      <c r="Z343" s="47">
        <v>0</v>
      </c>
      <c r="AA343" s="69">
        <v>343</v>
      </c>
      <c r="AB343" s="69"/>
      <c r="AC343" s="70"/>
      <c r="AD343" s="76" t="s">
        <v>6198</v>
      </c>
      <c r="AE343" s="83" t="s">
        <v>5830</v>
      </c>
      <c r="AF343" s="76">
        <v>28</v>
      </c>
      <c r="AG343" s="76">
        <v>0</v>
      </c>
      <c r="AH343" s="76">
        <v>7330</v>
      </c>
      <c r="AI343" s="76">
        <v>0</v>
      </c>
      <c r="AJ343" s="76">
        <v>0</v>
      </c>
      <c r="AK343" s="76">
        <v>0</v>
      </c>
      <c r="AL343" s="76" t="b">
        <v>0</v>
      </c>
      <c r="AM343" s="78">
        <v>42487.50678240741</v>
      </c>
      <c r="AN343" s="76"/>
      <c r="AO343" s="76"/>
      <c r="AP343" s="76"/>
      <c r="AQ343" s="76"/>
      <c r="AR343" s="76"/>
      <c r="AS343" s="76"/>
      <c r="AT343" s="76"/>
      <c r="AU343" s="76"/>
      <c r="AV343" s="76"/>
      <c r="AW343" s="76"/>
      <c r="AX343" s="76" t="b">
        <v>0</v>
      </c>
      <c r="AY343" s="76"/>
      <c r="AZ343" s="76"/>
      <c r="BA343" s="76" t="b">
        <v>0</v>
      </c>
      <c r="BB343" s="76" t="b">
        <v>1</v>
      </c>
      <c r="BC343" s="76" t="b">
        <v>1</v>
      </c>
      <c r="BD343" s="76" t="b">
        <v>0</v>
      </c>
      <c r="BE343" s="76" t="b">
        <v>0</v>
      </c>
      <c r="BF343" s="76" t="b">
        <v>0</v>
      </c>
      <c r="BG343" s="76" t="b">
        <v>0</v>
      </c>
      <c r="BH343" s="82" t="str">
        <f>HYPERLINK("https://pbs.twimg.com/profile_banners/725295875287719936/1468555870")</f>
        <v>https://pbs.twimg.com/profile_banners/725295875287719936/1468555870</v>
      </c>
      <c r="BI343" s="76"/>
      <c r="BJ343" s="76" t="s">
        <v>7188</v>
      </c>
      <c r="BK343" s="76" t="b">
        <v>0</v>
      </c>
      <c r="BL343" s="76"/>
      <c r="BM343" s="76" t="s">
        <v>66</v>
      </c>
      <c r="BN343" s="76" t="s">
        <v>7190</v>
      </c>
      <c r="BO343" s="82" t="str">
        <f>HYPERLINK("https://twitter.com/exploremyjobs")</f>
        <v>https://twitter.com/exploremyjobs</v>
      </c>
      <c r="BP343" s="46" t="s">
        <v>7681</v>
      </c>
      <c r="BQ343" s="46" t="s">
        <v>7681</v>
      </c>
      <c r="BR343" s="46" t="s">
        <v>1988</v>
      </c>
      <c r="BS343" s="46" t="s">
        <v>1988</v>
      </c>
      <c r="BT343" s="46"/>
      <c r="BU343" s="46"/>
      <c r="BV343" s="105" t="s">
        <v>7967</v>
      </c>
      <c r="BW343" s="105" t="s">
        <v>7967</v>
      </c>
      <c r="BX343" s="105" t="s">
        <v>8198</v>
      </c>
      <c r="BY343" s="105" t="s">
        <v>8198</v>
      </c>
      <c r="BZ343" s="2"/>
    </row>
    <row r="344" spans="1:78" ht="15">
      <c r="A344" s="62" t="s">
        <v>416</v>
      </c>
      <c r="B344" s="63"/>
      <c r="C344" s="63"/>
      <c r="D344" s="64"/>
      <c r="E344" s="66"/>
      <c r="F344" s="100" t="str">
        <f>HYPERLINK("https://pbs.twimg.com/profile_images/1716218904102473728/hm74tMme_normal.jpg")</f>
        <v>https://pbs.twimg.com/profile_images/1716218904102473728/hm74tMme_normal.jpg</v>
      </c>
      <c r="G344" s="63"/>
      <c r="H344" s="67"/>
      <c r="I344" s="68"/>
      <c r="J344" s="68"/>
      <c r="K344" s="67" t="s">
        <v>7531</v>
      </c>
      <c r="L344" s="71"/>
      <c r="M344" s="72">
        <v>9435.0390625</v>
      </c>
      <c r="N344" s="72">
        <v>3652.353759765625</v>
      </c>
      <c r="O344" s="73"/>
      <c r="P344" s="74"/>
      <c r="Q344" s="74"/>
      <c r="R344" s="86"/>
      <c r="S344" s="46">
        <v>0</v>
      </c>
      <c r="T344" s="46">
        <v>2</v>
      </c>
      <c r="U344" s="47">
        <v>350</v>
      </c>
      <c r="V344" s="47">
        <v>0.215725</v>
      </c>
      <c r="W344" s="47">
        <v>0.062516</v>
      </c>
      <c r="X344" s="47">
        <v>0.002899</v>
      </c>
      <c r="Y344" s="47">
        <v>0</v>
      </c>
      <c r="Z344" s="47">
        <v>0</v>
      </c>
      <c r="AA344" s="69">
        <v>344</v>
      </c>
      <c r="AB344" s="69"/>
      <c r="AC344" s="70"/>
      <c r="AD344" s="76" t="s">
        <v>6199</v>
      </c>
      <c r="AE344" s="83" t="s">
        <v>6449</v>
      </c>
      <c r="AF344" s="76">
        <v>39149</v>
      </c>
      <c r="AG344" s="76">
        <v>27981</v>
      </c>
      <c r="AH344" s="76">
        <v>211874</v>
      </c>
      <c r="AI344" s="76">
        <v>299</v>
      </c>
      <c r="AJ344" s="76">
        <v>484302</v>
      </c>
      <c r="AK344" s="76">
        <v>15643</v>
      </c>
      <c r="AL344" s="76" t="b">
        <v>0</v>
      </c>
      <c r="AM344" s="78">
        <v>42201.86854166666</v>
      </c>
      <c r="AN344" s="76" t="s">
        <v>6631</v>
      </c>
      <c r="AO344" s="76" t="s">
        <v>6928</v>
      </c>
      <c r="AP344" s="82" t="str">
        <f>HYPERLINK("https://t.co/cCit7QvYOn")</f>
        <v>https://t.co/cCit7QvYOn</v>
      </c>
      <c r="AQ344" s="82" t="str">
        <f>HYPERLINK("https://open.spotify.com/artist/2LlKsdSC0WGBT4op0SM2M5?si=hup21XQWQmqF5rH196g9Yg")</f>
        <v>https://open.spotify.com/artist/2LlKsdSC0WGBT4op0SM2M5?si=hup21XQWQmqF5rH196g9Yg</v>
      </c>
      <c r="AR344" s="76" t="s">
        <v>7149</v>
      </c>
      <c r="AS344" s="82" t="str">
        <f>HYPERLINK("https://t.co/muhF4GwzKQ")</f>
        <v>https://t.co/muhF4GwzKQ</v>
      </c>
      <c r="AT344" s="82" t="str">
        <f>HYPERLINK("http://YouTube.com/wierg")</f>
        <v>http://YouTube.com/wierg</v>
      </c>
      <c r="AU344" s="76" t="s">
        <v>7187</v>
      </c>
      <c r="AV344" s="76">
        <v>1.73497573468943E+18</v>
      </c>
      <c r="AW344" s="82" t="str">
        <f>HYPERLINK("https://t.co/cCit7QvYOn")</f>
        <v>https://t.co/cCit7QvYOn</v>
      </c>
      <c r="AX344" s="76" t="b">
        <v>0</v>
      </c>
      <c r="AY344" s="76"/>
      <c r="AZ344" s="76"/>
      <c r="BA344" s="76" t="b">
        <v>1</v>
      </c>
      <c r="BB344" s="76" t="b">
        <v>0</v>
      </c>
      <c r="BC344" s="76" t="b">
        <v>0</v>
      </c>
      <c r="BD344" s="76" t="b">
        <v>0</v>
      </c>
      <c r="BE344" s="76" t="b">
        <v>1</v>
      </c>
      <c r="BF344" s="76" t="b">
        <v>0</v>
      </c>
      <c r="BG344" s="76" t="b">
        <v>0</v>
      </c>
      <c r="BH344" s="82" t="str">
        <f>HYPERLINK("https://pbs.twimg.com/profile_banners/3379407430/1691024672")</f>
        <v>https://pbs.twimg.com/profile_banners/3379407430/1691024672</v>
      </c>
      <c r="BI344" s="76"/>
      <c r="BJ344" s="76" t="s">
        <v>7188</v>
      </c>
      <c r="BK344" s="76" t="b">
        <v>0</v>
      </c>
      <c r="BL344" s="76"/>
      <c r="BM344" s="76" t="s">
        <v>66</v>
      </c>
      <c r="BN344" s="76" t="s">
        <v>7190</v>
      </c>
      <c r="BO344" s="82" t="str">
        <f>HYPERLINK("https://twitter.com/wiergeezy")</f>
        <v>https://twitter.com/wiergeezy</v>
      </c>
      <c r="BP344" s="46"/>
      <c r="BQ344" s="46"/>
      <c r="BR344" s="46"/>
      <c r="BS344" s="46"/>
      <c r="BT344" s="46"/>
      <c r="BU344" s="46"/>
      <c r="BV344" s="105" t="s">
        <v>7968</v>
      </c>
      <c r="BW344" s="105" t="s">
        <v>7968</v>
      </c>
      <c r="BX344" s="105" t="s">
        <v>8199</v>
      </c>
      <c r="BY344" s="105" t="s">
        <v>8199</v>
      </c>
      <c r="BZ344" s="2"/>
    </row>
    <row r="345" spans="1:78" ht="15">
      <c r="A345" s="62" t="s">
        <v>569</v>
      </c>
      <c r="B345" s="63"/>
      <c r="C345" s="63"/>
      <c r="D345" s="64"/>
      <c r="E345" s="66"/>
      <c r="F345" s="100" t="str">
        <f>HYPERLINK("https://pbs.twimg.com/profile_images/997912834230112256/KJFL3PaV_normal.jpg")</f>
        <v>https://pbs.twimg.com/profile_images/997912834230112256/KJFL3PaV_normal.jpg</v>
      </c>
      <c r="G345" s="63"/>
      <c r="H345" s="67"/>
      <c r="I345" s="68"/>
      <c r="J345" s="68"/>
      <c r="K345" s="67" t="s">
        <v>7532</v>
      </c>
      <c r="L345" s="71"/>
      <c r="M345" s="72">
        <v>9461.6787109375</v>
      </c>
      <c r="N345" s="72">
        <v>3816.901611328125</v>
      </c>
      <c r="O345" s="73"/>
      <c r="P345" s="74"/>
      <c r="Q345" s="74"/>
      <c r="R345" s="86"/>
      <c r="S345" s="46">
        <v>1</v>
      </c>
      <c r="T345" s="46">
        <v>0</v>
      </c>
      <c r="U345" s="47">
        <v>0</v>
      </c>
      <c r="V345" s="47">
        <v>0.151739</v>
      </c>
      <c r="W345" s="47">
        <v>0.005535</v>
      </c>
      <c r="X345" s="47">
        <v>0.002667</v>
      </c>
      <c r="Y345" s="47">
        <v>0</v>
      </c>
      <c r="Z345" s="47">
        <v>0</v>
      </c>
      <c r="AA345" s="69">
        <v>345</v>
      </c>
      <c r="AB345" s="69"/>
      <c r="AC345" s="70"/>
      <c r="AD345" s="76" t="s">
        <v>6200</v>
      </c>
      <c r="AE345" s="83" t="s">
        <v>6450</v>
      </c>
      <c r="AF345" s="76">
        <v>54730</v>
      </c>
      <c r="AG345" s="76">
        <v>55006</v>
      </c>
      <c r="AH345" s="76">
        <v>1977</v>
      </c>
      <c r="AI345" s="76">
        <v>380</v>
      </c>
      <c r="AJ345" s="76">
        <v>1120</v>
      </c>
      <c r="AK345" s="76">
        <v>355</v>
      </c>
      <c r="AL345" s="76" t="b">
        <v>0</v>
      </c>
      <c r="AM345" s="78">
        <v>42318.57802083333</v>
      </c>
      <c r="AN345" s="76" t="s">
        <v>6632</v>
      </c>
      <c r="AO345" s="76" t="s">
        <v>6929</v>
      </c>
      <c r="AP345" s="82" t="str">
        <f>HYPERLINK("https://t.co/2KUhELOvdJ")</f>
        <v>https://t.co/2KUhELOvdJ</v>
      </c>
      <c r="AQ345" s="82" t="str">
        <f>HYPERLINK("http://www.pnburrows.com")</f>
        <v>http://www.pnburrows.com</v>
      </c>
      <c r="AR345" s="76" t="s">
        <v>7150</v>
      </c>
      <c r="AS345" s="76"/>
      <c r="AT345" s="76"/>
      <c r="AU345" s="76"/>
      <c r="AV345" s="76">
        <v>1.57612093408765E+18</v>
      </c>
      <c r="AW345" s="82" t="str">
        <f>HYPERLINK("https://t.co/2KUhELOvdJ")</f>
        <v>https://t.co/2KUhELOvdJ</v>
      </c>
      <c r="AX345" s="76" t="b">
        <v>0</v>
      </c>
      <c r="AY345" s="76"/>
      <c r="AZ345" s="76"/>
      <c r="BA345" s="76" t="b">
        <v>0</v>
      </c>
      <c r="BB345" s="76" t="b">
        <v>1</v>
      </c>
      <c r="BC345" s="76" t="b">
        <v>1</v>
      </c>
      <c r="BD345" s="76" t="b">
        <v>0</v>
      </c>
      <c r="BE345" s="76" t="b">
        <v>1</v>
      </c>
      <c r="BF345" s="76" t="b">
        <v>0</v>
      </c>
      <c r="BG345" s="76" t="b">
        <v>0</v>
      </c>
      <c r="BH345" s="82" t="str">
        <f>HYPERLINK("https://pbs.twimg.com/profile_banners/4156887100/1655983496")</f>
        <v>https://pbs.twimg.com/profile_banners/4156887100/1655983496</v>
      </c>
      <c r="BI345" s="76"/>
      <c r="BJ345" s="76" t="s">
        <v>7188</v>
      </c>
      <c r="BK345" s="76" t="b">
        <v>0</v>
      </c>
      <c r="BL345" s="76"/>
      <c r="BM345" s="76" t="s">
        <v>65</v>
      </c>
      <c r="BN345" s="76" t="s">
        <v>7190</v>
      </c>
      <c r="BO345" s="82" t="str">
        <f>HYPERLINK("https://twitter.com/pnburrows")</f>
        <v>https://twitter.com/pnburrows</v>
      </c>
      <c r="BP345" s="46"/>
      <c r="BQ345" s="46"/>
      <c r="BR345" s="46"/>
      <c r="BS345" s="46"/>
      <c r="BT345" s="46"/>
      <c r="BU345" s="46"/>
      <c r="BV345" s="46"/>
      <c r="BW345" s="46"/>
      <c r="BX345" s="46"/>
      <c r="BY345" s="46"/>
      <c r="BZ345" s="2"/>
    </row>
    <row r="346" spans="1:78" ht="15">
      <c r="A346" s="62" t="s">
        <v>417</v>
      </c>
      <c r="B346" s="63"/>
      <c r="C346" s="63"/>
      <c r="D346" s="64"/>
      <c r="E346" s="66"/>
      <c r="F346" s="100" t="str">
        <f>HYPERLINK("https://pbs.twimg.com/profile_images/1393883122/Fvc_ptrabajos_H_normal.jpg")</f>
        <v>https://pbs.twimg.com/profile_images/1393883122/Fvc_ptrabajos_H_normal.jpg</v>
      </c>
      <c r="G346" s="63"/>
      <c r="H346" s="67"/>
      <c r="I346" s="68"/>
      <c r="J346" s="68"/>
      <c r="K346" s="67" t="s">
        <v>7533</v>
      </c>
      <c r="L346" s="71"/>
      <c r="M346" s="72">
        <v>9480.814453125</v>
      </c>
      <c r="N346" s="72">
        <v>3982.982666015625</v>
      </c>
      <c r="O346" s="73"/>
      <c r="P346" s="74"/>
      <c r="Q346" s="74"/>
      <c r="R346" s="86"/>
      <c r="S346" s="46">
        <v>1</v>
      </c>
      <c r="T346" s="46">
        <v>1</v>
      </c>
      <c r="U346" s="47">
        <v>0</v>
      </c>
      <c r="V346" s="47">
        <v>0</v>
      </c>
      <c r="W346" s="47">
        <v>0</v>
      </c>
      <c r="X346" s="47">
        <v>0.002882</v>
      </c>
      <c r="Y346" s="47">
        <v>0</v>
      </c>
      <c r="Z346" s="47">
        <v>0</v>
      </c>
      <c r="AA346" s="69">
        <v>346</v>
      </c>
      <c r="AB346" s="69"/>
      <c r="AC346" s="70"/>
      <c r="AD346" s="76" t="s">
        <v>6201</v>
      </c>
      <c r="AE346" s="83" t="s">
        <v>6451</v>
      </c>
      <c r="AF346" s="76">
        <v>5</v>
      </c>
      <c r="AG346" s="76">
        <v>1</v>
      </c>
      <c r="AH346" s="76">
        <v>275</v>
      </c>
      <c r="AI346" s="76">
        <v>2</v>
      </c>
      <c r="AJ346" s="76">
        <v>0</v>
      </c>
      <c r="AK346" s="76">
        <v>0</v>
      </c>
      <c r="AL346" s="76" t="b">
        <v>0</v>
      </c>
      <c r="AM346" s="78">
        <v>40707.417916666665</v>
      </c>
      <c r="AN346" s="76" t="s">
        <v>3889</v>
      </c>
      <c r="AO346" s="76" t="s">
        <v>6930</v>
      </c>
      <c r="AP346" s="82" t="str">
        <f>HYPERLINK("http://t.co/rW4awGV3ze")</f>
        <v>http://t.co/rW4awGV3ze</v>
      </c>
      <c r="AQ346" s="82" t="str">
        <f>HYPERLINK("http://jobs.posot.in")</f>
        <v>http://jobs.posot.in</v>
      </c>
      <c r="AR346" s="76" t="s">
        <v>7151</v>
      </c>
      <c r="AS346" s="76"/>
      <c r="AT346" s="76"/>
      <c r="AU346" s="76"/>
      <c r="AV346" s="76"/>
      <c r="AW346" s="82" t="str">
        <f>HYPERLINK("http://t.co/rW4awGV3ze")</f>
        <v>http://t.co/rW4awGV3ze</v>
      </c>
      <c r="AX346" s="76" t="b">
        <v>0</v>
      </c>
      <c r="AY346" s="76"/>
      <c r="AZ346" s="76"/>
      <c r="BA346" s="76" t="b">
        <v>0</v>
      </c>
      <c r="BB346" s="76" t="b">
        <v>1</v>
      </c>
      <c r="BC346" s="76" t="b">
        <v>1</v>
      </c>
      <c r="BD346" s="76" t="b">
        <v>0</v>
      </c>
      <c r="BE346" s="76" t="b">
        <v>0</v>
      </c>
      <c r="BF346" s="76" t="b">
        <v>0</v>
      </c>
      <c r="BG346" s="76" t="b">
        <v>0</v>
      </c>
      <c r="BH346" s="76"/>
      <c r="BI346" s="76"/>
      <c r="BJ346" s="76" t="s">
        <v>7188</v>
      </c>
      <c r="BK346" s="76" t="b">
        <v>0</v>
      </c>
      <c r="BL346" s="76"/>
      <c r="BM346" s="76" t="s">
        <v>66</v>
      </c>
      <c r="BN346" s="76" t="s">
        <v>7190</v>
      </c>
      <c r="BO346" s="82" t="str">
        <f>HYPERLINK("https://twitter.com/jobsposot_in")</f>
        <v>https://twitter.com/jobsposot_in</v>
      </c>
      <c r="BP346" s="46"/>
      <c r="BQ346" s="46"/>
      <c r="BR346" s="46"/>
      <c r="BS346" s="46"/>
      <c r="BT346" s="46"/>
      <c r="BU346" s="46"/>
      <c r="BV346" s="105" t="s">
        <v>7969</v>
      </c>
      <c r="BW346" s="105" t="s">
        <v>7969</v>
      </c>
      <c r="BX346" s="105" t="s">
        <v>8200</v>
      </c>
      <c r="BY346" s="105" t="s">
        <v>8200</v>
      </c>
      <c r="BZ346" s="2"/>
    </row>
    <row r="347" spans="1:78" ht="15">
      <c r="A347" s="62" t="s">
        <v>418</v>
      </c>
      <c r="B347" s="63"/>
      <c r="C347" s="63"/>
      <c r="D347" s="64"/>
      <c r="E347" s="66"/>
      <c r="F347" s="100" t="str">
        <f>HYPERLINK("https://abs.twimg.com/sticky/default_profile_images/default_profile_normal.png")</f>
        <v>https://abs.twimg.com/sticky/default_profile_images/default_profile_normal.png</v>
      </c>
      <c r="G347" s="63"/>
      <c r="H347" s="67"/>
      <c r="I347" s="68"/>
      <c r="J347" s="68"/>
      <c r="K347" s="67" t="s">
        <v>7534</v>
      </c>
      <c r="L347" s="71"/>
      <c r="M347" s="72">
        <v>9480.814453125</v>
      </c>
      <c r="N347" s="72">
        <v>4150.38037109375</v>
      </c>
      <c r="O347" s="73"/>
      <c r="P347" s="74"/>
      <c r="Q347" s="74"/>
      <c r="R347" s="86"/>
      <c r="S347" s="46">
        <v>0</v>
      </c>
      <c r="T347" s="46">
        <v>1</v>
      </c>
      <c r="U347" s="47">
        <v>0</v>
      </c>
      <c r="V347" s="47">
        <v>0.003854</v>
      </c>
      <c r="W347" s="47">
        <v>0</v>
      </c>
      <c r="X347" s="47">
        <v>0.002694</v>
      </c>
      <c r="Y347" s="47">
        <v>0</v>
      </c>
      <c r="Z347" s="47">
        <v>0</v>
      </c>
      <c r="AA347" s="69">
        <v>347</v>
      </c>
      <c r="AB347" s="69"/>
      <c r="AC347" s="70"/>
      <c r="AD347" s="76" t="s">
        <v>6202</v>
      </c>
      <c r="AE347" s="83" t="s">
        <v>6452</v>
      </c>
      <c r="AF347" s="76">
        <v>6</v>
      </c>
      <c r="AG347" s="76">
        <v>1</v>
      </c>
      <c r="AH347" s="76">
        <v>5</v>
      </c>
      <c r="AI347" s="76">
        <v>0</v>
      </c>
      <c r="AJ347" s="76">
        <v>0</v>
      </c>
      <c r="AK347" s="76">
        <v>0</v>
      </c>
      <c r="AL347" s="76" t="b">
        <v>0</v>
      </c>
      <c r="AM347" s="78">
        <v>41249.38358796296</v>
      </c>
      <c r="AN347" s="76"/>
      <c r="AO347" s="76"/>
      <c r="AP347" s="76"/>
      <c r="AQ347" s="76"/>
      <c r="AR347" s="76"/>
      <c r="AS347" s="76"/>
      <c r="AT347" s="76"/>
      <c r="AU347" s="76"/>
      <c r="AV347" s="76"/>
      <c r="AW347" s="76"/>
      <c r="AX347" s="76" t="b">
        <v>0</v>
      </c>
      <c r="AY347" s="76"/>
      <c r="AZ347" s="76"/>
      <c r="BA347" s="76" t="b">
        <v>0</v>
      </c>
      <c r="BB347" s="76" t="b">
        <v>1</v>
      </c>
      <c r="BC347" s="76" t="b">
        <v>1</v>
      </c>
      <c r="BD347" s="76" t="b">
        <v>1</v>
      </c>
      <c r="BE347" s="76" t="b">
        <v>0</v>
      </c>
      <c r="BF347" s="76" t="b">
        <v>0</v>
      </c>
      <c r="BG347" s="76" t="b">
        <v>0</v>
      </c>
      <c r="BH347" s="76"/>
      <c r="BI347" s="76"/>
      <c r="BJ347" s="76" t="s">
        <v>7188</v>
      </c>
      <c r="BK347" s="76" t="b">
        <v>0</v>
      </c>
      <c r="BL347" s="76"/>
      <c r="BM347" s="76" t="s">
        <v>66</v>
      </c>
      <c r="BN347" s="76" t="s">
        <v>7190</v>
      </c>
      <c r="BO347" s="82" t="str">
        <f>HYPERLINK("https://twitter.com/srikanth55557")</f>
        <v>https://twitter.com/srikanth55557</v>
      </c>
      <c r="BP347" s="46" t="s">
        <v>7682</v>
      </c>
      <c r="BQ347" s="46" t="s">
        <v>7706</v>
      </c>
      <c r="BR347" s="46" t="s">
        <v>2017</v>
      </c>
      <c r="BS347" s="46" t="s">
        <v>2017</v>
      </c>
      <c r="BT347" s="46"/>
      <c r="BU347" s="46"/>
      <c r="BV347" s="105" t="s">
        <v>7970</v>
      </c>
      <c r="BW347" s="105" t="s">
        <v>7970</v>
      </c>
      <c r="BX347" s="105" t="s">
        <v>8201</v>
      </c>
      <c r="BY347" s="105" t="s">
        <v>8201</v>
      </c>
      <c r="BZ347" s="2"/>
    </row>
    <row r="348" spans="1:78" ht="15">
      <c r="A348" s="62" t="s">
        <v>419</v>
      </c>
      <c r="B348" s="63"/>
      <c r="C348" s="63"/>
      <c r="D348" s="64"/>
      <c r="E348" s="66"/>
      <c r="F348" s="100" t="str">
        <f>HYPERLINK("https://pbs.twimg.com/profile_images/1628238679276720129/_9dZ4oRa_normal.jpg")</f>
        <v>https://pbs.twimg.com/profile_images/1628238679276720129/_9dZ4oRa_normal.jpg</v>
      </c>
      <c r="G348" s="63"/>
      <c r="H348" s="67"/>
      <c r="I348" s="68"/>
      <c r="J348" s="68"/>
      <c r="K348" s="67" t="s">
        <v>7535</v>
      </c>
      <c r="L348" s="71"/>
      <c r="M348" s="72">
        <v>9480.814453125</v>
      </c>
      <c r="N348" s="72">
        <v>4318.8798828125</v>
      </c>
      <c r="O348" s="73"/>
      <c r="P348" s="74"/>
      <c r="Q348" s="74"/>
      <c r="R348" s="86"/>
      <c r="S348" s="46">
        <v>0</v>
      </c>
      <c r="T348" s="46">
        <v>1</v>
      </c>
      <c r="U348" s="47">
        <v>0</v>
      </c>
      <c r="V348" s="47">
        <v>0.00289</v>
      </c>
      <c r="W348" s="47">
        <v>0</v>
      </c>
      <c r="X348" s="47">
        <v>0.002882</v>
      </c>
      <c r="Y348" s="47">
        <v>0</v>
      </c>
      <c r="Z348" s="47">
        <v>0</v>
      </c>
      <c r="AA348" s="69">
        <v>348</v>
      </c>
      <c r="AB348" s="69"/>
      <c r="AC348" s="70"/>
      <c r="AD348" s="76" t="s">
        <v>6203</v>
      </c>
      <c r="AE348" s="83" t="s">
        <v>6453</v>
      </c>
      <c r="AF348" s="76">
        <v>2942</v>
      </c>
      <c r="AG348" s="76">
        <v>4995</v>
      </c>
      <c r="AH348" s="76">
        <v>77375</v>
      </c>
      <c r="AI348" s="76">
        <v>117</v>
      </c>
      <c r="AJ348" s="76">
        <v>13329</v>
      </c>
      <c r="AK348" s="76">
        <v>3029</v>
      </c>
      <c r="AL348" s="76" t="b">
        <v>0</v>
      </c>
      <c r="AM348" s="78">
        <v>39751.17212962963</v>
      </c>
      <c r="AN348" s="76" t="s">
        <v>6633</v>
      </c>
      <c r="AO348" s="76" t="s">
        <v>6931</v>
      </c>
      <c r="AP348" s="82" t="str">
        <f>HYPERLINK("https://t.co/ctF56YJzux")</f>
        <v>https://t.co/ctF56YJzux</v>
      </c>
      <c r="AQ348" s="82" t="str">
        <f>HYPERLINK("http://www.LexKuhne.com")</f>
        <v>http://www.LexKuhne.com</v>
      </c>
      <c r="AR348" s="76" t="s">
        <v>7152</v>
      </c>
      <c r="AS348" s="76"/>
      <c r="AT348" s="76"/>
      <c r="AU348" s="76"/>
      <c r="AV348" s="76">
        <v>1.62380094491064E+18</v>
      </c>
      <c r="AW348" s="82" t="str">
        <f>HYPERLINK("https://t.co/ctF56YJzux")</f>
        <v>https://t.co/ctF56YJzux</v>
      </c>
      <c r="AX348" s="76" t="b">
        <v>0</v>
      </c>
      <c r="AY348" s="76"/>
      <c r="AZ348" s="76"/>
      <c r="BA348" s="76" t="b">
        <v>0</v>
      </c>
      <c r="BB348" s="76" t="b">
        <v>0</v>
      </c>
      <c r="BC348" s="76" t="b">
        <v>0</v>
      </c>
      <c r="BD348" s="76" t="b">
        <v>0</v>
      </c>
      <c r="BE348" s="76" t="b">
        <v>1</v>
      </c>
      <c r="BF348" s="76" t="b">
        <v>0</v>
      </c>
      <c r="BG348" s="76" t="b">
        <v>0</v>
      </c>
      <c r="BH348" s="82" t="str">
        <f>HYPERLINK("https://pbs.twimg.com/profile_banners/17059769/1682352688")</f>
        <v>https://pbs.twimg.com/profile_banners/17059769/1682352688</v>
      </c>
      <c r="BI348" s="76"/>
      <c r="BJ348" s="76" t="s">
        <v>7188</v>
      </c>
      <c r="BK348" s="76" t="b">
        <v>0</v>
      </c>
      <c r="BL348" s="76"/>
      <c r="BM348" s="76" t="s">
        <v>66</v>
      </c>
      <c r="BN348" s="76" t="s">
        <v>7190</v>
      </c>
      <c r="BO348" s="82" t="str">
        <f>HYPERLINK("https://twitter.com/lexkuhne")</f>
        <v>https://twitter.com/lexkuhne</v>
      </c>
      <c r="BP348" s="46"/>
      <c r="BQ348" s="46"/>
      <c r="BR348" s="46"/>
      <c r="BS348" s="46"/>
      <c r="BT348" s="46"/>
      <c r="BU348" s="46"/>
      <c r="BV348" s="105" t="s">
        <v>7971</v>
      </c>
      <c r="BW348" s="105" t="s">
        <v>7971</v>
      </c>
      <c r="BX348" s="105" t="s">
        <v>8202</v>
      </c>
      <c r="BY348" s="105" t="s">
        <v>8202</v>
      </c>
      <c r="BZ348" s="2"/>
    </row>
    <row r="349" spans="1:78" ht="15">
      <c r="A349" s="87" t="s">
        <v>570</v>
      </c>
      <c r="B349" s="88"/>
      <c r="C349" s="88"/>
      <c r="D349" s="89"/>
      <c r="E349" s="90"/>
      <c r="F349" s="101" t="str">
        <f>HYPERLINK("https://pbs.twimg.com/profile_images/1170690523201527808/FriNRiir_normal.png")</f>
        <v>https://pbs.twimg.com/profile_images/1170690523201527808/FriNRiir_normal.png</v>
      </c>
      <c r="G349" s="88"/>
      <c r="H349" s="91"/>
      <c r="I349" s="92"/>
      <c r="J349" s="92"/>
      <c r="K349" s="91" t="s">
        <v>7536</v>
      </c>
      <c r="L349" s="93"/>
      <c r="M349" s="94">
        <v>9480.814453125</v>
      </c>
      <c r="N349" s="94">
        <v>4488.26123046875</v>
      </c>
      <c r="O349" s="95"/>
      <c r="P349" s="96"/>
      <c r="Q349" s="96"/>
      <c r="R349" s="97"/>
      <c r="S349" s="46">
        <v>1</v>
      </c>
      <c r="T349" s="46">
        <v>0</v>
      </c>
      <c r="U349" s="47">
        <v>0</v>
      </c>
      <c r="V349" s="47">
        <v>0.00289</v>
      </c>
      <c r="W349" s="47">
        <v>0</v>
      </c>
      <c r="X349" s="47">
        <v>0.002882</v>
      </c>
      <c r="Y349" s="47">
        <v>0</v>
      </c>
      <c r="Z349" s="47">
        <v>0</v>
      </c>
      <c r="AA349" s="98">
        <v>349</v>
      </c>
      <c r="AB349" s="98"/>
      <c r="AC349" s="99"/>
      <c r="AD349" s="76" t="s">
        <v>6204</v>
      </c>
      <c r="AE349" s="83" t="s">
        <v>5772</v>
      </c>
      <c r="AF349" s="76">
        <v>49269213</v>
      </c>
      <c r="AG349" s="76">
        <v>391</v>
      </c>
      <c r="AH349" s="76">
        <v>142196</v>
      </c>
      <c r="AI349" s="76">
        <v>61169</v>
      </c>
      <c r="AJ349" s="76">
        <v>3697</v>
      </c>
      <c r="AK349" s="76">
        <v>52375</v>
      </c>
      <c r="AL349" s="76" t="b">
        <v>0</v>
      </c>
      <c r="AM349" s="78">
        <v>39168.86546296296</v>
      </c>
      <c r="AN349" s="76"/>
      <c r="AO349" s="76" t="s">
        <v>6932</v>
      </c>
      <c r="AP349" s="82" t="str">
        <f>HYPERLINK("https://t.co/Xtyxd609Vb")</f>
        <v>https://t.co/Xtyxd609Vb</v>
      </c>
      <c r="AQ349" s="82" t="str">
        <f>HYPERLINK("http://espn.com")</f>
        <v>http://espn.com</v>
      </c>
      <c r="AR349" s="76" t="s">
        <v>7153</v>
      </c>
      <c r="AS349" s="76"/>
      <c r="AT349" s="76"/>
      <c r="AU349" s="76"/>
      <c r="AV349" s="76"/>
      <c r="AW349" s="82" t="str">
        <f>HYPERLINK("https://t.co/Xtyxd609Vb")</f>
        <v>https://t.co/Xtyxd609Vb</v>
      </c>
      <c r="AX349" s="76" t="b">
        <v>1</v>
      </c>
      <c r="AY349" s="76"/>
      <c r="AZ349" s="76"/>
      <c r="BA349" s="76" t="b">
        <v>0</v>
      </c>
      <c r="BB349" s="76" t="b">
        <v>1</v>
      </c>
      <c r="BC349" s="76" t="b">
        <v>0</v>
      </c>
      <c r="BD349" s="76" t="b">
        <v>0</v>
      </c>
      <c r="BE349" s="76" t="b">
        <v>1</v>
      </c>
      <c r="BF349" s="76" t="b">
        <v>0</v>
      </c>
      <c r="BG349" s="76" t="b">
        <v>0</v>
      </c>
      <c r="BH349" s="82" t="str">
        <f>HYPERLINK("https://pbs.twimg.com/profile_banners/2557521/1688054677")</f>
        <v>https://pbs.twimg.com/profile_banners/2557521/1688054677</v>
      </c>
      <c r="BI349" s="76"/>
      <c r="BJ349" s="76" t="s">
        <v>7189</v>
      </c>
      <c r="BK349" s="76" t="b">
        <v>0</v>
      </c>
      <c r="BL349" s="76"/>
      <c r="BM349" s="76" t="s">
        <v>65</v>
      </c>
      <c r="BN349" s="76" t="s">
        <v>7190</v>
      </c>
      <c r="BO349" s="82" t="str">
        <f>HYPERLINK("https://twitter.com/espn")</f>
        <v>https://twitter.com/espn</v>
      </c>
      <c r="BP349" s="46"/>
      <c r="BQ349" s="46"/>
      <c r="BR349" s="46"/>
      <c r="BS349" s="46"/>
      <c r="BT349" s="46"/>
      <c r="BU349" s="46"/>
      <c r="BV349" s="46"/>
      <c r="BW349" s="46"/>
      <c r="BX349" s="46"/>
      <c r="BY349" s="46"/>
      <c r="BZ349" s="2"/>
    </row>
    <row r="350" spans="1:78" ht="15">
      <c r="A350" s="62" t="s">
        <v>2061</v>
      </c>
      <c r="B350" s="63"/>
      <c r="C350" s="63"/>
      <c r="D350" s="64"/>
      <c r="E350" s="66"/>
      <c r="F350" s="100" t="str">
        <f>HYPERLINK("https://pbs.twimg.com/profile_images/1427292844612595720/RC1YSvuT_normal.jpg")</f>
        <v>https://pbs.twimg.com/profile_images/1427292844612595720/RC1YSvuT_normal.jpg</v>
      </c>
      <c r="G350" s="63" t="s">
        <v>51</v>
      </c>
      <c r="H350" s="67"/>
      <c r="I350" s="68"/>
      <c r="J350" s="68"/>
      <c r="K350" s="67" t="s">
        <v>7537</v>
      </c>
      <c r="L350" s="71"/>
      <c r="M350" s="72">
        <v>9480.814453125</v>
      </c>
      <c r="N350" s="72">
        <v>4658.3056640625</v>
      </c>
      <c r="O350" s="73"/>
      <c r="P350" s="74"/>
      <c r="Q350" s="74"/>
      <c r="R350" s="86"/>
      <c r="S350" s="46">
        <v>0</v>
      </c>
      <c r="T350" s="46">
        <v>0</v>
      </c>
      <c r="U350" s="47">
        <v>0</v>
      </c>
      <c r="V350" s="47">
        <v>0</v>
      </c>
      <c r="W350" s="47">
        <v>0</v>
      </c>
      <c r="X350" s="47">
        <v>0</v>
      </c>
      <c r="Y350" s="47">
        <v>0</v>
      </c>
      <c r="Z350" s="47">
        <v>0</v>
      </c>
      <c r="AA350" s="69">
        <v>350</v>
      </c>
      <c r="AB350" s="69"/>
      <c r="AC350" s="70"/>
      <c r="AD350" s="76" t="s">
        <v>6205</v>
      </c>
      <c r="AE350" s="83" t="s">
        <v>6454</v>
      </c>
      <c r="AF350" s="76">
        <v>79684121</v>
      </c>
      <c r="AG350" s="76">
        <v>1176</v>
      </c>
      <c r="AH350" s="76">
        <v>57320</v>
      </c>
      <c r="AI350" s="76">
        <v>79742</v>
      </c>
      <c r="AJ350" s="76">
        <v>6183</v>
      </c>
      <c r="AK350" s="76">
        <v>15747</v>
      </c>
      <c r="AL350" s="76" t="b">
        <v>0</v>
      </c>
      <c r="AM350" s="78">
        <v>39399.90539351852</v>
      </c>
      <c r="AN350" s="76" t="s">
        <v>6634</v>
      </c>
      <c r="AO350" s="76" t="s">
        <v>6933</v>
      </c>
      <c r="AP350" s="82" t="str">
        <f>HYPERLINK("https://t.co/bUisN3Y1A6")</f>
        <v>https://t.co/bUisN3Y1A6</v>
      </c>
      <c r="AQ350" s="82" t="str">
        <f>HYPERLINK("http://youtube.com")</f>
        <v>http://youtube.com</v>
      </c>
      <c r="AR350" s="76" t="s">
        <v>2050</v>
      </c>
      <c r="AS350" s="76"/>
      <c r="AT350" s="76"/>
      <c r="AU350" s="76"/>
      <c r="AV350" s="76"/>
      <c r="AW350" s="82" t="str">
        <f>HYPERLINK("https://t.co/bUisN3Y1A6")</f>
        <v>https://t.co/bUisN3Y1A6</v>
      </c>
      <c r="AX350" s="76" t="b">
        <v>1</v>
      </c>
      <c r="AY350" s="76"/>
      <c r="AZ350" s="76"/>
      <c r="BA350" s="76" t="b">
        <v>0</v>
      </c>
      <c r="BB350" s="76" t="b">
        <v>1</v>
      </c>
      <c r="BC350" s="76" t="b">
        <v>0</v>
      </c>
      <c r="BD350" s="76" t="b">
        <v>0</v>
      </c>
      <c r="BE350" s="76" t="b">
        <v>1</v>
      </c>
      <c r="BF350" s="76" t="b">
        <v>0</v>
      </c>
      <c r="BG350" s="76" t="b">
        <v>0</v>
      </c>
      <c r="BH350" s="82" t="str">
        <f>HYPERLINK("https://pbs.twimg.com/profile_banners/10228272/1697646656")</f>
        <v>https://pbs.twimg.com/profile_banners/10228272/1697646656</v>
      </c>
      <c r="BI350" s="76"/>
      <c r="BJ350" s="76" t="s">
        <v>7189</v>
      </c>
      <c r="BK350" s="76" t="b">
        <v>0</v>
      </c>
      <c r="BL350" s="76"/>
      <c r="BM350" s="76" t="s">
        <v>65</v>
      </c>
      <c r="BN350" s="76" t="s">
        <v>7190</v>
      </c>
      <c r="BO350" s="82" t="str">
        <f>HYPERLINK("https://twitter.com/youtube")</f>
        <v>https://twitter.com/youtube</v>
      </c>
      <c r="BP350" s="46"/>
      <c r="BQ350" s="46"/>
      <c r="BR350" s="46"/>
      <c r="BS350" s="46"/>
      <c r="BT350" s="46"/>
      <c r="BU350" s="46"/>
      <c r="BV350" s="46"/>
      <c r="BW350" s="46"/>
      <c r="BX350" s="46"/>
      <c r="BY350" s="46"/>
      <c r="BZ350" s="2"/>
    </row>
    <row r="351" spans="1:78" ht="15">
      <c r="A351" s="87" t="s">
        <v>2081</v>
      </c>
      <c r="B351" s="88"/>
      <c r="C351" s="88"/>
      <c r="D351" s="89"/>
      <c r="E351" s="90"/>
      <c r="F351" s="101" t="str">
        <f>HYPERLINK("https://pbs.twimg.com/profile_images/1728300666626408448/Uw05SmMj_normal.jpg")</f>
        <v>https://pbs.twimg.com/profile_images/1728300666626408448/Uw05SmMj_normal.jpg</v>
      </c>
      <c r="G351" s="88" t="s">
        <v>51</v>
      </c>
      <c r="H351" s="91"/>
      <c r="I351" s="92"/>
      <c r="J351" s="92"/>
      <c r="K351" s="91" t="s">
        <v>7538</v>
      </c>
      <c r="L351" s="93"/>
      <c r="M351" s="94">
        <v>9480.814453125</v>
      </c>
      <c r="N351" s="94">
        <v>4828.79248046875</v>
      </c>
      <c r="O351" s="95"/>
      <c r="P351" s="96"/>
      <c r="Q351" s="96"/>
      <c r="R351" s="97"/>
      <c r="S351" s="46">
        <v>0</v>
      </c>
      <c r="T351" s="46">
        <v>0</v>
      </c>
      <c r="U351" s="47">
        <v>0</v>
      </c>
      <c r="V351" s="47">
        <v>0</v>
      </c>
      <c r="W351" s="47">
        <v>0</v>
      </c>
      <c r="X351" s="47">
        <v>0</v>
      </c>
      <c r="Y351" s="47">
        <v>0</v>
      </c>
      <c r="Z351" s="47">
        <v>0</v>
      </c>
      <c r="AA351" s="98">
        <v>351</v>
      </c>
      <c r="AB351" s="98"/>
      <c r="AC351" s="99"/>
      <c r="AD351" s="76" t="s">
        <v>6206</v>
      </c>
      <c r="AE351" s="83" t="s">
        <v>6455</v>
      </c>
      <c r="AF351" s="76">
        <v>650</v>
      </c>
      <c r="AG351" s="76">
        <v>32</v>
      </c>
      <c r="AH351" s="76">
        <v>12303</v>
      </c>
      <c r="AI351" s="76">
        <v>0</v>
      </c>
      <c r="AJ351" s="76">
        <v>15608</v>
      </c>
      <c r="AK351" s="76">
        <v>1</v>
      </c>
      <c r="AL351" s="76" t="b">
        <v>0</v>
      </c>
      <c r="AM351" s="78">
        <v>43096.88863425926</v>
      </c>
      <c r="AN351" s="76" t="s">
        <v>6206</v>
      </c>
      <c r="AO351" s="76" t="s">
        <v>6934</v>
      </c>
      <c r="AP351" s="76"/>
      <c r="AQ351" s="76"/>
      <c r="AR351" s="76"/>
      <c r="AS351" s="76"/>
      <c r="AT351" s="76"/>
      <c r="AU351" s="76"/>
      <c r="AV351" s="76"/>
      <c r="AW351" s="76"/>
      <c r="AX351" s="76" t="b">
        <v>0</v>
      </c>
      <c r="AY351" s="76"/>
      <c r="AZ351" s="76"/>
      <c r="BA351" s="76" t="b">
        <v>0</v>
      </c>
      <c r="BB351" s="76" t="b">
        <v>0</v>
      </c>
      <c r="BC351" s="76" t="b">
        <v>1</v>
      </c>
      <c r="BD351" s="76" t="b">
        <v>0</v>
      </c>
      <c r="BE351" s="76" t="b">
        <v>1</v>
      </c>
      <c r="BF351" s="76" t="b">
        <v>0</v>
      </c>
      <c r="BG351" s="76" t="b">
        <v>0</v>
      </c>
      <c r="BH351" s="82" t="str">
        <f>HYPERLINK("https://pbs.twimg.com/profile_banners/946128462930202630/1635523463")</f>
        <v>https://pbs.twimg.com/profile_banners/946128462930202630/1635523463</v>
      </c>
      <c r="BI351" s="76"/>
      <c r="BJ351" s="76" t="s">
        <v>7188</v>
      </c>
      <c r="BK351" s="76" t="b">
        <v>0</v>
      </c>
      <c r="BL351" s="76"/>
      <c r="BM351" s="76" t="s">
        <v>65</v>
      </c>
      <c r="BN351" s="76" t="s">
        <v>7190</v>
      </c>
      <c r="BO351" s="82" t="str">
        <f>HYPERLINK("https://twitter.com/mrblackog")</f>
        <v>https://twitter.com/mrblackog</v>
      </c>
      <c r="BP351" s="46"/>
      <c r="BQ351" s="46"/>
      <c r="BR351" s="46"/>
      <c r="BS351" s="46"/>
      <c r="BT351" s="46"/>
      <c r="BU351" s="46"/>
      <c r="BV351" s="46"/>
      <c r="BW351" s="46"/>
      <c r="BX351" s="46"/>
      <c r="BY351" s="46"/>
      <c r="BZ3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1"/>
    <dataValidation allowBlank="1" errorTitle="Invalid Vertex Visibility" error="You have entered an unrecognized vertex visibility.  Try selecting from the drop-down list instead." sqref="BZ3"/>
    <dataValidation allowBlank="1" showErrorMessage="1" sqref="BZ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1"/>
    <dataValidation allowBlank="1" showInputMessage="1" promptTitle="Vertex Tooltip" prompt="Enter optional text that will pop up when the mouse is hovered over the vertex." errorTitle="Invalid Vertex Image Key" sqref="K3:K3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1"/>
    <dataValidation allowBlank="1" showInputMessage="1" promptTitle="Vertex Label Fill Color" prompt="To select an optional fill color for the Label shape, right-click and select Select Color on the right-click menu." sqref="I3:I351"/>
    <dataValidation allowBlank="1" showInputMessage="1" promptTitle="Vertex Image File" prompt="Enter the path to an image file.  Hover over the column header for examples." errorTitle="Invalid Vertex Image Key" sqref="F3:F351"/>
    <dataValidation allowBlank="1" showInputMessage="1" promptTitle="Vertex Color" prompt="To select an optional vertex color, right-click and select Select Color on the right-click menu." sqref="B3:B351"/>
    <dataValidation allowBlank="1" showInputMessage="1" promptTitle="Vertex Opacity" prompt="Enter an optional vertex opacity between 0 (transparent) and 100 (opaque)." errorTitle="Invalid Vertex Opacity" error="The optional vertex opacity must be a whole number between 0 and 10." sqref="E3:E351"/>
    <dataValidation type="list" allowBlank="1" showInputMessage="1" showErrorMessage="1" promptTitle="Vertex Shape" prompt="Select an optional vertex shape." errorTitle="Invalid Vertex Shape" error="You have entered an invalid vertex shape.  Try selecting from the drop-down list instead." sqref="C3:C3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1">
      <formula1>ValidVertexLabelPositions</formula1>
    </dataValidation>
    <dataValidation allowBlank="1" showInputMessage="1" showErrorMessage="1" promptTitle="Vertex Name" prompt="Enter the name of the vertex." sqref="A3:A35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57421875" style="0" bestFit="1" customWidth="1"/>
    <col min="28" max="28" width="12.57421875" style="0" bestFit="1" customWidth="1"/>
    <col min="29" max="29" width="14.57421875" style="0" bestFit="1" customWidth="1"/>
    <col min="30" max="30" width="13.421875" style="0" bestFit="1" customWidth="1"/>
    <col min="31" max="31" width="16.28125" style="0" bestFit="1" customWidth="1"/>
    <col min="32" max="32" width="10.7109375" style="0" bestFit="1" customWidth="1"/>
  </cols>
  <sheetData>
    <row r="1" spans="2:24" ht="15">
      <c r="B1" s="52" t="s">
        <v>39</v>
      </c>
      <c r="C1" s="53"/>
      <c r="D1" s="53"/>
      <c r="E1" s="54"/>
      <c r="F1" s="50" t="s">
        <v>43</v>
      </c>
      <c r="G1" s="55" t="s">
        <v>44</v>
      </c>
      <c r="H1" s="56"/>
      <c r="I1" s="57" t="s">
        <v>40</v>
      </c>
      <c r="J1" s="58"/>
      <c r="K1" s="59" t="s">
        <v>42</v>
      </c>
      <c r="L1" s="60"/>
      <c r="M1" s="60"/>
      <c r="N1" s="60"/>
      <c r="O1" s="60"/>
      <c r="P1" s="60"/>
      <c r="Q1" s="60"/>
      <c r="R1" s="60"/>
      <c r="S1" s="60"/>
      <c r="T1" s="60"/>
      <c r="U1" s="60"/>
      <c r="V1" s="60"/>
      <c r="W1" s="60"/>
      <c r="X1" s="60"/>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7554</v>
      </c>
      <c r="Z2" s="7" t="s">
        <v>7556</v>
      </c>
      <c r="AA2" s="7" t="s">
        <v>7565</v>
      </c>
      <c r="AB2" s="7" t="s">
        <v>7576</v>
      </c>
      <c r="AC2" s="7" t="s">
        <v>7588</v>
      </c>
      <c r="AD2" s="7" t="s">
        <v>7593</v>
      </c>
      <c r="AE2" s="7" t="s">
        <v>7594</v>
      </c>
      <c r="AF2" s="7" t="s">
        <v>7596</v>
      </c>
    </row>
    <row r="3" spans="1:32" ht="15">
      <c r="A3" s="11"/>
      <c r="B3" s="12"/>
      <c r="C3" s="12"/>
      <c r="D3" s="12"/>
      <c r="E3" s="12"/>
      <c r="F3" s="13"/>
      <c r="G3" s="61"/>
      <c r="H3" s="61"/>
      <c r="I3" s="48"/>
      <c r="J3" s="48"/>
      <c r="K3" s="44"/>
      <c r="L3" s="44"/>
      <c r="M3" s="44"/>
      <c r="N3" s="44"/>
      <c r="O3" s="44"/>
      <c r="P3" s="44"/>
      <c r="Q3" s="44"/>
      <c r="R3" s="44"/>
      <c r="S3" s="44"/>
      <c r="T3" s="44"/>
      <c r="U3" s="44"/>
      <c r="V3" s="44"/>
      <c r="W3" s="45"/>
      <c r="X3" s="45"/>
      <c r="Y3" s="76"/>
      <c r="Z3" s="76"/>
      <c r="AA3" s="76"/>
      <c r="AB3" s="76"/>
      <c r="AC3" s="76"/>
      <c r="AD3" s="76"/>
      <c r="AE3" s="76"/>
      <c r="AF3" s="76"/>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25">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8231</v>
      </c>
      <c r="B2" s="32" t="s">
        <v>7540</v>
      </c>
      <c r="D2" s="30">
        <f>MIN(Vertices[Degree])</f>
        <v>0</v>
      </c>
      <c r="E2">
        <f>COUNTIF(Vertices[Degree],"&gt;= "&amp;D2)-COUNTIF(Vertices[Degree],"&gt;="&amp;D3)</f>
        <v>0</v>
      </c>
      <c r="F2" s="35">
        <f>MIN(Vertices[In-Degree])</f>
        <v>0</v>
      </c>
      <c r="G2" s="36">
        <f>COUNTIF(Vertices[In-Degree],"&gt;= "&amp;F2)-COUNTIF(Vertices[In-Degree],"&gt;="&amp;F3)</f>
        <v>336</v>
      </c>
      <c r="H2" s="35">
        <f>MIN(Vertices[Out-Degree])</f>
        <v>0</v>
      </c>
      <c r="I2" s="36">
        <f>COUNTIF(Vertices[Out-Degree],"&gt;= "&amp;H2)-COUNTIF(Vertices[Out-Degree],"&gt;="&amp;H3)</f>
        <v>307</v>
      </c>
      <c r="J2" s="35">
        <f>MIN(Vertices[Betweenness Centrality])</f>
        <v>0</v>
      </c>
      <c r="K2" s="36">
        <f>COUNTIF(Vertices[Betweenness Centrality],"&gt;= "&amp;J2)-COUNTIF(Vertices[Betweenness Centrality],"&gt;="&amp;J3)</f>
        <v>341</v>
      </c>
      <c r="L2" s="35">
        <f>MIN(Vertices[Closeness Centrality])</f>
        <v>0</v>
      </c>
      <c r="M2" s="36">
        <f>COUNTIF(Vertices[Closeness Centrality],"&gt;= "&amp;L2)-COUNTIF(Vertices[Closeness Centrality],"&gt;="&amp;L3)</f>
        <v>151</v>
      </c>
      <c r="N2" s="35">
        <f>MIN(Vertices[Eigenvector Centrality])</f>
        <v>0</v>
      </c>
      <c r="O2" s="36">
        <f>COUNTIF(Vertices[Eigenvector Centrality],"&gt;= "&amp;N2)-COUNTIF(Vertices[Eigenvector Centrality],"&gt;="&amp;N3)</f>
        <v>224</v>
      </c>
      <c r="P2" s="35">
        <f>MIN(Vertices[PageRank])</f>
        <v>0</v>
      </c>
      <c r="Q2" s="36">
        <f>COUNTIF(Vertices[PageRank],"&gt;= "&amp;P2)-COUNTIF(Vertices[PageRank],"&gt;="&amp;P3)</f>
        <v>2</v>
      </c>
      <c r="R2" s="35">
        <f>MIN(Vertices[Clustering Coefficient])</f>
        <v>0</v>
      </c>
      <c r="S2" s="41">
        <f>COUNTIF(Vertices[Clustering Coefficient],"&gt;= "&amp;R2)-COUNTIF(Vertices[Clustering Coefficient],"&gt;="&amp;R3)</f>
        <v>325</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06"/>
      <c r="B3" s="106"/>
      <c r="D3" s="30">
        <f aca="true" t="shared" si="1" ref="D3:D35">D2+($D$36-$D$2)/BinDivisor</f>
        <v>0</v>
      </c>
      <c r="E3">
        <f>COUNTIF(Vertices[Degree],"&gt;= "&amp;D3)-COUNTIF(Vertices[Degree],"&gt;="&amp;D4)</f>
        <v>0</v>
      </c>
      <c r="F3" s="37">
        <f aca="true" t="shared" si="2" ref="F3:F35">F2+($F$36-$F$2)/BinDivisor</f>
        <v>2.1176470588235294</v>
      </c>
      <c r="G3" s="38">
        <f>COUNTIF(Vertices[In-Degree],"&gt;= "&amp;F3)-COUNTIF(Vertices[In-Degree],"&gt;="&amp;F4)</f>
        <v>12</v>
      </c>
      <c r="H3" s="37">
        <f aca="true" t="shared" si="3" ref="H3:H35">H2+($H$36-$H$2)/BinDivisor</f>
        <v>1.2647058823529411</v>
      </c>
      <c r="I3" s="38">
        <f>COUNTIF(Vertices[Out-Degree],"&gt;= "&amp;H3)-COUNTIF(Vertices[Out-Degree],"&gt;="&amp;H4)</f>
        <v>21</v>
      </c>
      <c r="J3" s="37">
        <f aca="true" t="shared" si="4" ref="J3:J35">J2+($J$36-$J$2)/BinDivisor</f>
        <v>870.3594771176471</v>
      </c>
      <c r="K3" s="38">
        <f>COUNTIF(Vertices[Betweenness Centrality],"&gt;= "&amp;J3)-COUNTIF(Vertices[Betweenness Centrality],"&gt;="&amp;J4)</f>
        <v>5</v>
      </c>
      <c r="L3" s="37">
        <f aca="true" t="shared" si="5" ref="L3:L35">L2+($L$36-$L$2)/BinDivisor</f>
        <v>0.01088064705882353</v>
      </c>
      <c r="M3" s="38">
        <f>COUNTIF(Vertices[Closeness Centrality],"&gt;= "&amp;L3)-COUNTIF(Vertices[Closeness Centrality],"&gt;="&amp;L4)</f>
        <v>5</v>
      </c>
      <c r="N3" s="37">
        <f aca="true" t="shared" si="6" ref="N3:N35">N2+($N$36-$N$2)/BinDivisor</f>
        <v>0.020603235294117644</v>
      </c>
      <c r="O3" s="38">
        <f>COUNTIF(Vertices[Eigenvector Centrality],"&gt;= "&amp;N3)-COUNTIF(Vertices[Eigenvector Centrality],"&gt;="&amp;N4)</f>
        <v>8</v>
      </c>
      <c r="P3" s="37">
        <f aca="true" t="shared" si="7" ref="P3:P35">P2+($P$36-$P$2)/BinDivisor</f>
        <v>0.0010746764705882354</v>
      </c>
      <c r="Q3" s="38">
        <f>COUNTIF(Vertices[PageRank],"&gt;= "&amp;P3)-COUNTIF(Vertices[PageRank],"&gt;="&amp;P4)</f>
        <v>0</v>
      </c>
      <c r="R3" s="37">
        <f aca="true" t="shared" si="8" ref="R3:R35">R2+($R$36-$R$2)/BinDivisor</f>
        <v>0.029411764705882353</v>
      </c>
      <c r="S3" s="42">
        <f>COUNTIF(Vertices[Clustering Coefficient],"&gt;= "&amp;R3)-COUNTIF(Vertices[Clustering Coefficient],"&gt;="&amp;R4)</f>
        <v>1</v>
      </c>
      <c r="T3" s="37" t="e">
        <f aca="true" t="shared" si="9" ref="T3:T35">T2+($T$36-$T$2)/BinDivisor</f>
        <v>#REF!</v>
      </c>
      <c r="U3" s="38" t="e">
        <f ca="1" t="shared" si="0"/>
        <v>#REF!</v>
      </c>
      <c r="W3" t="s">
        <v>125</v>
      </c>
      <c r="X3" t="s">
        <v>85</v>
      </c>
    </row>
    <row r="4" spans="1:24" ht="15">
      <c r="A4" s="32" t="s">
        <v>146</v>
      </c>
      <c r="B4" s="32">
        <v>349</v>
      </c>
      <c r="D4" s="30">
        <f t="shared" si="1"/>
        <v>0</v>
      </c>
      <c r="E4">
        <f>COUNTIF(Vertices[Degree],"&gt;= "&amp;D4)-COUNTIF(Vertices[Degree],"&gt;="&amp;D5)</f>
        <v>0</v>
      </c>
      <c r="F4" s="35">
        <f t="shared" si="2"/>
        <v>4.235294117647059</v>
      </c>
      <c r="G4" s="36">
        <f>COUNTIF(Vertices[In-Degree],"&gt;= "&amp;F4)-COUNTIF(Vertices[In-Degree],"&gt;="&amp;F5)</f>
        <v>0</v>
      </c>
      <c r="H4" s="35">
        <f t="shared" si="3"/>
        <v>2.5294117647058822</v>
      </c>
      <c r="I4" s="36">
        <f>COUNTIF(Vertices[Out-Degree],"&gt;= "&amp;H4)-COUNTIF(Vertices[Out-Degree],"&gt;="&amp;H5)</f>
        <v>8</v>
      </c>
      <c r="J4" s="35">
        <f t="shared" si="4"/>
        <v>1740.7189542352942</v>
      </c>
      <c r="K4" s="36">
        <f>COUNTIF(Vertices[Betweenness Centrality],"&gt;= "&amp;J4)-COUNTIF(Vertices[Betweenness Centrality],"&gt;="&amp;J5)</f>
        <v>1</v>
      </c>
      <c r="L4" s="35">
        <f t="shared" si="5"/>
        <v>0.02176129411764706</v>
      </c>
      <c r="M4" s="36">
        <f>COUNTIF(Vertices[Closeness Centrality],"&gt;= "&amp;L4)-COUNTIF(Vertices[Closeness Centrality],"&gt;="&amp;L5)</f>
        <v>15</v>
      </c>
      <c r="N4" s="35">
        <f t="shared" si="6"/>
        <v>0.04120647058823529</v>
      </c>
      <c r="O4" s="36">
        <f>COUNTIF(Vertices[Eigenvector Centrality],"&gt;= "&amp;N4)-COUNTIF(Vertices[Eigenvector Centrality],"&gt;="&amp;N5)</f>
        <v>6</v>
      </c>
      <c r="P4" s="35">
        <f t="shared" si="7"/>
        <v>0.0021493529411764707</v>
      </c>
      <c r="Q4" s="36">
        <f>COUNTIF(Vertices[PageRank],"&gt;= "&amp;P4)-COUNTIF(Vertices[PageRank],"&gt;="&amp;P5)</f>
        <v>321</v>
      </c>
      <c r="R4" s="35">
        <f t="shared" si="8"/>
        <v>0.058823529411764705</v>
      </c>
      <c r="S4" s="41">
        <f>COUNTIF(Vertices[Clustering Coefficient],"&gt;= "&amp;R4)-COUNTIF(Vertices[Clustering Coefficient],"&gt;="&amp;R5)</f>
        <v>0</v>
      </c>
      <c r="T4" s="35" t="e">
        <f ca="1" t="shared" si="9"/>
        <v>#REF!</v>
      </c>
      <c r="U4" s="36" t="e">
        <f ca="1" t="shared" si="0"/>
        <v>#REF!</v>
      </c>
      <c r="W4" t="s">
        <v>126</v>
      </c>
      <c r="X4" t="s">
        <v>128</v>
      </c>
    </row>
    <row r="5" spans="1:21" ht="15">
      <c r="A5" s="106"/>
      <c r="B5" s="106"/>
      <c r="D5" s="30">
        <f t="shared" si="1"/>
        <v>0</v>
      </c>
      <c r="E5">
        <f>COUNTIF(Vertices[Degree],"&gt;= "&amp;D5)-COUNTIF(Vertices[Degree],"&gt;="&amp;D6)</f>
        <v>0</v>
      </c>
      <c r="F5" s="37">
        <f t="shared" si="2"/>
        <v>6.352941176470589</v>
      </c>
      <c r="G5" s="38">
        <f>COUNTIF(Vertices[In-Degree],"&gt;= "&amp;F5)-COUNTIF(Vertices[In-Degree],"&gt;="&amp;F6)</f>
        <v>0</v>
      </c>
      <c r="H5" s="37">
        <f t="shared" si="3"/>
        <v>3.7941176470588234</v>
      </c>
      <c r="I5" s="38">
        <f>COUNTIF(Vertices[Out-Degree],"&gt;= "&amp;H5)-COUNTIF(Vertices[Out-Degree],"&gt;="&amp;H6)</f>
        <v>3</v>
      </c>
      <c r="J5" s="37">
        <f t="shared" si="4"/>
        <v>2611.078431352941</v>
      </c>
      <c r="K5" s="38">
        <f>COUNTIF(Vertices[Betweenness Centrality],"&gt;= "&amp;J5)-COUNTIF(Vertices[Betweenness Centrality],"&gt;="&amp;J6)</f>
        <v>0</v>
      </c>
      <c r="L5" s="37">
        <f t="shared" si="5"/>
        <v>0.03264194117647059</v>
      </c>
      <c r="M5" s="38">
        <f>COUNTIF(Vertices[Closeness Centrality],"&gt;= "&amp;L5)-COUNTIF(Vertices[Closeness Centrality],"&gt;="&amp;L6)</f>
        <v>1</v>
      </c>
      <c r="N5" s="37">
        <f t="shared" si="6"/>
        <v>0.06180970588235293</v>
      </c>
      <c r="O5" s="38">
        <f>COUNTIF(Vertices[Eigenvector Centrality],"&gt;= "&amp;N5)-COUNTIF(Vertices[Eigenvector Centrality],"&gt;="&amp;N6)</f>
        <v>104</v>
      </c>
      <c r="P5" s="37">
        <f t="shared" si="7"/>
        <v>0.0032240294117647063</v>
      </c>
      <c r="Q5" s="38">
        <f>COUNTIF(Vertices[PageRank],"&gt;= "&amp;P5)-COUNTIF(Vertices[PageRank],"&gt;="&amp;P6)</f>
        <v>20</v>
      </c>
      <c r="R5" s="37">
        <f t="shared" si="8"/>
        <v>0.08823529411764705</v>
      </c>
      <c r="S5" s="42">
        <f>COUNTIF(Vertices[Clustering Coefficient],"&gt;= "&amp;R5)-COUNTIF(Vertices[Clustering Coefficient],"&gt;="&amp;R6)</f>
        <v>1</v>
      </c>
      <c r="T5" s="37" t="e">
        <f ca="1" t="shared" si="9"/>
        <v>#REF!</v>
      </c>
      <c r="U5" s="38" t="e">
        <f ca="1" t="shared" si="0"/>
        <v>#REF!</v>
      </c>
    </row>
    <row r="6" spans="1:21" ht="15">
      <c r="A6" s="32" t="s">
        <v>148</v>
      </c>
      <c r="B6" s="32">
        <v>314</v>
      </c>
      <c r="D6" s="30">
        <f t="shared" si="1"/>
        <v>0</v>
      </c>
      <c r="E6">
        <f>COUNTIF(Vertices[Degree],"&gt;= "&amp;D6)-COUNTIF(Vertices[Degree],"&gt;="&amp;D7)</f>
        <v>0</v>
      </c>
      <c r="F6" s="35">
        <f t="shared" si="2"/>
        <v>8.470588235294118</v>
      </c>
      <c r="G6" s="36">
        <f>COUNTIF(Vertices[In-Degree],"&gt;= "&amp;F6)-COUNTIF(Vertices[In-Degree],"&gt;="&amp;F7)</f>
        <v>0</v>
      </c>
      <c r="H6" s="35">
        <f t="shared" si="3"/>
        <v>5.0588235294117645</v>
      </c>
      <c r="I6" s="36">
        <f>COUNTIF(Vertices[Out-Degree],"&gt;= "&amp;H6)-COUNTIF(Vertices[Out-Degree],"&gt;="&amp;H7)</f>
        <v>2</v>
      </c>
      <c r="J6" s="35">
        <f t="shared" si="4"/>
        <v>3481.4379084705884</v>
      </c>
      <c r="K6" s="36">
        <f>COUNTIF(Vertices[Betweenness Centrality],"&gt;= "&amp;J6)-COUNTIF(Vertices[Betweenness Centrality],"&gt;="&amp;J7)</f>
        <v>0</v>
      </c>
      <c r="L6" s="35">
        <f t="shared" si="5"/>
        <v>0.04352258823529412</v>
      </c>
      <c r="M6" s="36">
        <f>COUNTIF(Vertices[Closeness Centrality],"&gt;= "&amp;L6)-COUNTIF(Vertices[Closeness Centrality],"&gt;="&amp;L7)</f>
        <v>0</v>
      </c>
      <c r="N6" s="35">
        <f t="shared" si="6"/>
        <v>0.08241294117647058</v>
      </c>
      <c r="O6" s="36">
        <f>COUNTIF(Vertices[Eigenvector Centrality],"&gt;= "&amp;N6)-COUNTIF(Vertices[Eigenvector Centrality],"&gt;="&amp;N7)</f>
        <v>2</v>
      </c>
      <c r="P6" s="35">
        <f t="shared" si="7"/>
        <v>0.0042987058823529415</v>
      </c>
      <c r="Q6" s="36">
        <f>COUNTIF(Vertices[PageRank],"&gt;= "&amp;P6)-COUNTIF(Vertices[PageRank],"&gt;="&amp;P7)</f>
        <v>3</v>
      </c>
      <c r="R6" s="35">
        <f t="shared" si="8"/>
        <v>0.11764705882352941</v>
      </c>
      <c r="S6" s="41">
        <f>COUNTIF(Vertices[Clustering Coefficient],"&gt;= "&amp;R6)-COUNTIF(Vertices[Clustering Coefficient],"&gt;="&amp;R7)</f>
        <v>0</v>
      </c>
      <c r="T6" s="35" t="e">
        <f ca="1" t="shared" si="9"/>
        <v>#REF!</v>
      </c>
      <c r="U6" s="36" t="e">
        <f ca="1" t="shared" si="0"/>
        <v>#REF!</v>
      </c>
    </row>
    <row r="7" spans="1:21" ht="15">
      <c r="A7" s="32" t="s">
        <v>149</v>
      </c>
      <c r="B7" s="32">
        <v>1023</v>
      </c>
      <c r="D7" s="30">
        <f t="shared" si="1"/>
        <v>0</v>
      </c>
      <c r="E7">
        <f>COUNTIF(Vertices[Degree],"&gt;= "&amp;D7)-COUNTIF(Vertices[Degree],"&gt;="&amp;D8)</f>
        <v>0</v>
      </c>
      <c r="F7" s="37">
        <f t="shared" si="2"/>
        <v>10.588235294117647</v>
      </c>
      <c r="G7" s="38">
        <f>COUNTIF(Vertices[In-Degree],"&gt;= "&amp;F7)-COUNTIF(Vertices[In-Degree],"&gt;="&amp;F8)</f>
        <v>0</v>
      </c>
      <c r="H7" s="37">
        <f t="shared" si="3"/>
        <v>6.323529411764706</v>
      </c>
      <c r="I7" s="38">
        <f>COUNTIF(Vertices[Out-Degree],"&gt;= "&amp;H7)-COUNTIF(Vertices[Out-Degree],"&gt;="&amp;H8)</f>
        <v>1</v>
      </c>
      <c r="J7" s="37">
        <f t="shared" si="4"/>
        <v>4351.797385588236</v>
      </c>
      <c r="K7" s="38">
        <f>COUNTIF(Vertices[Betweenness Centrality],"&gt;= "&amp;J7)-COUNTIF(Vertices[Betweenness Centrality],"&gt;="&amp;J8)</f>
        <v>0</v>
      </c>
      <c r="L7" s="37">
        <f t="shared" si="5"/>
        <v>0.05440323529411765</v>
      </c>
      <c r="M7" s="38">
        <f>COUNTIF(Vertices[Closeness Centrality],"&gt;= "&amp;L7)-COUNTIF(Vertices[Closeness Centrality],"&gt;="&amp;L8)</f>
        <v>0</v>
      </c>
      <c r="N7" s="37">
        <f t="shared" si="6"/>
        <v>0.10301617647058822</v>
      </c>
      <c r="O7" s="38">
        <f>COUNTIF(Vertices[Eigenvector Centrality],"&gt;= "&amp;N7)-COUNTIF(Vertices[Eigenvector Centrality],"&gt;="&amp;N8)</f>
        <v>3</v>
      </c>
      <c r="P7" s="37">
        <f t="shared" si="7"/>
        <v>0.005373382352941177</v>
      </c>
      <c r="Q7" s="38">
        <f>COUNTIF(Vertices[PageRank],"&gt;= "&amp;P7)-COUNTIF(Vertices[PageRank],"&gt;="&amp;P8)</f>
        <v>0</v>
      </c>
      <c r="R7" s="37">
        <f t="shared" si="8"/>
        <v>0.14705882352941177</v>
      </c>
      <c r="S7" s="42">
        <f>COUNTIF(Vertices[Clustering Coefficient],"&gt;= "&amp;R7)-COUNTIF(Vertices[Clustering Coefficient],"&gt;="&amp;R8)</f>
        <v>0</v>
      </c>
      <c r="T7" s="37" t="e">
        <f ca="1" t="shared" si="9"/>
        <v>#REF!</v>
      </c>
      <c r="U7" s="38" t="e">
        <f ca="1" t="shared" si="0"/>
        <v>#REF!</v>
      </c>
    </row>
    <row r="8" spans="1:21" ht="15">
      <c r="A8" s="32" t="s">
        <v>150</v>
      </c>
      <c r="B8" s="32">
        <v>1337</v>
      </c>
      <c r="D8" s="30">
        <f t="shared" si="1"/>
        <v>0</v>
      </c>
      <c r="E8">
        <f>COUNTIF(Vertices[Degree],"&gt;= "&amp;D8)-COUNTIF(Vertices[Degree],"&gt;="&amp;D9)</f>
        <v>0</v>
      </c>
      <c r="F8" s="35">
        <f t="shared" si="2"/>
        <v>12.705882352941176</v>
      </c>
      <c r="G8" s="36">
        <f>COUNTIF(Vertices[In-Degree],"&gt;= "&amp;F8)-COUNTIF(Vertices[In-Degree],"&gt;="&amp;F9)</f>
        <v>0</v>
      </c>
      <c r="H8" s="35">
        <f t="shared" si="3"/>
        <v>7.588235294117647</v>
      </c>
      <c r="I8" s="36">
        <f>COUNTIF(Vertices[Out-Degree],"&gt;= "&amp;H8)-COUNTIF(Vertices[Out-Degree],"&gt;="&amp;H9)</f>
        <v>0</v>
      </c>
      <c r="J8" s="35">
        <f t="shared" si="4"/>
        <v>5222.156862705882</v>
      </c>
      <c r="K8" s="36">
        <f>COUNTIF(Vertices[Betweenness Centrality],"&gt;= "&amp;J8)-COUNTIF(Vertices[Betweenness Centrality],"&gt;="&amp;J9)</f>
        <v>0</v>
      </c>
      <c r="L8" s="35">
        <f t="shared" si="5"/>
        <v>0.06528388235294118</v>
      </c>
      <c r="M8" s="36">
        <f>COUNTIF(Vertices[Closeness Centrality],"&gt;= "&amp;L8)-COUNTIF(Vertices[Closeness Centrality],"&gt;="&amp;L9)</f>
        <v>0</v>
      </c>
      <c r="N8" s="35">
        <f t="shared" si="6"/>
        <v>0.12361941176470587</v>
      </c>
      <c r="O8" s="36">
        <f>COUNTIF(Vertices[Eigenvector Centrality],"&gt;= "&amp;N8)-COUNTIF(Vertices[Eigenvector Centrality],"&gt;="&amp;N9)</f>
        <v>0</v>
      </c>
      <c r="P8" s="35">
        <f t="shared" si="7"/>
        <v>0.006448058823529412</v>
      </c>
      <c r="Q8" s="36">
        <f>COUNTIF(Vertices[PageRank],"&gt;= "&amp;P8)-COUNTIF(Vertices[PageRank],"&gt;="&amp;P9)</f>
        <v>1</v>
      </c>
      <c r="R8" s="35">
        <f t="shared" si="8"/>
        <v>0.17647058823529413</v>
      </c>
      <c r="S8" s="41">
        <f>COUNTIF(Vertices[Clustering Coefficient],"&gt;= "&amp;R8)-COUNTIF(Vertices[Clustering Coefficient],"&gt;="&amp;R9)</f>
        <v>0</v>
      </c>
      <c r="T8" s="35" t="e">
        <f ca="1" t="shared" si="9"/>
        <v>#REF!</v>
      </c>
      <c r="U8" s="36" t="e">
        <f ca="1" t="shared" si="0"/>
        <v>#REF!</v>
      </c>
    </row>
    <row r="9" spans="1:21" ht="15">
      <c r="A9" s="106"/>
      <c r="B9" s="106"/>
      <c r="D9" s="30">
        <f t="shared" si="1"/>
        <v>0</v>
      </c>
      <c r="E9">
        <f>COUNTIF(Vertices[Degree],"&gt;= "&amp;D9)-COUNTIF(Vertices[Degree],"&gt;="&amp;D10)</f>
        <v>0</v>
      </c>
      <c r="F9" s="37">
        <f t="shared" si="2"/>
        <v>14.823529411764705</v>
      </c>
      <c r="G9" s="38">
        <f>COUNTIF(Vertices[In-Degree],"&gt;= "&amp;F9)-COUNTIF(Vertices[In-Degree],"&gt;="&amp;F10)</f>
        <v>0</v>
      </c>
      <c r="H9" s="37">
        <f t="shared" si="3"/>
        <v>8.852941176470587</v>
      </c>
      <c r="I9" s="38">
        <f>COUNTIF(Vertices[Out-Degree],"&gt;= "&amp;H9)-COUNTIF(Vertices[Out-Degree],"&gt;="&amp;H10)</f>
        <v>4</v>
      </c>
      <c r="J9" s="37">
        <f t="shared" si="4"/>
        <v>6092.516339823529</v>
      </c>
      <c r="K9" s="38">
        <f>COUNTIF(Vertices[Betweenness Centrality],"&gt;= "&amp;J9)-COUNTIF(Vertices[Betweenness Centrality],"&gt;="&amp;J10)</f>
        <v>1</v>
      </c>
      <c r="L9" s="37">
        <f t="shared" si="5"/>
        <v>0.07616452941176471</v>
      </c>
      <c r="M9" s="38">
        <f>COUNTIF(Vertices[Closeness Centrality],"&gt;= "&amp;L9)-COUNTIF(Vertices[Closeness Centrality],"&gt;="&amp;L10)</f>
        <v>0</v>
      </c>
      <c r="N9" s="37">
        <f t="shared" si="6"/>
        <v>0.1442226470588235</v>
      </c>
      <c r="O9" s="38">
        <f>COUNTIF(Vertices[Eigenvector Centrality],"&gt;= "&amp;N9)-COUNTIF(Vertices[Eigenvector Centrality],"&gt;="&amp;N10)</f>
        <v>1</v>
      </c>
      <c r="P9" s="37">
        <f t="shared" si="7"/>
        <v>0.007522735294117647</v>
      </c>
      <c r="Q9" s="38">
        <f>COUNTIF(Vertices[PageRank],"&gt;= "&amp;P9)-COUNTIF(Vertices[PageRank],"&gt;="&amp;P10)</f>
        <v>0</v>
      </c>
      <c r="R9" s="37">
        <f t="shared" si="8"/>
        <v>0.2058823529411765</v>
      </c>
      <c r="S9" s="42">
        <f>COUNTIF(Vertices[Clustering Coefficient],"&gt;= "&amp;R9)-COUNTIF(Vertices[Clustering Coefficient],"&gt;="&amp;R10)</f>
        <v>2</v>
      </c>
      <c r="T9" s="37" t="e">
        <f ca="1" t="shared" si="9"/>
        <v>#REF!</v>
      </c>
      <c r="U9" s="38" t="e">
        <f ca="1" t="shared" si="0"/>
        <v>#REF!</v>
      </c>
    </row>
    <row r="10" spans="1:21" ht="15">
      <c r="A10" s="32" t="s">
        <v>8232</v>
      </c>
      <c r="B10" s="32">
        <v>83</v>
      </c>
      <c r="D10" s="30">
        <f t="shared" si="1"/>
        <v>0</v>
      </c>
      <c r="E10">
        <f>COUNTIF(Vertices[Degree],"&gt;= "&amp;D10)-COUNTIF(Vertices[Degree],"&gt;="&amp;D11)</f>
        <v>0</v>
      </c>
      <c r="F10" s="35">
        <f t="shared" si="2"/>
        <v>16.941176470588236</v>
      </c>
      <c r="G10" s="36">
        <f>COUNTIF(Vertices[In-Degree],"&gt;= "&amp;F10)-COUNTIF(Vertices[In-Degree],"&gt;="&amp;F11)</f>
        <v>0</v>
      </c>
      <c r="H10" s="35">
        <f t="shared" si="3"/>
        <v>10.117647058823529</v>
      </c>
      <c r="I10" s="36">
        <f>COUNTIF(Vertices[Out-Degree],"&gt;= "&amp;H10)-COUNTIF(Vertices[Out-Degree],"&gt;="&amp;H11)</f>
        <v>0</v>
      </c>
      <c r="J10" s="35">
        <f t="shared" si="4"/>
        <v>6962.875816941176</v>
      </c>
      <c r="K10" s="36">
        <f>COUNTIF(Vertices[Betweenness Centrality],"&gt;= "&amp;J10)-COUNTIF(Vertices[Betweenness Centrality],"&gt;="&amp;J11)</f>
        <v>0</v>
      </c>
      <c r="L10" s="35">
        <f t="shared" si="5"/>
        <v>0.08704517647058824</v>
      </c>
      <c r="M10" s="36">
        <f>COUNTIF(Vertices[Closeness Centrality],"&gt;= "&amp;L10)-COUNTIF(Vertices[Closeness Centrality],"&gt;="&amp;L11)</f>
        <v>0</v>
      </c>
      <c r="N10" s="35">
        <f t="shared" si="6"/>
        <v>0.16482588235294116</v>
      </c>
      <c r="O10" s="36">
        <f>COUNTIF(Vertices[Eigenvector Centrality],"&gt;= "&amp;N10)-COUNTIF(Vertices[Eigenvector Centrality],"&gt;="&amp;N11)</f>
        <v>0</v>
      </c>
      <c r="P10" s="35">
        <f t="shared" si="7"/>
        <v>0.008597411764705883</v>
      </c>
      <c r="Q10" s="36">
        <f>COUNTIF(Vertices[PageRank],"&gt;= "&amp;P10)-COUNTIF(Vertices[PageRank],"&gt;="&amp;P11)</f>
        <v>0</v>
      </c>
      <c r="R10" s="35">
        <f t="shared" si="8"/>
        <v>0.23529411764705885</v>
      </c>
      <c r="S10" s="41">
        <f>COUNTIF(Vertices[Clustering Coefficient],"&gt;= "&amp;R10)-COUNTIF(Vertices[Clustering Coefficient],"&gt;="&amp;R11)</f>
        <v>1</v>
      </c>
      <c r="T10" s="35" t="e">
        <f ca="1" t="shared" si="9"/>
        <v>#REF!</v>
      </c>
      <c r="U10" s="36" t="e">
        <f ca="1" t="shared" si="0"/>
        <v>#REF!</v>
      </c>
    </row>
    <row r="11" spans="1:21" ht="15">
      <c r="A11" s="106"/>
      <c r="B11" s="106"/>
      <c r="D11" s="30">
        <f t="shared" si="1"/>
        <v>0</v>
      </c>
      <c r="E11">
        <f>COUNTIF(Vertices[Degree],"&gt;= "&amp;D11)-COUNTIF(Vertices[Degree],"&gt;="&amp;D12)</f>
        <v>0</v>
      </c>
      <c r="F11" s="37">
        <f t="shared" si="2"/>
        <v>19.058823529411764</v>
      </c>
      <c r="G11" s="38">
        <f>COUNTIF(Vertices[In-Degree],"&gt;= "&amp;F11)-COUNTIF(Vertices[In-Degree],"&gt;="&amp;F12)</f>
        <v>0</v>
      </c>
      <c r="H11" s="37">
        <f t="shared" si="3"/>
        <v>11.382352941176471</v>
      </c>
      <c r="I11" s="38">
        <f>COUNTIF(Vertices[Out-Degree],"&gt;= "&amp;H11)-COUNTIF(Vertices[Out-Degree],"&gt;="&amp;H12)</f>
        <v>0</v>
      </c>
      <c r="J11" s="37">
        <f t="shared" si="4"/>
        <v>7833.235294058823</v>
      </c>
      <c r="K11" s="38">
        <f>COUNTIF(Vertices[Betweenness Centrality],"&gt;= "&amp;J11)-COUNTIF(Vertices[Betweenness Centrality],"&gt;="&amp;J12)</f>
        <v>0</v>
      </c>
      <c r="L11" s="37">
        <f t="shared" si="5"/>
        <v>0.09792582352941176</v>
      </c>
      <c r="M11" s="38">
        <f>COUNTIF(Vertices[Closeness Centrality],"&gt;= "&amp;L11)-COUNTIF(Vertices[Closeness Centrality],"&gt;="&amp;L12)</f>
        <v>0</v>
      </c>
      <c r="N11" s="37">
        <f t="shared" si="6"/>
        <v>0.1854291176470588</v>
      </c>
      <c r="O11" s="38">
        <f>COUNTIF(Vertices[Eigenvector Centrality],"&gt;= "&amp;N11)-COUNTIF(Vertices[Eigenvector Centrality],"&gt;="&amp;N12)</f>
        <v>0</v>
      </c>
      <c r="P11" s="37">
        <f t="shared" si="7"/>
        <v>0.009672088235294118</v>
      </c>
      <c r="Q11" s="38">
        <f>COUNTIF(Vertices[PageRank],"&gt;= "&amp;P11)-COUNTIF(Vertices[PageRank],"&gt;="&amp;P12)</f>
        <v>1</v>
      </c>
      <c r="R11" s="37">
        <f t="shared" si="8"/>
        <v>0.2647058823529412</v>
      </c>
      <c r="S11" s="42">
        <f>COUNTIF(Vertices[Clustering Coefficient],"&gt;= "&amp;R11)-COUNTIF(Vertices[Clustering Coefficient],"&gt;="&amp;R12)</f>
        <v>1</v>
      </c>
      <c r="T11" s="37" t="e">
        <f ca="1" t="shared" si="9"/>
        <v>#REF!</v>
      </c>
      <c r="U11" s="38" t="e">
        <f ca="1" t="shared" si="0"/>
        <v>#REF!</v>
      </c>
    </row>
    <row r="12" spans="1:21" ht="15">
      <c r="A12" s="32" t="s">
        <v>2017</v>
      </c>
      <c r="B12" s="32">
        <v>4</v>
      </c>
      <c r="D12" s="30">
        <f t="shared" si="1"/>
        <v>0</v>
      </c>
      <c r="E12">
        <f>COUNTIF(Vertices[Degree],"&gt;= "&amp;D12)-COUNTIF(Vertices[Degree],"&gt;="&amp;D13)</f>
        <v>0</v>
      </c>
      <c r="F12" s="35">
        <f t="shared" si="2"/>
        <v>21.176470588235293</v>
      </c>
      <c r="G12" s="36">
        <f>COUNTIF(Vertices[In-Degree],"&gt;= "&amp;F12)-COUNTIF(Vertices[In-Degree],"&gt;="&amp;F13)</f>
        <v>0</v>
      </c>
      <c r="H12" s="35">
        <f t="shared" si="3"/>
        <v>12.647058823529413</v>
      </c>
      <c r="I12" s="36">
        <f>COUNTIF(Vertices[Out-Degree],"&gt;= "&amp;H12)-COUNTIF(Vertices[Out-Degree],"&gt;="&amp;H13)</f>
        <v>1</v>
      </c>
      <c r="J12" s="35">
        <f t="shared" si="4"/>
        <v>8703.59477117647</v>
      </c>
      <c r="K12" s="36">
        <f>COUNTIF(Vertices[Betweenness Centrality],"&gt;= "&amp;J12)-COUNTIF(Vertices[Betweenness Centrality],"&gt;="&amp;J13)</f>
        <v>0</v>
      </c>
      <c r="L12" s="35">
        <f t="shared" si="5"/>
        <v>0.10880647058823528</v>
      </c>
      <c r="M12" s="36">
        <f>COUNTIF(Vertices[Closeness Centrality],"&gt;= "&amp;L12)-COUNTIF(Vertices[Closeness Centrality],"&gt;="&amp;L13)</f>
        <v>0</v>
      </c>
      <c r="N12" s="35">
        <f t="shared" si="6"/>
        <v>0.20603235294117644</v>
      </c>
      <c r="O12" s="36">
        <f>COUNTIF(Vertices[Eigenvector Centrality],"&gt;= "&amp;N12)-COUNTIF(Vertices[Eigenvector Centrality],"&gt;="&amp;N13)</f>
        <v>0</v>
      </c>
      <c r="P12" s="35">
        <f t="shared" si="7"/>
        <v>0.010746764705882353</v>
      </c>
      <c r="Q12" s="36">
        <f>COUNTIF(Vertices[PageRank],"&gt;= "&amp;P12)-COUNTIF(Vertices[PageRank],"&gt;="&amp;P13)</f>
        <v>0</v>
      </c>
      <c r="R12" s="35">
        <f t="shared" si="8"/>
        <v>0.29411764705882354</v>
      </c>
      <c r="S12" s="41">
        <f>COUNTIF(Vertices[Clustering Coefficient],"&gt;= "&amp;R12)-COUNTIF(Vertices[Clustering Coefficient],"&gt;="&amp;R13)</f>
        <v>0</v>
      </c>
      <c r="T12" s="35" t="e">
        <f ca="1" t="shared" si="9"/>
        <v>#REF!</v>
      </c>
      <c r="U12" s="36" t="e">
        <f ca="1" t="shared" si="0"/>
        <v>#REF!</v>
      </c>
    </row>
    <row r="13" spans="1:21" ht="15">
      <c r="A13" s="32" t="s">
        <v>1988</v>
      </c>
      <c r="B13" s="32">
        <v>7</v>
      </c>
      <c r="D13" s="30">
        <f t="shared" si="1"/>
        <v>0</v>
      </c>
      <c r="E13">
        <f>COUNTIF(Vertices[Degree],"&gt;= "&amp;D13)-COUNTIF(Vertices[Degree],"&gt;="&amp;D14)</f>
        <v>0</v>
      </c>
      <c r="F13" s="37">
        <f t="shared" si="2"/>
        <v>23.294117647058822</v>
      </c>
      <c r="G13" s="38">
        <f>COUNTIF(Vertices[In-Degree],"&gt;= "&amp;F13)-COUNTIF(Vertices[In-Degree],"&gt;="&amp;F14)</f>
        <v>0</v>
      </c>
      <c r="H13" s="37">
        <f t="shared" si="3"/>
        <v>13.911764705882355</v>
      </c>
      <c r="I13" s="38">
        <f>COUNTIF(Vertices[Out-Degree],"&gt;= "&amp;H13)-COUNTIF(Vertices[Out-Degree],"&gt;="&amp;H14)</f>
        <v>0</v>
      </c>
      <c r="J13" s="37">
        <f t="shared" si="4"/>
        <v>9573.954248294116</v>
      </c>
      <c r="K13" s="38">
        <f>COUNTIF(Vertices[Betweenness Centrality],"&gt;= "&amp;J13)-COUNTIF(Vertices[Betweenness Centrality],"&gt;="&amp;J14)</f>
        <v>0</v>
      </c>
      <c r="L13" s="37">
        <f t="shared" si="5"/>
        <v>0.1196871176470588</v>
      </c>
      <c r="M13" s="38">
        <f>COUNTIF(Vertices[Closeness Centrality],"&gt;= "&amp;L13)-COUNTIF(Vertices[Closeness Centrality],"&gt;="&amp;L14)</f>
        <v>0</v>
      </c>
      <c r="N13" s="37">
        <f t="shared" si="6"/>
        <v>0.2266355882352941</v>
      </c>
      <c r="O13" s="38">
        <f>COUNTIF(Vertices[Eigenvector Centrality],"&gt;= "&amp;N13)-COUNTIF(Vertices[Eigenvector Centrality],"&gt;="&amp;N14)</f>
        <v>0</v>
      </c>
      <c r="P13" s="37">
        <f t="shared" si="7"/>
        <v>0.011821441176470588</v>
      </c>
      <c r="Q13" s="38">
        <f>COUNTIF(Vertices[PageRank],"&gt;= "&amp;P13)-COUNTIF(Vertices[PageRank],"&gt;="&amp;P14)</f>
        <v>0</v>
      </c>
      <c r="R13" s="37">
        <f t="shared" si="8"/>
        <v>0.3235294117647059</v>
      </c>
      <c r="S13" s="42">
        <f>COUNTIF(Vertices[Clustering Coefficient],"&gt;= "&amp;R13)-COUNTIF(Vertices[Clustering Coefficient],"&gt;="&amp;R14)</f>
        <v>0</v>
      </c>
      <c r="T13" s="37" t="e">
        <f ca="1" t="shared" si="9"/>
        <v>#REF!</v>
      </c>
      <c r="U13" s="38" t="e">
        <f ca="1" t="shared" si="0"/>
        <v>#REF!</v>
      </c>
    </row>
    <row r="14" spans="1:21" ht="15">
      <c r="A14" s="32" t="s">
        <v>2000</v>
      </c>
      <c r="B14" s="32">
        <v>30</v>
      </c>
      <c r="D14" s="30">
        <f t="shared" si="1"/>
        <v>0</v>
      </c>
      <c r="E14">
        <f>COUNTIF(Vertices[Degree],"&gt;= "&amp;D14)-COUNTIF(Vertices[Degree],"&gt;="&amp;D15)</f>
        <v>0</v>
      </c>
      <c r="F14" s="35">
        <f t="shared" si="2"/>
        <v>25.41176470588235</v>
      </c>
      <c r="G14" s="36">
        <f>COUNTIF(Vertices[In-Degree],"&gt;= "&amp;F14)-COUNTIF(Vertices[In-Degree],"&gt;="&amp;F15)</f>
        <v>0</v>
      </c>
      <c r="H14" s="35">
        <f t="shared" si="3"/>
        <v>15.176470588235297</v>
      </c>
      <c r="I14" s="36">
        <f>COUNTIF(Vertices[Out-Degree],"&gt;= "&amp;H14)-COUNTIF(Vertices[Out-Degree],"&gt;="&amp;H15)</f>
        <v>0</v>
      </c>
      <c r="J14" s="35">
        <f t="shared" si="4"/>
        <v>10444.313725411763</v>
      </c>
      <c r="K14" s="36">
        <f>COUNTIF(Vertices[Betweenness Centrality],"&gt;= "&amp;J14)-COUNTIF(Vertices[Betweenness Centrality],"&gt;="&amp;J15)</f>
        <v>0</v>
      </c>
      <c r="L14" s="35">
        <f t="shared" si="5"/>
        <v>0.13056776470588233</v>
      </c>
      <c r="M14" s="36">
        <f>COUNTIF(Vertices[Closeness Centrality],"&gt;= "&amp;L14)-COUNTIF(Vertices[Closeness Centrality],"&gt;="&amp;L15)</f>
        <v>0</v>
      </c>
      <c r="N14" s="35">
        <f t="shared" si="6"/>
        <v>0.24723882352941173</v>
      </c>
      <c r="O14" s="36">
        <f>COUNTIF(Vertices[Eigenvector Centrality],"&gt;= "&amp;N14)-COUNTIF(Vertices[Eigenvector Centrality],"&gt;="&amp;N15)</f>
        <v>0</v>
      </c>
      <c r="P14" s="35">
        <f t="shared" si="7"/>
        <v>0.012896117647058824</v>
      </c>
      <c r="Q14" s="36">
        <f>COUNTIF(Vertices[PageRank],"&gt;= "&amp;P14)-COUNTIF(Vertices[PageRank],"&gt;="&amp;P15)</f>
        <v>0</v>
      </c>
      <c r="R14" s="35">
        <f t="shared" si="8"/>
        <v>0.35294117647058826</v>
      </c>
      <c r="S14" s="41">
        <f>COUNTIF(Vertices[Clustering Coefficient],"&gt;= "&amp;R14)-COUNTIF(Vertices[Clustering Coefficient],"&gt;="&amp;R15)</f>
        <v>0</v>
      </c>
      <c r="T14" s="35" t="e">
        <f ca="1" t="shared" si="9"/>
        <v>#REF!</v>
      </c>
      <c r="U14" s="36" t="e">
        <f ca="1" t="shared" si="0"/>
        <v>#REF!</v>
      </c>
    </row>
    <row r="15" spans="1:21" ht="15">
      <c r="A15" s="32" t="s">
        <v>1984</v>
      </c>
      <c r="B15" s="32">
        <v>79</v>
      </c>
      <c r="D15" s="30">
        <f t="shared" si="1"/>
        <v>0</v>
      </c>
      <c r="E15">
        <f>COUNTIF(Vertices[Degree],"&gt;= "&amp;D15)-COUNTIF(Vertices[Degree],"&gt;="&amp;D16)</f>
        <v>0</v>
      </c>
      <c r="F15" s="37">
        <f t="shared" si="2"/>
        <v>27.52941176470588</v>
      </c>
      <c r="G15" s="38">
        <f>COUNTIF(Vertices[In-Degree],"&gt;= "&amp;F15)-COUNTIF(Vertices[In-Degree],"&gt;="&amp;F16)</f>
        <v>0</v>
      </c>
      <c r="H15" s="37">
        <f t="shared" si="3"/>
        <v>16.44117647058824</v>
      </c>
      <c r="I15" s="38">
        <f>COUNTIF(Vertices[Out-Degree],"&gt;= "&amp;H15)-COUNTIF(Vertices[Out-Degree],"&gt;="&amp;H16)</f>
        <v>0</v>
      </c>
      <c r="J15" s="37">
        <f t="shared" si="4"/>
        <v>11314.67320252941</v>
      </c>
      <c r="K15" s="38">
        <f>COUNTIF(Vertices[Betweenness Centrality],"&gt;= "&amp;J15)-COUNTIF(Vertices[Betweenness Centrality],"&gt;="&amp;J16)</f>
        <v>0</v>
      </c>
      <c r="L15" s="37">
        <f t="shared" si="5"/>
        <v>0.14144841176470585</v>
      </c>
      <c r="M15" s="38">
        <f>COUNTIF(Vertices[Closeness Centrality],"&gt;= "&amp;L15)-COUNTIF(Vertices[Closeness Centrality],"&gt;="&amp;L16)</f>
        <v>13</v>
      </c>
      <c r="N15" s="37">
        <f t="shared" si="6"/>
        <v>0.2678420588235294</v>
      </c>
      <c r="O15" s="38">
        <f>COUNTIF(Vertices[Eigenvector Centrality],"&gt;= "&amp;N15)-COUNTIF(Vertices[Eigenvector Centrality],"&gt;="&amp;N16)</f>
        <v>0</v>
      </c>
      <c r="P15" s="37">
        <f t="shared" si="7"/>
        <v>0.013970794117647059</v>
      </c>
      <c r="Q15" s="38">
        <f>COUNTIF(Vertices[PageRank],"&gt;= "&amp;P15)-COUNTIF(Vertices[PageRank],"&gt;="&amp;P16)</f>
        <v>0</v>
      </c>
      <c r="R15" s="37">
        <f t="shared" si="8"/>
        <v>0.3823529411764706</v>
      </c>
      <c r="S15" s="42">
        <f>COUNTIF(Vertices[Clustering Coefficient],"&gt;= "&amp;R15)-COUNTIF(Vertices[Clustering Coefficient],"&gt;="&amp;R16)</f>
        <v>0</v>
      </c>
      <c r="T15" s="37" t="e">
        <f ca="1" t="shared" si="9"/>
        <v>#REF!</v>
      </c>
      <c r="U15" s="38" t="e">
        <f ca="1" t="shared" si="0"/>
        <v>#REF!</v>
      </c>
    </row>
    <row r="16" spans="1:21" ht="15">
      <c r="A16" s="32" t="s">
        <v>2040</v>
      </c>
      <c r="B16" s="32">
        <v>3</v>
      </c>
      <c r="D16" s="30">
        <f t="shared" si="1"/>
        <v>0</v>
      </c>
      <c r="E16">
        <f>COUNTIF(Vertices[Degree],"&gt;= "&amp;D16)-COUNTIF(Vertices[Degree],"&gt;="&amp;D17)</f>
        <v>0</v>
      </c>
      <c r="F16" s="35">
        <f t="shared" si="2"/>
        <v>29.64705882352941</v>
      </c>
      <c r="G16" s="36">
        <f>COUNTIF(Vertices[In-Degree],"&gt;= "&amp;F16)-COUNTIF(Vertices[In-Degree],"&gt;="&amp;F17)</f>
        <v>0</v>
      </c>
      <c r="H16" s="35">
        <f t="shared" si="3"/>
        <v>17.70588235294118</v>
      </c>
      <c r="I16" s="36">
        <f>COUNTIF(Vertices[Out-Degree],"&gt;= "&amp;H16)-COUNTIF(Vertices[Out-Degree],"&gt;="&amp;H17)</f>
        <v>0</v>
      </c>
      <c r="J16" s="35">
        <f t="shared" si="4"/>
        <v>12185.032679647056</v>
      </c>
      <c r="K16" s="36">
        <f>COUNTIF(Vertices[Betweenness Centrality],"&gt;= "&amp;J16)-COUNTIF(Vertices[Betweenness Centrality],"&gt;="&amp;J17)</f>
        <v>0</v>
      </c>
      <c r="L16" s="35">
        <f t="shared" si="5"/>
        <v>0.15232905882352937</v>
      </c>
      <c r="M16" s="36">
        <f>COUNTIF(Vertices[Closeness Centrality],"&gt;= "&amp;L16)-COUNTIF(Vertices[Closeness Centrality],"&gt;="&amp;L17)</f>
        <v>26</v>
      </c>
      <c r="N16" s="35">
        <f t="shared" si="6"/>
        <v>0.2884452941176471</v>
      </c>
      <c r="O16" s="36">
        <f>COUNTIF(Vertices[Eigenvector Centrality],"&gt;= "&amp;N16)-COUNTIF(Vertices[Eigenvector Centrality],"&gt;="&amp;N17)</f>
        <v>0</v>
      </c>
      <c r="P16" s="35">
        <f t="shared" si="7"/>
        <v>0.015045470588235294</v>
      </c>
      <c r="Q16" s="36">
        <f>COUNTIF(Vertices[PageRank],"&gt;= "&amp;P16)-COUNTIF(Vertices[PageRank],"&gt;="&amp;P17)</f>
        <v>0</v>
      </c>
      <c r="R16" s="35">
        <f t="shared" si="8"/>
        <v>0.411764705882353</v>
      </c>
      <c r="S16" s="41">
        <f>COUNTIF(Vertices[Clustering Coefficient],"&gt;= "&amp;R16)-COUNTIF(Vertices[Clustering Coefficient],"&gt;="&amp;R17)</f>
        <v>0</v>
      </c>
      <c r="T16" s="35" t="e">
        <f ca="1" t="shared" si="9"/>
        <v>#REF!</v>
      </c>
      <c r="U16" s="36" t="e">
        <f ca="1" t="shared" si="0"/>
        <v>#REF!</v>
      </c>
    </row>
    <row r="17" spans="1:21" ht="15">
      <c r="A17" s="32" t="s">
        <v>2042</v>
      </c>
      <c r="B17" s="32">
        <v>1</v>
      </c>
      <c r="D17" s="30">
        <f t="shared" si="1"/>
        <v>0</v>
      </c>
      <c r="E17">
        <f>COUNTIF(Vertices[Degree],"&gt;= "&amp;D17)-COUNTIF(Vertices[Degree],"&gt;="&amp;D18)</f>
        <v>0</v>
      </c>
      <c r="F17" s="37">
        <f t="shared" si="2"/>
        <v>31.76470588235294</v>
      </c>
      <c r="G17" s="38">
        <f>COUNTIF(Vertices[In-Degree],"&gt;= "&amp;F17)-COUNTIF(Vertices[In-Degree],"&gt;="&amp;F18)</f>
        <v>0</v>
      </c>
      <c r="H17" s="37">
        <f t="shared" si="3"/>
        <v>18.970588235294123</v>
      </c>
      <c r="I17" s="38">
        <f>COUNTIF(Vertices[Out-Degree],"&gt;= "&amp;H17)-COUNTIF(Vertices[Out-Degree],"&gt;="&amp;H18)</f>
        <v>0</v>
      </c>
      <c r="J17" s="37">
        <f t="shared" si="4"/>
        <v>13055.392156764703</v>
      </c>
      <c r="K17" s="38">
        <f>COUNTIF(Vertices[Betweenness Centrality],"&gt;= "&amp;J17)-COUNTIF(Vertices[Betweenness Centrality],"&gt;="&amp;J18)</f>
        <v>0</v>
      </c>
      <c r="L17" s="37">
        <f t="shared" si="5"/>
        <v>0.1632097058823529</v>
      </c>
      <c r="M17" s="38">
        <f>COUNTIF(Vertices[Closeness Centrality],"&gt;= "&amp;L17)-COUNTIF(Vertices[Closeness Centrality],"&gt;="&amp;L18)</f>
        <v>27</v>
      </c>
      <c r="N17" s="37">
        <f t="shared" si="6"/>
        <v>0.30904852941176475</v>
      </c>
      <c r="O17" s="38">
        <f>COUNTIF(Vertices[Eigenvector Centrality],"&gt;= "&amp;N17)-COUNTIF(Vertices[Eigenvector Centrality],"&gt;="&amp;N18)</f>
        <v>0</v>
      </c>
      <c r="P17" s="37">
        <f t="shared" si="7"/>
        <v>0.01612014705882353</v>
      </c>
      <c r="Q17" s="38">
        <f>COUNTIF(Vertices[PageRank],"&gt;= "&amp;P17)-COUNTIF(Vertices[PageRank],"&gt;="&amp;P18)</f>
        <v>0</v>
      </c>
      <c r="R17" s="37">
        <f t="shared" si="8"/>
        <v>0.44117647058823534</v>
      </c>
      <c r="S17" s="42">
        <f>COUNTIF(Vertices[Clustering Coefficient],"&gt;= "&amp;R17)-COUNTIF(Vertices[Clustering Coefficient],"&gt;="&amp;R18)</f>
        <v>0</v>
      </c>
      <c r="T17" s="37" t="e">
        <f ca="1" t="shared" si="9"/>
        <v>#REF!</v>
      </c>
      <c r="U17" s="38" t="e">
        <f ca="1" t="shared" si="0"/>
        <v>#REF!</v>
      </c>
    </row>
    <row r="18" spans="1:21" ht="15">
      <c r="A18" s="32" t="s">
        <v>1978</v>
      </c>
      <c r="B18" s="32">
        <v>6</v>
      </c>
      <c r="D18" s="30">
        <f t="shared" si="1"/>
        <v>0</v>
      </c>
      <c r="E18">
        <f>COUNTIF(Vertices[Degree],"&gt;= "&amp;D18)-COUNTIF(Vertices[Degree],"&gt;="&amp;D19)</f>
        <v>0</v>
      </c>
      <c r="F18" s="35">
        <f t="shared" si="2"/>
        <v>33.88235294117647</v>
      </c>
      <c r="G18" s="36">
        <f>COUNTIF(Vertices[In-Degree],"&gt;= "&amp;F18)-COUNTIF(Vertices[In-Degree],"&gt;="&amp;F19)</f>
        <v>0</v>
      </c>
      <c r="H18" s="35">
        <f t="shared" si="3"/>
        <v>20.235294117647065</v>
      </c>
      <c r="I18" s="36">
        <f>COUNTIF(Vertices[Out-Degree],"&gt;= "&amp;H18)-COUNTIF(Vertices[Out-Degree],"&gt;="&amp;H19)</f>
        <v>0</v>
      </c>
      <c r="J18" s="35">
        <f t="shared" si="4"/>
        <v>13925.75163388235</v>
      </c>
      <c r="K18" s="36">
        <f>COUNTIF(Vertices[Betweenness Centrality],"&gt;= "&amp;J18)-COUNTIF(Vertices[Betweenness Centrality],"&gt;="&amp;J19)</f>
        <v>0</v>
      </c>
      <c r="L18" s="35">
        <f t="shared" si="5"/>
        <v>0.17409035294117642</v>
      </c>
      <c r="M18" s="36">
        <f>COUNTIF(Vertices[Closeness Centrality],"&gt;= "&amp;L18)-COUNTIF(Vertices[Closeness Centrality],"&gt;="&amp;L19)</f>
        <v>0</v>
      </c>
      <c r="N18" s="35">
        <f t="shared" si="6"/>
        <v>0.3296517647058824</v>
      </c>
      <c r="O18" s="36">
        <f>COUNTIF(Vertices[Eigenvector Centrality],"&gt;= "&amp;N18)-COUNTIF(Vertices[Eigenvector Centrality],"&gt;="&amp;N19)</f>
        <v>0</v>
      </c>
      <c r="P18" s="35">
        <f t="shared" si="7"/>
        <v>0.017194823529411766</v>
      </c>
      <c r="Q18" s="36">
        <f>COUNTIF(Vertices[PageRank],"&gt;= "&amp;P18)-COUNTIF(Vertices[PageRank],"&gt;="&amp;P19)</f>
        <v>0</v>
      </c>
      <c r="R18" s="35">
        <f t="shared" si="8"/>
        <v>0.4705882352941177</v>
      </c>
      <c r="S18" s="41">
        <f>COUNTIF(Vertices[Clustering Coefficient],"&gt;= "&amp;R18)-COUNTIF(Vertices[Clustering Coefficient],"&gt;="&amp;R19)</f>
        <v>0</v>
      </c>
      <c r="T18" s="35" t="e">
        <f ca="1" t="shared" si="9"/>
        <v>#REF!</v>
      </c>
      <c r="U18" s="36" t="e">
        <f ca="1" t="shared" si="0"/>
        <v>#REF!</v>
      </c>
    </row>
    <row r="19" spans="1:21" ht="15">
      <c r="A19" s="32" t="s">
        <v>2041</v>
      </c>
      <c r="B19" s="32">
        <v>22</v>
      </c>
      <c r="D19" s="30">
        <f t="shared" si="1"/>
        <v>0</v>
      </c>
      <c r="E19">
        <f>COUNTIF(Vertices[Degree],"&gt;= "&amp;D19)-COUNTIF(Vertices[Degree],"&gt;="&amp;D20)</f>
        <v>0</v>
      </c>
      <c r="F19" s="37">
        <f t="shared" si="2"/>
        <v>36</v>
      </c>
      <c r="G19" s="38">
        <f>COUNTIF(Vertices[In-Degree],"&gt;= "&amp;F19)-COUNTIF(Vertices[In-Degree],"&gt;="&amp;F20)</f>
        <v>0</v>
      </c>
      <c r="H19" s="37">
        <f t="shared" si="3"/>
        <v>21.500000000000007</v>
      </c>
      <c r="I19" s="38">
        <f>COUNTIF(Vertices[Out-Degree],"&gt;= "&amp;H19)-COUNTIF(Vertices[Out-Degree],"&gt;="&amp;H20)</f>
        <v>0</v>
      </c>
      <c r="J19" s="37">
        <f t="shared" si="4"/>
        <v>14796.111110999997</v>
      </c>
      <c r="K19" s="38">
        <f>COUNTIF(Vertices[Betweenness Centrality],"&gt;= "&amp;J19)-COUNTIF(Vertices[Betweenness Centrality],"&gt;="&amp;J20)</f>
        <v>0</v>
      </c>
      <c r="L19" s="37">
        <f t="shared" si="5"/>
        <v>0.18497099999999994</v>
      </c>
      <c r="M19" s="38">
        <f>COUNTIF(Vertices[Closeness Centrality],"&gt;= "&amp;L19)-COUNTIF(Vertices[Closeness Centrality],"&gt;="&amp;L20)</f>
        <v>0</v>
      </c>
      <c r="N19" s="37">
        <f t="shared" si="6"/>
        <v>0.3502550000000001</v>
      </c>
      <c r="O19" s="38">
        <f>COUNTIF(Vertices[Eigenvector Centrality],"&gt;= "&amp;N19)-COUNTIF(Vertices[Eigenvector Centrality],"&gt;="&amp;N20)</f>
        <v>0</v>
      </c>
      <c r="P19" s="37">
        <f t="shared" si="7"/>
        <v>0.0182695</v>
      </c>
      <c r="Q19" s="38">
        <f>COUNTIF(Vertices[PageRank],"&gt;= "&amp;P19)-COUNTIF(Vertices[PageRank],"&gt;="&amp;P20)</f>
        <v>0</v>
      </c>
      <c r="R19" s="37">
        <f t="shared" si="8"/>
        <v>0.5</v>
      </c>
      <c r="S19" s="42">
        <f>COUNTIF(Vertices[Clustering Coefficient],"&gt;= "&amp;R19)-COUNTIF(Vertices[Clustering Coefficient],"&gt;="&amp;R20)</f>
        <v>5</v>
      </c>
      <c r="T19" s="37" t="e">
        <f ca="1" t="shared" si="9"/>
        <v>#REF!</v>
      </c>
      <c r="U19" s="38" t="e">
        <f ca="1" t="shared" si="0"/>
        <v>#REF!</v>
      </c>
    </row>
    <row r="20" spans="1:21" ht="15">
      <c r="A20" s="32" t="s">
        <v>1985</v>
      </c>
      <c r="B20" s="32">
        <v>3</v>
      </c>
      <c r="D20" s="30">
        <f t="shared" si="1"/>
        <v>0</v>
      </c>
      <c r="E20">
        <f>COUNTIF(Vertices[Degree],"&gt;= "&amp;D20)-COUNTIF(Vertices[Degree],"&gt;="&amp;D21)</f>
        <v>0</v>
      </c>
      <c r="F20" s="35">
        <f t="shared" si="2"/>
        <v>38.11764705882353</v>
      </c>
      <c r="G20" s="36">
        <f>COUNTIF(Vertices[In-Degree],"&gt;= "&amp;F20)-COUNTIF(Vertices[In-Degree],"&gt;="&amp;F21)</f>
        <v>0</v>
      </c>
      <c r="H20" s="35">
        <f t="shared" si="3"/>
        <v>22.76470588235295</v>
      </c>
      <c r="I20" s="36">
        <f>COUNTIF(Vertices[Out-Degree],"&gt;= "&amp;H20)-COUNTIF(Vertices[Out-Degree],"&gt;="&amp;H21)</f>
        <v>0</v>
      </c>
      <c r="J20" s="35">
        <f t="shared" si="4"/>
        <v>15666.470588117643</v>
      </c>
      <c r="K20" s="36">
        <f>COUNTIF(Vertices[Betweenness Centrality],"&gt;= "&amp;J20)-COUNTIF(Vertices[Betweenness Centrality],"&gt;="&amp;J21)</f>
        <v>0</v>
      </c>
      <c r="L20" s="35">
        <f t="shared" si="5"/>
        <v>0.19585164705882346</v>
      </c>
      <c r="M20" s="36">
        <f>COUNTIF(Vertices[Closeness Centrality],"&gt;= "&amp;L20)-COUNTIF(Vertices[Closeness Centrality],"&gt;="&amp;L21)</f>
        <v>0</v>
      </c>
      <c r="N20" s="35">
        <f t="shared" si="6"/>
        <v>0.37085823529411777</v>
      </c>
      <c r="O20" s="36">
        <f>COUNTIF(Vertices[Eigenvector Centrality],"&gt;= "&amp;N20)-COUNTIF(Vertices[Eigenvector Centrality],"&gt;="&amp;N21)</f>
        <v>0</v>
      </c>
      <c r="P20" s="35">
        <f t="shared" si="7"/>
        <v>0.019344176470588236</v>
      </c>
      <c r="Q20" s="36">
        <f>COUNTIF(Vertices[PageRank],"&gt;= "&amp;P20)-COUNTIF(Vertices[PageRank],"&gt;="&amp;P21)</f>
        <v>0</v>
      </c>
      <c r="R20" s="35">
        <f t="shared" si="8"/>
        <v>0.5294117647058824</v>
      </c>
      <c r="S20" s="41">
        <f>COUNTIF(Vertices[Clustering Coefficient],"&gt;= "&amp;R20)-COUNTIF(Vertices[Clustering Coefficient],"&gt;="&amp;R21)</f>
        <v>0</v>
      </c>
      <c r="T20" s="35" t="e">
        <f ca="1" t="shared" si="9"/>
        <v>#REF!</v>
      </c>
      <c r="U20" s="36" t="e">
        <f ca="1" t="shared" si="0"/>
        <v>#REF!</v>
      </c>
    </row>
    <row r="21" spans="1:21" ht="15">
      <c r="A21" s="32" t="s">
        <v>1975</v>
      </c>
      <c r="B21" s="32">
        <v>70</v>
      </c>
      <c r="D21" s="30">
        <f t="shared" si="1"/>
        <v>0</v>
      </c>
      <c r="E21">
        <f>COUNTIF(Vertices[Degree],"&gt;= "&amp;D21)-COUNTIF(Vertices[Degree],"&gt;="&amp;D22)</f>
        <v>0</v>
      </c>
      <c r="F21" s="37">
        <f t="shared" si="2"/>
        <v>40.23529411764706</v>
      </c>
      <c r="G21" s="38">
        <f>COUNTIF(Vertices[In-Degree],"&gt;= "&amp;F21)-COUNTIF(Vertices[In-Degree],"&gt;="&amp;F22)</f>
        <v>0</v>
      </c>
      <c r="H21" s="37">
        <f t="shared" si="3"/>
        <v>24.02941176470589</v>
      </c>
      <c r="I21" s="38">
        <f>COUNTIF(Vertices[Out-Degree],"&gt;= "&amp;H21)-COUNTIF(Vertices[Out-Degree],"&gt;="&amp;H22)</f>
        <v>0</v>
      </c>
      <c r="J21" s="37">
        <f t="shared" si="4"/>
        <v>16536.830065235292</v>
      </c>
      <c r="K21" s="38">
        <f>COUNTIF(Vertices[Betweenness Centrality],"&gt;= "&amp;J21)-COUNTIF(Vertices[Betweenness Centrality],"&gt;="&amp;J22)</f>
        <v>0</v>
      </c>
      <c r="L21" s="37">
        <f t="shared" si="5"/>
        <v>0.206732294117647</v>
      </c>
      <c r="M21" s="38">
        <f>COUNTIF(Vertices[Closeness Centrality],"&gt;= "&amp;L21)-COUNTIF(Vertices[Closeness Centrality],"&gt;="&amp;L22)</f>
        <v>99</v>
      </c>
      <c r="N21" s="37">
        <f t="shared" si="6"/>
        <v>0.39146147058823544</v>
      </c>
      <c r="O21" s="38">
        <f>COUNTIF(Vertices[Eigenvector Centrality],"&gt;= "&amp;N21)-COUNTIF(Vertices[Eigenvector Centrality],"&gt;="&amp;N22)</f>
        <v>0</v>
      </c>
      <c r="P21" s="37">
        <f t="shared" si="7"/>
        <v>0.02041885294117647</v>
      </c>
      <c r="Q21" s="38">
        <f>COUNTIF(Vertices[PageRank],"&gt;= "&amp;P21)-COUNTIF(Vertices[PageRank],"&gt;="&amp;P22)</f>
        <v>0</v>
      </c>
      <c r="R21" s="37">
        <f t="shared" si="8"/>
        <v>0.5588235294117647</v>
      </c>
      <c r="S21" s="42">
        <f>COUNTIF(Vertices[Clustering Coefficient],"&gt;= "&amp;R21)-COUNTIF(Vertices[Clustering Coefficient],"&gt;="&amp;R22)</f>
        <v>0</v>
      </c>
      <c r="T21" s="37" t="e">
        <f ca="1" t="shared" si="9"/>
        <v>#REF!</v>
      </c>
      <c r="U21" s="38" t="e">
        <f ca="1" t="shared" si="0"/>
        <v>#REF!</v>
      </c>
    </row>
    <row r="22" spans="1:21" ht="15">
      <c r="A22" s="106"/>
      <c r="B22" s="106"/>
      <c r="D22" s="30">
        <f t="shared" si="1"/>
        <v>0</v>
      </c>
      <c r="E22">
        <f>COUNTIF(Vertices[Degree],"&gt;= "&amp;D22)-COUNTIF(Vertices[Degree],"&gt;="&amp;D23)</f>
        <v>0</v>
      </c>
      <c r="F22" s="35">
        <f t="shared" si="2"/>
        <v>42.35294117647059</v>
      </c>
      <c r="G22" s="36">
        <f>COUNTIF(Vertices[In-Degree],"&gt;= "&amp;F22)-COUNTIF(Vertices[In-Degree],"&gt;="&amp;F23)</f>
        <v>0</v>
      </c>
      <c r="H22" s="35">
        <f t="shared" si="3"/>
        <v>25.294117647058833</v>
      </c>
      <c r="I22" s="36">
        <f>COUNTIF(Vertices[Out-Degree],"&gt;= "&amp;H22)-COUNTIF(Vertices[Out-Degree],"&gt;="&amp;H23)</f>
        <v>0</v>
      </c>
      <c r="J22" s="35">
        <f t="shared" si="4"/>
        <v>17407.18954235294</v>
      </c>
      <c r="K22" s="36">
        <f>COUNTIF(Vertices[Betweenness Centrality],"&gt;= "&amp;J22)-COUNTIF(Vertices[Betweenness Centrality],"&gt;="&amp;J23)</f>
        <v>0</v>
      </c>
      <c r="L22" s="35">
        <f t="shared" si="5"/>
        <v>0.2176129411764705</v>
      </c>
      <c r="M22" s="36">
        <f>COUNTIF(Vertices[Closeness Centrality],"&gt;= "&amp;L22)-COUNTIF(Vertices[Closeness Centrality],"&gt;="&amp;L23)</f>
        <v>6</v>
      </c>
      <c r="N22" s="35">
        <f t="shared" si="6"/>
        <v>0.4120647058823531</v>
      </c>
      <c r="O22" s="36">
        <f>COUNTIF(Vertices[Eigenvector Centrality],"&gt;= "&amp;N22)-COUNTIF(Vertices[Eigenvector Centrality],"&gt;="&amp;N23)</f>
        <v>0</v>
      </c>
      <c r="P22" s="35">
        <f t="shared" si="7"/>
        <v>0.021493529411764706</v>
      </c>
      <c r="Q22" s="36">
        <f>COUNTIF(Vertices[PageRank],"&gt;= "&amp;P22)-COUNTIF(Vertices[PageRank],"&gt;="&amp;P23)</f>
        <v>0</v>
      </c>
      <c r="R22" s="35">
        <f t="shared" si="8"/>
        <v>0.5882352941176471</v>
      </c>
      <c r="S22" s="41">
        <f>COUNTIF(Vertices[Clustering Coefficient],"&gt;= "&amp;R22)-COUNTIF(Vertices[Clustering Coefficient],"&gt;="&amp;R23)</f>
        <v>0</v>
      </c>
      <c r="T22" s="35" t="e">
        <f ca="1" t="shared" si="9"/>
        <v>#REF!</v>
      </c>
      <c r="U22" s="36" t="e">
        <f ca="1" t="shared" si="0"/>
        <v>#REF!</v>
      </c>
    </row>
    <row r="23" spans="1:21" ht="15">
      <c r="A23" s="32" t="s">
        <v>151</v>
      </c>
      <c r="B23" s="32">
        <v>978</v>
      </c>
      <c r="D23" s="30">
        <f t="shared" si="1"/>
        <v>0</v>
      </c>
      <c r="E23">
        <f>COUNTIF(Vertices[Degree],"&gt;= "&amp;D23)-COUNTIF(Vertices[Degree],"&gt;="&amp;D24)</f>
        <v>0</v>
      </c>
      <c r="F23" s="37">
        <f t="shared" si="2"/>
        <v>44.470588235294116</v>
      </c>
      <c r="G23" s="38">
        <f>COUNTIF(Vertices[In-Degree],"&gt;= "&amp;F23)-COUNTIF(Vertices[In-Degree],"&gt;="&amp;F24)</f>
        <v>0</v>
      </c>
      <c r="H23" s="37">
        <f t="shared" si="3"/>
        <v>26.558823529411775</v>
      </c>
      <c r="I23" s="38">
        <f>COUNTIF(Vertices[Out-Degree],"&gt;= "&amp;H23)-COUNTIF(Vertices[Out-Degree],"&gt;="&amp;H24)</f>
        <v>0</v>
      </c>
      <c r="J23" s="37">
        <f t="shared" si="4"/>
        <v>18277.549019470585</v>
      </c>
      <c r="K23" s="38">
        <f>COUNTIF(Vertices[Betweenness Centrality],"&gt;= "&amp;J23)-COUNTIF(Vertices[Betweenness Centrality],"&gt;="&amp;J24)</f>
        <v>0</v>
      </c>
      <c r="L23" s="37">
        <f t="shared" si="5"/>
        <v>0.22849358823529403</v>
      </c>
      <c r="M23" s="38">
        <f>COUNTIF(Vertices[Closeness Centrality],"&gt;= "&amp;L23)-COUNTIF(Vertices[Closeness Centrality],"&gt;="&amp;L24)</f>
        <v>4</v>
      </c>
      <c r="N23" s="37">
        <f t="shared" si="6"/>
        <v>0.4326679411764708</v>
      </c>
      <c r="O23" s="38">
        <f>COUNTIF(Vertices[Eigenvector Centrality],"&gt;= "&amp;N23)-COUNTIF(Vertices[Eigenvector Centrality],"&gt;="&amp;N24)</f>
        <v>0</v>
      </c>
      <c r="P23" s="37">
        <f t="shared" si="7"/>
        <v>0.02256820588235294</v>
      </c>
      <c r="Q23" s="38">
        <f>COUNTIF(Vertices[PageRank],"&gt;= "&amp;P23)-COUNTIF(Vertices[PageRank],"&gt;="&amp;P24)</f>
        <v>0</v>
      </c>
      <c r="R23" s="37">
        <f t="shared" si="8"/>
        <v>0.6176470588235294</v>
      </c>
      <c r="S23" s="42">
        <f>COUNTIF(Vertices[Clustering Coefficient],"&gt;= "&amp;R23)-COUNTIF(Vertices[Clustering Coefficient],"&gt;="&amp;R24)</f>
        <v>0</v>
      </c>
      <c r="T23" s="37" t="e">
        <f ca="1" t="shared" si="9"/>
        <v>#REF!</v>
      </c>
      <c r="U23" s="38" t="e">
        <f ca="1" t="shared" si="0"/>
        <v>#REF!</v>
      </c>
    </row>
    <row r="24" spans="1:21" ht="15">
      <c r="A24" s="106"/>
      <c r="B24" s="106"/>
      <c r="D24" s="30">
        <f t="shared" si="1"/>
        <v>0</v>
      </c>
      <c r="E24">
        <f>COUNTIF(Vertices[Degree],"&gt;= "&amp;D24)-COUNTIF(Vertices[Degree],"&gt;="&amp;D25)</f>
        <v>0</v>
      </c>
      <c r="F24" s="35">
        <f t="shared" si="2"/>
        <v>46.588235294117645</v>
      </c>
      <c r="G24" s="36">
        <f>COUNTIF(Vertices[In-Degree],"&gt;= "&amp;F24)-COUNTIF(Vertices[In-Degree],"&gt;="&amp;F25)</f>
        <v>0</v>
      </c>
      <c r="H24" s="35">
        <f t="shared" si="3"/>
        <v>27.823529411764717</v>
      </c>
      <c r="I24" s="36">
        <f>COUNTIF(Vertices[Out-Degree],"&gt;= "&amp;H24)-COUNTIF(Vertices[Out-Degree],"&gt;="&amp;H25)</f>
        <v>0</v>
      </c>
      <c r="J24" s="35">
        <f t="shared" si="4"/>
        <v>19147.908496588232</v>
      </c>
      <c r="K24" s="36">
        <f>COUNTIF(Vertices[Betweenness Centrality],"&gt;= "&amp;J24)-COUNTIF(Vertices[Betweenness Centrality],"&gt;="&amp;J25)</f>
        <v>0</v>
      </c>
      <c r="L24" s="35">
        <f t="shared" si="5"/>
        <v>0.23937423529411755</v>
      </c>
      <c r="M24" s="36">
        <f>COUNTIF(Vertices[Closeness Centrality],"&gt;= "&amp;L24)-COUNTIF(Vertices[Closeness Centrality],"&gt;="&amp;L25)</f>
        <v>1</v>
      </c>
      <c r="N24" s="35">
        <f t="shared" si="6"/>
        <v>0.45327117647058845</v>
      </c>
      <c r="O24" s="36">
        <f>COUNTIF(Vertices[Eigenvector Centrality],"&gt;= "&amp;N24)-COUNTIF(Vertices[Eigenvector Centrality],"&gt;="&amp;N25)</f>
        <v>0</v>
      </c>
      <c r="P24" s="35">
        <f t="shared" si="7"/>
        <v>0.023642882352941177</v>
      </c>
      <c r="Q24" s="36">
        <f>COUNTIF(Vertices[PageRank],"&gt;= "&amp;P24)-COUNTIF(Vertices[PageRank],"&gt;="&amp;P25)</f>
        <v>0</v>
      </c>
      <c r="R24" s="35">
        <f t="shared" si="8"/>
        <v>0.6470588235294118</v>
      </c>
      <c r="S24" s="41">
        <f>COUNTIF(Vertices[Clustering Coefficient],"&gt;= "&amp;R24)-COUNTIF(Vertices[Clustering Coefficient],"&gt;="&amp;R25)</f>
        <v>6</v>
      </c>
      <c r="T24" s="35" t="e">
        <f ca="1" t="shared" si="9"/>
        <v>#REF!</v>
      </c>
      <c r="U24" s="36" t="e">
        <f ca="1" t="shared" si="0"/>
        <v>#REF!</v>
      </c>
    </row>
    <row r="25" spans="1:21" ht="15">
      <c r="A25" s="32" t="s">
        <v>170</v>
      </c>
      <c r="B25" s="32">
        <v>0.025925925925925925</v>
      </c>
      <c r="D25" s="30">
        <f t="shared" si="1"/>
        <v>0</v>
      </c>
      <c r="E25">
        <f>COUNTIF(Vertices[Degree],"&gt;= "&amp;D25)-COUNTIF(Vertices[Degree],"&gt;="&amp;D26)</f>
        <v>0</v>
      </c>
      <c r="F25" s="37">
        <f t="shared" si="2"/>
        <v>48.705882352941174</v>
      </c>
      <c r="G25" s="38">
        <f>COUNTIF(Vertices[In-Degree],"&gt;= "&amp;F25)-COUNTIF(Vertices[In-Degree],"&gt;="&amp;F26)</f>
        <v>0</v>
      </c>
      <c r="H25" s="37">
        <f t="shared" si="3"/>
        <v>29.08823529411766</v>
      </c>
      <c r="I25" s="38">
        <f>COUNTIF(Vertices[Out-Degree],"&gt;= "&amp;H25)-COUNTIF(Vertices[Out-Degree],"&gt;="&amp;H26)</f>
        <v>0</v>
      </c>
      <c r="J25" s="37">
        <f t="shared" si="4"/>
        <v>20018.26797370588</v>
      </c>
      <c r="K25" s="38">
        <f>COUNTIF(Vertices[Betweenness Centrality],"&gt;= "&amp;J25)-COUNTIF(Vertices[Betweenness Centrality],"&gt;="&amp;J26)</f>
        <v>0</v>
      </c>
      <c r="L25" s="37">
        <f t="shared" si="5"/>
        <v>0.2502548823529411</v>
      </c>
      <c r="M25" s="38">
        <f>COUNTIF(Vertices[Closeness Centrality],"&gt;= "&amp;L25)-COUNTIF(Vertices[Closeness Centrality],"&gt;="&amp;L26)</f>
        <v>0</v>
      </c>
      <c r="N25" s="37">
        <f t="shared" si="6"/>
        <v>0.4738744117647061</v>
      </c>
      <c r="O25" s="38">
        <f>COUNTIF(Vertices[Eigenvector Centrality],"&gt;= "&amp;N25)-COUNTIF(Vertices[Eigenvector Centrality],"&gt;="&amp;N26)</f>
        <v>0</v>
      </c>
      <c r="P25" s="37">
        <f t="shared" si="7"/>
        <v>0.024717558823529412</v>
      </c>
      <c r="Q25" s="38">
        <f>COUNTIF(Vertices[PageRank],"&gt;= "&amp;P25)-COUNTIF(Vertices[PageRank],"&gt;="&amp;P26)</f>
        <v>0</v>
      </c>
      <c r="R25" s="37">
        <f t="shared" si="8"/>
        <v>0.6764705882352942</v>
      </c>
      <c r="S25" s="42">
        <f>COUNTIF(Vertices[Clustering Coefficient],"&gt;= "&amp;R25)-COUNTIF(Vertices[Clustering Coefficient],"&gt;="&amp;R26)</f>
        <v>0</v>
      </c>
      <c r="T25" s="37" t="e">
        <f ca="1" t="shared" si="9"/>
        <v>#REF!</v>
      </c>
      <c r="U25" s="38" t="e">
        <f ca="1" t="shared" si="0"/>
        <v>#REF!</v>
      </c>
    </row>
    <row r="26" spans="1:21" ht="15">
      <c r="A26" s="32" t="s">
        <v>171</v>
      </c>
      <c r="B26" s="32">
        <v>0.05054151624548736</v>
      </c>
      <c r="D26" s="30">
        <f t="shared" si="1"/>
        <v>0</v>
      </c>
      <c r="E26">
        <f>COUNTIF(Vertices[Degree],"&gt;= "&amp;D26)-COUNTIF(Vertices[Degree],"&gt;="&amp;D27)</f>
        <v>0</v>
      </c>
      <c r="F26" s="35">
        <f t="shared" si="2"/>
        <v>50.8235294117647</v>
      </c>
      <c r="G26" s="36">
        <f>COUNTIF(Vertices[In-Degree],"&gt;= "&amp;F26)-COUNTIF(Vertices[In-Degree],"&gt;="&amp;F27)</f>
        <v>0</v>
      </c>
      <c r="H26" s="35">
        <f t="shared" si="3"/>
        <v>30.3529411764706</v>
      </c>
      <c r="I26" s="36">
        <f>COUNTIF(Vertices[Out-Degree],"&gt;= "&amp;H26)-COUNTIF(Vertices[Out-Degree],"&gt;="&amp;H27)</f>
        <v>1</v>
      </c>
      <c r="J26" s="35">
        <f t="shared" si="4"/>
        <v>20888.627450823526</v>
      </c>
      <c r="K26" s="36">
        <f>COUNTIF(Vertices[Betweenness Centrality],"&gt;= "&amp;J26)-COUNTIF(Vertices[Betweenness Centrality],"&gt;="&amp;J27)</f>
        <v>0</v>
      </c>
      <c r="L26" s="35">
        <f t="shared" si="5"/>
        <v>0.2611355294117646</v>
      </c>
      <c r="M26" s="36">
        <f>COUNTIF(Vertices[Closeness Centrality],"&gt;= "&amp;L26)-COUNTIF(Vertices[Closeness Centrality],"&gt;="&amp;L27)</f>
        <v>0</v>
      </c>
      <c r="N26" s="35">
        <f t="shared" si="6"/>
        <v>0.4944776470588238</v>
      </c>
      <c r="O26" s="36">
        <f>COUNTIF(Vertices[Eigenvector Centrality],"&gt;= "&amp;N26)-COUNTIF(Vertices[Eigenvector Centrality],"&gt;="&amp;N27)</f>
        <v>0</v>
      </c>
      <c r="P26" s="35">
        <f t="shared" si="7"/>
        <v>0.025792235294117647</v>
      </c>
      <c r="Q26" s="36">
        <f>COUNTIF(Vertices[PageRank],"&gt;= "&amp;P26)-COUNTIF(Vertices[PageRank],"&gt;="&amp;P27)</f>
        <v>0</v>
      </c>
      <c r="R26" s="35">
        <f t="shared" si="8"/>
        <v>0.7058823529411765</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06"/>
      <c r="B27" s="106"/>
      <c r="D27" s="30">
        <f t="shared" si="1"/>
        <v>0</v>
      </c>
      <c r="E27">
        <f>COUNTIF(Vertices[Degree],"&gt;= "&amp;D27)-COUNTIF(Vertices[Degree],"&gt;="&amp;D28)</f>
        <v>0</v>
      </c>
      <c r="F27" s="37">
        <f t="shared" si="2"/>
        <v>52.94117647058823</v>
      </c>
      <c r="G27" s="38">
        <f>COUNTIF(Vertices[In-Degree],"&gt;= "&amp;F27)-COUNTIF(Vertices[In-Degree],"&gt;="&amp;F28)</f>
        <v>0</v>
      </c>
      <c r="H27" s="37">
        <f t="shared" si="3"/>
        <v>31.617647058823543</v>
      </c>
      <c r="I27" s="38">
        <f>COUNTIF(Vertices[Out-Degree],"&gt;= "&amp;H27)-COUNTIF(Vertices[Out-Degree],"&gt;="&amp;H28)</f>
        <v>0</v>
      </c>
      <c r="J27" s="37">
        <f t="shared" si="4"/>
        <v>21758.986927941172</v>
      </c>
      <c r="K27" s="38">
        <f>COUNTIF(Vertices[Betweenness Centrality],"&gt;= "&amp;J27)-COUNTIF(Vertices[Betweenness Centrality],"&gt;="&amp;J28)</f>
        <v>0</v>
      </c>
      <c r="L27" s="37">
        <f t="shared" si="5"/>
        <v>0.2720161764705881</v>
      </c>
      <c r="M27" s="38">
        <f>COUNTIF(Vertices[Closeness Centrality],"&gt;= "&amp;L27)-COUNTIF(Vertices[Closeness Centrality],"&gt;="&amp;L28)</f>
        <v>0</v>
      </c>
      <c r="N27" s="37">
        <f t="shared" si="6"/>
        <v>0.5150808823529415</v>
      </c>
      <c r="O27" s="38">
        <f>COUNTIF(Vertices[Eigenvector Centrality],"&gt;= "&amp;N27)-COUNTIF(Vertices[Eigenvector Centrality],"&gt;="&amp;N28)</f>
        <v>0</v>
      </c>
      <c r="P27" s="37">
        <f t="shared" si="7"/>
        <v>0.026866911764705882</v>
      </c>
      <c r="Q27" s="38">
        <f>COUNTIF(Vertices[PageRank],"&gt;= "&amp;P27)-COUNTIF(Vertices[PageRank],"&gt;="&amp;P28)</f>
        <v>0</v>
      </c>
      <c r="R27" s="37">
        <f t="shared" si="8"/>
        <v>0.7352941176470589</v>
      </c>
      <c r="S27" s="42">
        <f>COUNTIF(Vertices[Clustering Coefficient],"&gt;= "&amp;R27)-COUNTIF(Vertices[Clustering Coefficient],"&gt;="&amp;R28)</f>
        <v>0</v>
      </c>
      <c r="T27" s="37" t="e">
        <f ca="1" t="shared" si="9"/>
        <v>#REF!</v>
      </c>
      <c r="U27" s="38" t="e">
        <f ca="1" t="shared" si="10"/>
        <v>#REF!</v>
      </c>
    </row>
    <row r="28" spans="1:21" ht="15">
      <c r="A28" s="32" t="s">
        <v>152</v>
      </c>
      <c r="B28" s="32">
        <v>118</v>
      </c>
      <c r="D28" s="30">
        <f t="shared" si="1"/>
        <v>0</v>
      </c>
      <c r="E28">
        <f>COUNTIF(Vertices[Degree],"&gt;= "&amp;D28)-COUNTIF(Vertices[Degree],"&gt;="&amp;D29)</f>
        <v>0</v>
      </c>
      <c r="F28" s="35">
        <f t="shared" si="2"/>
        <v>55.05882352941176</v>
      </c>
      <c r="G28" s="36">
        <f>COUNTIF(Vertices[In-Degree],"&gt;= "&amp;F28)-COUNTIF(Vertices[In-Degree],"&gt;="&amp;F29)</f>
        <v>0</v>
      </c>
      <c r="H28" s="35">
        <f t="shared" si="3"/>
        <v>32.882352941176485</v>
      </c>
      <c r="I28" s="36">
        <f>COUNTIF(Vertices[Out-Degree],"&gt;= "&amp;H28)-COUNTIF(Vertices[Out-Degree],"&gt;="&amp;H29)</f>
        <v>0</v>
      </c>
      <c r="J28" s="35">
        <f t="shared" si="4"/>
        <v>22629.34640505882</v>
      </c>
      <c r="K28" s="36">
        <f>COUNTIF(Vertices[Betweenness Centrality],"&gt;= "&amp;J28)-COUNTIF(Vertices[Betweenness Centrality],"&gt;="&amp;J29)</f>
        <v>0</v>
      </c>
      <c r="L28" s="35">
        <f t="shared" si="5"/>
        <v>0.28289682352941165</v>
      </c>
      <c r="M28" s="36">
        <f>COUNTIF(Vertices[Closeness Centrality],"&gt;= "&amp;L28)-COUNTIF(Vertices[Closeness Centrality],"&gt;="&amp;L29)</f>
        <v>0</v>
      </c>
      <c r="N28" s="35">
        <f t="shared" si="6"/>
        <v>0.5356841176470591</v>
      </c>
      <c r="O28" s="36">
        <f>COUNTIF(Vertices[Eigenvector Centrality],"&gt;= "&amp;N28)-COUNTIF(Vertices[Eigenvector Centrality],"&gt;="&amp;N29)</f>
        <v>0</v>
      </c>
      <c r="P28" s="35">
        <f t="shared" si="7"/>
        <v>0.027941588235294117</v>
      </c>
      <c r="Q28" s="36">
        <f>COUNTIF(Vertices[PageRank],"&gt;= "&amp;P28)-COUNTIF(Vertices[PageRank],"&gt;="&amp;P29)</f>
        <v>0</v>
      </c>
      <c r="R28" s="35">
        <f t="shared" si="8"/>
        <v>0.7647058823529412</v>
      </c>
      <c r="S28" s="41">
        <f>COUNTIF(Vertices[Clustering Coefficient],"&gt;= "&amp;R28)-COUNTIF(Vertices[Clustering Coefficient],"&gt;="&amp;R29)</f>
        <v>0</v>
      </c>
      <c r="T28" s="35" t="e">
        <f ca="1" t="shared" si="9"/>
        <v>#REF!</v>
      </c>
      <c r="U28" s="36" t="e">
        <f ca="1" t="shared" si="10"/>
        <v>#REF!</v>
      </c>
    </row>
    <row r="29" spans="1:21" ht="15">
      <c r="A29" s="32" t="s">
        <v>153</v>
      </c>
      <c r="B29" s="32">
        <v>93</v>
      </c>
      <c r="D29" s="30">
        <f t="shared" si="1"/>
        <v>0</v>
      </c>
      <c r="E29">
        <f>COUNTIF(Vertices[Degree],"&gt;= "&amp;D29)-COUNTIF(Vertices[Degree],"&gt;="&amp;D30)</f>
        <v>0</v>
      </c>
      <c r="F29" s="37">
        <f t="shared" si="2"/>
        <v>57.17647058823529</v>
      </c>
      <c r="G29" s="38">
        <f>COUNTIF(Vertices[In-Degree],"&gt;= "&amp;F29)-COUNTIF(Vertices[In-Degree],"&gt;="&amp;F30)</f>
        <v>0</v>
      </c>
      <c r="H29" s="37">
        <f t="shared" si="3"/>
        <v>34.14705882352943</v>
      </c>
      <c r="I29" s="38">
        <f>COUNTIF(Vertices[Out-Degree],"&gt;= "&amp;H29)-COUNTIF(Vertices[Out-Degree],"&gt;="&amp;H30)</f>
        <v>0</v>
      </c>
      <c r="J29" s="37">
        <f t="shared" si="4"/>
        <v>23499.705882176466</v>
      </c>
      <c r="K29" s="38">
        <f>COUNTIF(Vertices[Betweenness Centrality],"&gt;= "&amp;J29)-COUNTIF(Vertices[Betweenness Centrality],"&gt;="&amp;J30)</f>
        <v>0</v>
      </c>
      <c r="L29" s="37">
        <f t="shared" si="5"/>
        <v>0.29377747058823517</v>
      </c>
      <c r="M29" s="38">
        <f>COUNTIF(Vertices[Closeness Centrality],"&gt;= "&amp;L29)-COUNTIF(Vertices[Closeness Centrality],"&gt;="&amp;L30)</f>
        <v>0</v>
      </c>
      <c r="N29" s="37">
        <f t="shared" si="6"/>
        <v>0.5562873529411768</v>
      </c>
      <c r="O29" s="38">
        <f>COUNTIF(Vertices[Eigenvector Centrality],"&gt;= "&amp;N29)-COUNTIF(Vertices[Eigenvector Centrality],"&gt;="&amp;N30)</f>
        <v>0</v>
      </c>
      <c r="P29" s="37">
        <f t="shared" si="7"/>
        <v>0.029016264705882353</v>
      </c>
      <c r="Q29" s="38">
        <f>COUNTIF(Vertices[PageRank],"&gt;= "&amp;P29)-COUNTIF(Vertices[PageRank],"&gt;="&amp;P30)</f>
        <v>0</v>
      </c>
      <c r="R29" s="37">
        <f t="shared" si="8"/>
        <v>0.7941176470588236</v>
      </c>
      <c r="S29" s="42">
        <f>COUNTIF(Vertices[Clustering Coefficient],"&gt;= "&amp;R29)-COUNTIF(Vertices[Clustering Coefficient],"&gt;="&amp;R30)</f>
        <v>0</v>
      </c>
      <c r="T29" s="37" t="e">
        <f ca="1" t="shared" si="9"/>
        <v>#REF!</v>
      </c>
      <c r="U29" s="38" t="e">
        <f ca="1" t="shared" si="10"/>
        <v>#REF!</v>
      </c>
    </row>
    <row r="30" spans="1:21" ht="15">
      <c r="A30" s="32" t="s">
        <v>154</v>
      </c>
      <c r="B30" s="32">
        <v>177</v>
      </c>
      <c r="D30" s="30">
        <f t="shared" si="1"/>
        <v>0</v>
      </c>
      <c r="E30">
        <f>COUNTIF(Vertices[Degree],"&gt;= "&amp;D30)-COUNTIF(Vertices[Degree],"&gt;="&amp;D31)</f>
        <v>0</v>
      </c>
      <c r="F30" s="35">
        <f t="shared" si="2"/>
        <v>59.29411764705882</v>
      </c>
      <c r="G30" s="36">
        <f>COUNTIF(Vertices[In-Degree],"&gt;= "&amp;F30)-COUNTIF(Vertices[In-Degree],"&gt;="&amp;F31)</f>
        <v>0</v>
      </c>
      <c r="H30" s="35">
        <f t="shared" si="3"/>
        <v>35.41176470588237</v>
      </c>
      <c r="I30" s="36">
        <f>COUNTIF(Vertices[Out-Degree],"&gt;= "&amp;H30)-COUNTIF(Vertices[Out-Degree],"&gt;="&amp;H31)</f>
        <v>0</v>
      </c>
      <c r="J30" s="35">
        <f t="shared" si="4"/>
        <v>24370.065359294113</v>
      </c>
      <c r="K30" s="36">
        <f>COUNTIF(Vertices[Betweenness Centrality],"&gt;= "&amp;J30)-COUNTIF(Vertices[Betweenness Centrality],"&gt;="&amp;J31)</f>
        <v>0</v>
      </c>
      <c r="L30" s="35">
        <f t="shared" si="5"/>
        <v>0.3046581176470587</v>
      </c>
      <c r="M30" s="36">
        <f>COUNTIF(Vertices[Closeness Centrality],"&gt;= "&amp;L30)-COUNTIF(Vertices[Closeness Centrality],"&gt;="&amp;L31)</f>
        <v>0</v>
      </c>
      <c r="N30" s="35">
        <f t="shared" si="6"/>
        <v>0.5768905882352945</v>
      </c>
      <c r="O30" s="36">
        <f>COUNTIF(Vertices[Eigenvector Centrality],"&gt;= "&amp;N30)-COUNTIF(Vertices[Eigenvector Centrality],"&gt;="&amp;N31)</f>
        <v>0</v>
      </c>
      <c r="P30" s="35">
        <f t="shared" si="7"/>
        <v>0.030090941176470588</v>
      </c>
      <c r="Q30" s="36">
        <f>COUNTIF(Vertices[PageRank],"&gt;= "&amp;P30)-COUNTIF(Vertices[PageRank],"&gt;="&amp;P31)</f>
        <v>0</v>
      </c>
      <c r="R30" s="35">
        <f t="shared" si="8"/>
        <v>0.823529411764706</v>
      </c>
      <c r="S30" s="41">
        <f>COUNTIF(Vertices[Clustering Coefficient],"&gt;= "&amp;R30)-COUNTIF(Vertices[Clustering Coefficient],"&gt;="&amp;R31)</f>
        <v>0</v>
      </c>
      <c r="T30" s="35" t="e">
        <f ca="1" t="shared" si="9"/>
        <v>#REF!</v>
      </c>
      <c r="U30" s="36" t="e">
        <f ca="1" t="shared" si="10"/>
        <v>#REF!</v>
      </c>
    </row>
    <row r="31" spans="1:21" ht="15">
      <c r="A31" s="32" t="s">
        <v>155</v>
      </c>
      <c r="B31" s="32">
        <v>1010</v>
      </c>
      <c r="D31" s="30">
        <f t="shared" si="1"/>
        <v>0</v>
      </c>
      <c r="E31">
        <f>COUNTIF(Vertices[Degree],"&gt;= "&amp;D31)-COUNTIF(Vertices[Degree],"&gt;="&amp;D32)</f>
        <v>0</v>
      </c>
      <c r="F31" s="37">
        <f t="shared" si="2"/>
        <v>61.41176470588235</v>
      </c>
      <c r="G31" s="38">
        <f>COUNTIF(Vertices[In-Degree],"&gt;= "&amp;F31)-COUNTIF(Vertices[In-Degree],"&gt;="&amp;F32)</f>
        <v>0</v>
      </c>
      <c r="H31" s="37">
        <f t="shared" si="3"/>
        <v>36.67647058823531</v>
      </c>
      <c r="I31" s="38">
        <f>COUNTIF(Vertices[Out-Degree],"&gt;= "&amp;H31)-COUNTIF(Vertices[Out-Degree],"&gt;="&amp;H32)</f>
        <v>0</v>
      </c>
      <c r="J31" s="37">
        <f t="shared" si="4"/>
        <v>25240.42483641176</v>
      </c>
      <c r="K31" s="38">
        <f>COUNTIF(Vertices[Betweenness Centrality],"&gt;= "&amp;J31)-COUNTIF(Vertices[Betweenness Centrality],"&gt;="&amp;J32)</f>
        <v>0</v>
      </c>
      <c r="L31" s="37">
        <f t="shared" si="5"/>
        <v>0.3155387647058822</v>
      </c>
      <c r="M31" s="38">
        <f>COUNTIF(Vertices[Closeness Centrality],"&gt;= "&amp;L31)-COUNTIF(Vertices[Closeness Centrality],"&gt;="&amp;L32)</f>
        <v>0</v>
      </c>
      <c r="N31" s="37">
        <f t="shared" si="6"/>
        <v>0.5974938235294122</v>
      </c>
      <c r="O31" s="38">
        <f>COUNTIF(Vertices[Eigenvector Centrality],"&gt;= "&amp;N31)-COUNTIF(Vertices[Eigenvector Centrality],"&gt;="&amp;N32)</f>
        <v>0</v>
      </c>
      <c r="P31" s="37">
        <f t="shared" si="7"/>
        <v>0.031165617647058823</v>
      </c>
      <c r="Q31" s="38">
        <f>COUNTIF(Vertices[PageRank],"&gt;= "&amp;P31)-COUNTIF(Vertices[PageRank],"&gt;="&amp;P32)</f>
        <v>0</v>
      </c>
      <c r="R31" s="37">
        <f t="shared" si="8"/>
        <v>0.8529411764705883</v>
      </c>
      <c r="S31" s="42">
        <f>COUNTIF(Vertices[Clustering Coefficient],"&gt;= "&amp;R31)-COUNTIF(Vertices[Clustering Coefficient],"&gt;="&amp;R32)</f>
        <v>0</v>
      </c>
      <c r="T31" s="37" t="e">
        <f ca="1" t="shared" si="9"/>
        <v>#REF!</v>
      </c>
      <c r="U31" s="38" t="e">
        <f ca="1" t="shared" si="10"/>
        <v>#REF!</v>
      </c>
    </row>
    <row r="32" spans="1:21" ht="15">
      <c r="A32" s="106"/>
      <c r="B32" s="106"/>
      <c r="D32" s="30">
        <f t="shared" si="1"/>
        <v>0</v>
      </c>
      <c r="E32">
        <f>COUNTIF(Vertices[Degree],"&gt;= "&amp;D32)-COUNTIF(Vertices[Degree],"&gt;="&amp;D33)</f>
        <v>0</v>
      </c>
      <c r="F32" s="35">
        <f t="shared" si="2"/>
        <v>63.52941176470588</v>
      </c>
      <c r="G32" s="36">
        <f>COUNTIF(Vertices[In-Degree],"&gt;= "&amp;F32)-COUNTIF(Vertices[In-Degree],"&gt;="&amp;F33)</f>
        <v>0</v>
      </c>
      <c r="H32" s="35">
        <f t="shared" si="3"/>
        <v>37.94117647058825</v>
      </c>
      <c r="I32" s="36">
        <f>COUNTIF(Vertices[Out-Degree],"&gt;= "&amp;H32)-COUNTIF(Vertices[Out-Degree],"&gt;="&amp;H33)</f>
        <v>0</v>
      </c>
      <c r="J32" s="35">
        <f t="shared" si="4"/>
        <v>26110.784313529406</v>
      </c>
      <c r="K32" s="36">
        <f>COUNTIF(Vertices[Betweenness Centrality],"&gt;= "&amp;J32)-COUNTIF(Vertices[Betweenness Centrality],"&gt;="&amp;J33)</f>
        <v>0</v>
      </c>
      <c r="L32" s="35">
        <f t="shared" si="5"/>
        <v>0.32641941176470574</v>
      </c>
      <c r="M32" s="36">
        <f>COUNTIF(Vertices[Closeness Centrality],"&gt;= "&amp;L32)-COUNTIF(Vertices[Closeness Centrality],"&gt;="&amp;L33)</f>
        <v>0</v>
      </c>
      <c r="N32" s="35">
        <f t="shared" si="6"/>
        <v>0.6180970588235298</v>
      </c>
      <c r="O32" s="36">
        <f>COUNTIF(Vertices[Eigenvector Centrality],"&gt;= "&amp;N32)-COUNTIF(Vertices[Eigenvector Centrality],"&gt;="&amp;N33)</f>
        <v>0</v>
      </c>
      <c r="P32" s="35">
        <f t="shared" si="7"/>
        <v>0.03224029411764706</v>
      </c>
      <c r="Q32" s="36">
        <f>COUNTIF(Vertices[PageRank],"&gt;= "&amp;P32)-COUNTIF(Vertices[PageRank],"&gt;="&amp;P33)</f>
        <v>0</v>
      </c>
      <c r="R32" s="35">
        <f t="shared" si="8"/>
        <v>0.8823529411764707</v>
      </c>
      <c r="S32" s="41">
        <f>COUNTIF(Vertices[Clustering Coefficient],"&gt;= "&amp;R32)-COUNTIF(Vertices[Clustering Coefficient],"&gt;="&amp;R33)</f>
        <v>0</v>
      </c>
      <c r="T32" s="35" t="e">
        <f ca="1" t="shared" si="9"/>
        <v>#REF!</v>
      </c>
      <c r="U32" s="36" t="e">
        <f ca="1" t="shared" si="10"/>
        <v>#REF!</v>
      </c>
    </row>
    <row r="33" spans="1:21" ht="15">
      <c r="A33" s="32" t="s">
        <v>156</v>
      </c>
      <c r="B33" s="32">
        <v>4</v>
      </c>
      <c r="D33" s="30">
        <f t="shared" si="1"/>
        <v>0</v>
      </c>
      <c r="E33">
        <f>COUNTIF(Vertices[Degree],"&gt;= "&amp;D33)-COUNTIF(Vertices[Degree],"&gt;="&amp;D34)</f>
        <v>0</v>
      </c>
      <c r="F33" s="37">
        <f t="shared" si="2"/>
        <v>65.6470588235294</v>
      </c>
      <c r="G33" s="38">
        <f>COUNTIF(Vertices[In-Degree],"&gt;= "&amp;F33)-COUNTIF(Vertices[In-Degree],"&gt;="&amp;F34)</f>
        <v>0</v>
      </c>
      <c r="H33" s="37">
        <f t="shared" si="3"/>
        <v>39.205882352941195</v>
      </c>
      <c r="I33" s="38">
        <f>COUNTIF(Vertices[Out-Degree],"&gt;= "&amp;H33)-COUNTIF(Vertices[Out-Degree],"&gt;="&amp;H34)</f>
        <v>0</v>
      </c>
      <c r="J33" s="37">
        <f t="shared" si="4"/>
        <v>26981.143790647053</v>
      </c>
      <c r="K33" s="38">
        <f>COUNTIF(Vertices[Betweenness Centrality],"&gt;= "&amp;J33)-COUNTIF(Vertices[Betweenness Centrality],"&gt;="&amp;J34)</f>
        <v>0</v>
      </c>
      <c r="L33" s="37">
        <f t="shared" si="5"/>
        <v>0.33730005882352926</v>
      </c>
      <c r="M33" s="38">
        <f>COUNTIF(Vertices[Closeness Centrality],"&gt;= "&amp;L33)-COUNTIF(Vertices[Closeness Centrality],"&gt;="&amp;L34)</f>
        <v>0</v>
      </c>
      <c r="N33" s="37">
        <f t="shared" si="6"/>
        <v>0.6387002941176475</v>
      </c>
      <c r="O33" s="38">
        <f>COUNTIF(Vertices[Eigenvector Centrality],"&gt;= "&amp;N33)-COUNTIF(Vertices[Eigenvector Centrality],"&gt;="&amp;N34)</f>
        <v>0</v>
      </c>
      <c r="P33" s="37">
        <f t="shared" si="7"/>
        <v>0.0333149705882353</v>
      </c>
      <c r="Q33" s="38">
        <f>COUNTIF(Vertices[PageRank],"&gt;= "&amp;P33)-COUNTIF(Vertices[PageRank],"&gt;="&amp;P34)</f>
        <v>0</v>
      </c>
      <c r="R33" s="37">
        <f t="shared" si="8"/>
        <v>0.911764705882353</v>
      </c>
      <c r="S33" s="42">
        <f>COUNTIF(Vertices[Clustering Coefficient],"&gt;= "&amp;R33)-COUNTIF(Vertices[Clustering Coefficient],"&gt;="&amp;R34)</f>
        <v>0</v>
      </c>
      <c r="T33" s="37" t="e">
        <f ca="1" t="shared" si="9"/>
        <v>#REF!</v>
      </c>
      <c r="U33" s="38" t="e">
        <f ca="1" t="shared" si="10"/>
        <v>#REF!</v>
      </c>
    </row>
    <row r="34" spans="1:21" ht="15">
      <c r="A34" s="32" t="s">
        <v>157</v>
      </c>
      <c r="B34" s="32">
        <v>2.631405</v>
      </c>
      <c r="D34" s="30">
        <f t="shared" si="1"/>
        <v>0</v>
      </c>
      <c r="E34">
        <f>COUNTIF(Vertices[Degree],"&gt;= "&amp;D34)-COUNTIF(Vertices[Degree],"&gt;="&amp;D35)</f>
        <v>0</v>
      </c>
      <c r="F34" s="35">
        <f t="shared" si="2"/>
        <v>67.76470588235294</v>
      </c>
      <c r="G34" s="36">
        <f>COUNTIF(Vertices[In-Degree],"&gt;= "&amp;F34)-COUNTIF(Vertices[In-Degree],"&gt;="&amp;F35)</f>
        <v>0</v>
      </c>
      <c r="H34" s="35">
        <f t="shared" si="3"/>
        <v>40.47058823529414</v>
      </c>
      <c r="I34" s="36">
        <f>COUNTIF(Vertices[Out-Degree],"&gt;= "&amp;H34)-COUNTIF(Vertices[Out-Degree],"&gt;="&amp;H35)</f>
        <v>0</v>
      </c>
      <c r="J34" s="35">
        <f t="shared" si="4"/>
        <v>27851.5032677647</v>
      </c>
      <c r="K34" s="36">
        <f>COUNTIF(Vertices[Betweenness Centrality],"&gt;= "&amp;J34)-COUNTIF(Vertices[Betweenness Centrality],"&gt;="&amp;J35)</f>
        <v>0</v>
      </c>
      <c r="L34" s="35">
        <f t="shared" si="5"/>
        <v>0.3481807058823528</v>
      </c>
      <c r="M34" s="36">
        <f>COUNTIF(Vertices[Closeness Centrality],"&gt;= "&amp;L34)-COUNTIF(Vertices[Closeness Centrality],"&gt;="&amp;L35)</f>
        <v>0</v>
      </c>
      <c r="N34" s="35">
        <f t="shared" si="6"/>
        <v>0.6593035294117652</v>
      </c>
      <c r="O34" s="36">
        <f>COUNTIF(Vertices[Eigenvector Centrality],"&gt;= "&amp;N34)-COUNTIF(Vertices[Eigenvector Centrality],"&gt;="&amp;N35)</f>
        <v>0</v>
      </c>
      <c r="P34" s="35">
        <f t="shared" si="7"/>
        <v>0.03438964705882354</v>
      </c>
      <c r="Q34" s="36">
        <f>COUNTIF(Vertices[PageRank],"&gt;= "&amp;P34)-COUNTIF(Vertices[PageRank],"&gt;="&amp;P35)</f>
        <v>0</v>
      </c>
      <c r="R34" s="35">
        <f t="shared" si="8"/>
        <v>0.9411764705882354</v>
      </c>
      <c r="S34" s="41">
        <f>COUNTIF(Vertices[Clustering Coefficient],"&gt;= "&amp;R34)-COUNTIF(Vertices[Clustering Coefficient],"&gt;="&amp;R35)</f>
        <v>0</v>
      </c>
      <c r="T34" s="35" t="e">
        <f ca="1" t="shared" si="9"/>
        <v>#REF!</v>
      </c>
      <c r="U34" s="36" t="e">
        <f ca="1" t="shared" si="10"/>
        <v>#REF!</v>
      </c>
    </row>
    <row r="35" spans="1:21" ht="15">
      <c r="A35" s="106"/>
      <c r="B35" s="106"/>
      <c r="D35" s="30">
        <f t="shared" si="1"/>
        <v>0</v>
      </c>
      <c r="E35">
        <f>COUNTIF(Vertices[Degree],"&gt;= "&amp;D35)-COUNTIF(Vertices[Degree],"&gt;="&amp;D36)</f>
        <v>0</v>
      </c>
      <c r="F35" s="37">
        <f t="shared" si="2"/>
        <v>69.88235294117648</v>
      </c>
      <c r="G35" s="38">
        <f>COUNTIF(Vertices[In-Degree],"&gt;= "&amp;F35)-COUNTIF(Vertices[In-Degree],"&gt;="&amp;F36)</f>
        <v>0</v>
      </c>
      <c r="H35" s="37">
        <f t="shared" si="3"/>
        <v>41.73529411764708</v>
      </c>
      <c r="I35" s="38">
        <f>COUNTIF(Vertices[Out-Degree],"&gt;= "&amp;H35)-COUNTIF(Vertices[Out-Degree],"&gt;="&amp;H36)</f>
        <v>0</v>
      </c>
      <c r="J35" s="37">
        <f t="shared" si="4"/>
        <v>28721.862744882346</v>
      </c>
      <c r="K35" s="38">
        <f>COUNTIF(Vertices[Betweenness Centrality],"&gt;= "&amp;J35)-COUNTIF(Vertices[Betweenness Centrality],"&gt;="&amp;J36)</f>
        <v>0</v>
      </c>
      <c r="L35" s="37">
        <f t="shared" si="5"/>
        <v>0.3590613529411763</v>
      </c>
      <c r="M35" s="38">
        <f>COUNTIF(Vertices[Closeness Centrality],"&gt;= "&amp;L35)-COUNTIF(Vertices[Closeness Centrality],"&gt;="&amp;L36)</f>
        <v>0</v>
      </c>
      <c r="N35" s="37">
        <f t="shared" si="6"/>
        <v>0.6799067647058828</v>
      </c>
      <c r="O35" s="38">
        <f>COUNTIF(Vertices[Eigenvector Centrality],"&gt;= "&amp;N35)-COUNTIF(Vertices[Eigenvector Centrality],"&gt;="&amp;N36)</f>
        <v>0</v>
      </c>
      <c r="P35" s="37">
        <f t="shared" si="7"/>
        <v>0.03546432352941178</v>
      </c>
      <c r="Q35" s="38">
        <f>COUNTIF(Vertices[PageRank],"&gt;= "&amp;P35)-COUNTIF(Vertices[PageRank],"&gt;="&amp;P36)</f>
        <v>0</v>
      </c>
      <c r="R35" s="37">
        <f t="shared" si="8"/>
        <v>0.9705882352941178</v>
      </c>
      <c r="S35" s="42">
        <f>COUNTIF(Vertices[Clustering Coefficient],"&gt;= "&amp;R35)-COUNTIF(Vertices[Clustering Coefficient],"&gt;="&amp;R36)</f>
        <v>0</v>
      </c>
      <c r="T35" s="37" t="e">
        <f ca="1" t="shared" si="9"/>
        <v>#REF!</v>
      </c>
      <c r="U35" s="38" t="e">
        <f ca="1" t="shared" si="10"/>
        <v>#REF!</v>
      </c>
    </row>
    <row r="36" spans="1:21" ht="15">
      <c r="A36" s="32" t="s">
        <v>158</v>
      </c>
      <c r="B36" s="32">
        <v>0.0022807364226196357</v>
      </c>
      <c r="D36" s="30">
        <f>MAX(Vertices[Degree])</f>
        <v>0</v>
      </c>
      <c r="E36">
        <f>COUNTIF(Vertices[Degree],"&gt;= "&amp;D36)-COUNTIF(Vertices[Degree],"&gt;="&amp;#REF!)</f>
        <v>0</v>
      </c>
      <c r="F36" s="39">
        <f>MAX(Vertices[In-Degree])</f>
        <v>72</v>
      </c>
      <c r="G36" s="40">
        <f>COUNTIF(Vertices[In-Degree],"&gt;= "&amp;F36)-COUNTIF(Vertices[In-Degree],"&gt;="&amp;#REF!)</f>
        <v>1</v>
      </c>
      <c r="H36" s="39">
        <f>MAX(Vertices[Out-Degree])</f>
        <v>43</v>
      </c>
      <c r="I36" s="40">
        <f>COUNTIF(Vertices[Out-Degree],"&gt;= "&amp;H36)-COUNTIF(Vertices[Out-Degree],"&gt;="&amp;#REF!)</f>
        <v>1</v>
      </c>
      <c r="J36" s="39">
        <f>MAX(Vertices[Betweenness Centrality])</f>
        <v>29592.222222</v>
      </c>
      <c r="K36" s="40">
        <f>COUNTIF(Vertices[Betweenness Centrality],"&gt;= "&amp;J36)-COUNTIF(Vertices[Betweenness Centrality],"&gt;="&amp;#REF!)</f>
        <v>1</v>
      </c>
      <c r="L36" s="39">
        <f>MAX(Vertices[Closeness Centrality])</f>
        <v>0.369942</v>
      </c>
      <c r="M36" s="40">
        <f>COUNTIF(Vertices[Closeness Centrality],"&gt;= "&amp;L36)-COUNTIF(Vertices[Closeness Centrality],"&gt;="&amp;#REF!)</f>
        <v>1</v>
      </c>
      <c r="N36" s="39">
        <f>MAX(Vertices[Eigenvector Centrality])</f>
        <v>0.70051</v>
      </c>
      <c r="O36" s="40">
        <f>COUNTIF(Vertices[Eigenvector Centrality],"&gt;= "&amp;N36)-COUNTIF(Vertices[Eigenvector Centrality],"&gt;="&amp;#REF!)</f>
        <v>1</v>
      </c>
      <c r="P36" s="39">
        <f>MAX(Vertices[PageRank])</f>
        <v>0.036539</v>
      </c>
      <c r="Q36" s="40">
        <f>COUNTIF(Vertices[PageRank],"&gt;= "&amp;P36)-COUNTIF(Vertices[PageRank],"&gt;="&amp;#REF!)</f>
        <v>1</v>
      </c>
      <c r="R36" s="39">
        <f>MAX(Vertices[Clustering Coefficient])</f>
        <v>1</v>
      </c>
      <c r="S36" s="43">
        <f>COUNTIF(Vertices[Clustering Coefficient],"&gt;= "&amp;R36)-COUNTIF(Vertices[Clustering Coefficient],"&gt;="&amp;#REF!)</f>
        <v>7</v>
      </c>
      <c r="T36" s="39" t="e">
        <f ca="1">MAX(INDIRECT(DynamicFilterSourceColumnRange))</f>
        <v>#REF!</v>
      </c>
      <c r="U36" s="40" t="e">
        <f ca="1">COUNTIF(INDIRECT(DynamicFilterSourceColumnRange),"&gt;= "&amp;T36)-COUNTIF(INDIRECT(DynamicFilterSourceColumnRange),"&gt;="&amp;#REF!)</f>
        <v>#REF!</v>
      </c>
    </row>
    <row r="37" spans="1:2" ht="15">
      <c r="A37" s="32" t="s">
        <v>8233</v>
      </c>
      <c r="B37" s="32" t="s">
        <v>8249</v>
      </c>
    </row>
    <row r="38" spans="1:2" ht="15">
      <c r="A38" s="106"/>
      <c r="B38" s="106"/>
    </row>
    <row r="39" spans="1:2" ht="15">
      <c r="A39" s="32" t="s">
        <v>8234</v>
      </c>
      <c r="B39" s="32" t="s">
        <v>8250</v>
      </c>
    </row>
    <row r="40" spans="1:2" ht="15">
      <c r="A40" s="106"/>
      <c r="B40" s="106"/>
    </row>
    <row r="41" spans="1:2" ht="15">
      <c r="A41" s="32" t="s">
        <v>8235</v>
      </c>
      <c r="B41" s="32" t="s">
        <v>8263</v>
      </c>
    </row>
    <row r="42" spans="1:2" ht="15">
      <c r="A42" s="32" t="s">
        <v>8236</v>
      </c>
      <c r="B42" s="32" t="s">
        <v>8264</v>
      </c>
    </row>
    <row r="43" spans="1:2" ht="15">
      <c r="A43" s="106"/>
      <c r="B43" s="106"/>
    </row>
    <row r="44" spans="1:2" ht="15">
      <c r="A44" s="32" t="s">
        <v>8237</v>
      </c>
      <c r="B44" s="32" t="s">
        <v>8251</v>
      </c>
    </row>
    <row r="45" spans="1:2" ht="15">
      <c r="A45" s="32" t="s">
        <v>8238</v>
      </c>
      <c r="B45" s="32" t="s">
        <v>299</v>
      </c>
    </row>
    <row r="46" spans="1:2" ht="409.6">
      <c r="A46" s="32" t="s">
        <v>8239</v>
      </c>
      <c r="B46" s="51" t="s">
        <v>8252</v>
      </c>
    </row>
    <row r="47" spans="1:2" ht="15">
      <c r="A47" s="32" t="s">
        <v>8240</v>
      </c>
      <c r="B47" s="32" t="s">
        <v>8262</v>
      </c>
    </row>
    <row r="48" spans="1:2" ht="15">
      <c r="A48" s="32" t="s">
        <v>8241</v>
      </c>
      <c r="B48" s="32"/>
    </row>
    <row r="49" spans="1:2" ht="15">
      <c r="A49" s="32" t="s">
        <v>8242</v>
      </c>
      <c r="B49" s="32"/>
    </row>
    <row r="50" spans="1:2" ht="15">
      <c r="A50" s="32" t="s">
        <v>8243</v>
      </c>
      <c r="B50" s="32"/>
    </row>
    <row r="51" spans="1:2" ht="15">
      <c r="A51" s="32" t="s">
        <v>8244</v>
      </c>
      <c r="B51" s="32"/>
    </row>
    <row r="52" spans="1:2" ht="15">
      <c r="A52" s="32" t="s">
        <v>8245</v>
      </c>
      <c r="B52" s="32"/>
    </row>
    <row r="53" spans="1:2" ht="15">
      <c r="A53" s="32" t="s">
        <v>21</v>
      </c>
      <c r="B53" s="32"/>
    </row>
    <row r="54" spans="1:2" ht="15">
      <c r="A54" s="32" t="s">
        <v>8246</v>
      </c>
      <c r="B54" s="32"/>
    </row>
    <row r="55" spans="1:2" ht="15">
      <c r="A55" s="32" t="s">
        <v>8247</v>
      </c>
      <c r="B55" s="32"/>
    </row>
    <row r="56" spans="1:2" ht="15">
      <c r="A56" s="32" t="s">
        <v>8248</v>
      </c>
      <c r="B56"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72</v>
      </c>
    </row>
    <row r="90" spans="1:2" ht="15">
      <c r="A90" s="31" t="s">
        <v>90</v>
      </c>
      <c r="B90" s="45">
        <f>_xlfn.IFERROR(AVERAGE(Vertices[In-Degree]),NoMetricMessage)</f>
        <v>1.0802292263610316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43</v>
      </c>
    </row>
    <row r="104" spans="1:2" ht="15">
      <c r="A104" s="31" t="s">
        <v>96</v>
      </c>
      <c r="B104" s="45">
        <f>_xlfn.IFERROR(AVERAGE(Vertices[Out-Degree]),NoMetricMessage)</f>
        <v>1.0802292263610316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29592.222222</v>
      </c>
    </row>
    <row r="118" spans="1:2" ht="15">
      <c r="A118" s="31" t="s">
        <v>102</v>
      </c>
      <c r="B118" s="45">
        <f>_xlfn.IFERROR(AVERAGE(Vertices[Betweenness Centrality]),NoMetricMessage)</f>
        <v>150.70487105444118</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0.369942</v>
      </c>
    </row>
    <row r="132" spans="1:2" ht="15">
      <c r="A132" s="31" t="s">
        <v>108</v>
      </c>
      <c r="B132" s="45">
        <f>_xlfn.IFERROR(AVERAGE(Vertices[Closeness Centrality]),NoMetricMessage)</f>
        <v>0.10135431805157594</v>
      </c>
    </row>
    <row r="133" spans="1:2" ht="15">
      <c r="A133" s="31" t="s">
        <v>109</v>
      </c>
      <c r="B133" s="45">
        <f>_xlfn.IFERROR(MEDIAN(Vertices[Closeness Centrality]),NoMetricMessage)</f>
        <v>0.151739</v>
      </c>
    </row>
    <row r="144" spans="1:2" ht="15">
      <c r="A144" s="31" t="s">
        <v>112</v>
      </c>
      <c r="B144" s="45">
        <f>IF(COUNT(Vertices[Eigenvector Centrality])&gt;0,N2,NoMetricMessage)</f>
        <v>0</v>
      </c>
    </row>
    <row r="145" spans="1:2" ht="15">
      <c r="A145" s="31" t="s">
        <v>113</v>
      </c>
      <c r="B145" s="45">
        <f>IF(COUNT(Vertices[Eigenvector Centrality])&gt;0,N36,NoMetricMessage)</f>
        <v>0.70051</v>
      </c>
    </row>
    <row r="146" spans="1:2" ht="15">
      <c r="A146" s="31" t="s">
        <v>114</v>
      </c>
      <c r="B146" s="45">
        <f>_xlfn.IFERROR(AVERAGE(Vertices[Eigenvector Centrality]),NoMetricMessage)</f>
        <v>0.0251181031518625</v>
      </c>
    </row>
    <row r="147" spans="1:2" ht="15">
      <c r="A147" s="31" t="s">
        <v>115</v>
      </c>
      <c r="B147" s="45">
        <f>_xlfn.IFERROR(MEDIAN(Vertices[Eigenvector Centrality]),NoMetricMessage)</f>
        <v>0.005535</v>
      </c>
    </row>
    <row r="158" spans="1:2" ht="15">
      <c r="A158" s="31" t="s">
        <v>140</v>
      </c>
      <c r="B158" s="45">
        <f>IF(COUNT(Vertices[PageRank])&gt;0,P2,NoMetricMessage)</f>
        <v>0</v>
      </c>
    </row>
    <row r="159" spans="1:2" ht="15">
      <c r="A159" s="31" t="s">
        <v>141</v>
      </c>
      <c r="B159" s="45">
        <f>IF(COUNT(Vertices[PageRank])&gt;0,P36,NoMetricMessage)</f>
        <v>0.036539</v>
      </c>
    </row>
    <row r="160" spans="1:2" ht="15">
      <c r="A160" s="31" t="s">
        <v>142</v>
      </c>
      <c r="B160" s="45">
        <f>_xlfn.IFERROR(AVERAGE(Vertices[PageRank]),NoMetricMessage)</f>
        <v>0.002865415472779374</v>
      </c>
    </row>
    <row r="161" spans="1:2" ht="15">
      <c r="A161" s="31" t="s">
        <v>143</v>
      </c>
      <c r="B161" s="45">
        <f>_xlfn.IFERROR(MEDIAN(Vertices[PageRank]),NoMetricMessage)</f>
        <v>0.002694</v>
      </c>
    </row>
    <row r="172" spans="1:2" ht="15">
      <c r="A172" s="31" t="s">
        <v>118</v>
      </c>
      <c r="B172" s="45">
        <f>IF(COUNT(Vertices[Clustering Coefficient])&gt;0,R2,NoMetricMessage)</f>
        <v>0</v>
      </c>
    </row>
    <row r="173" spans="1:2" ht="15">
      <c r="A173" s="31" t="s">
        <v>119</v>
      </c>
      <c r="B173" s="45">
        <f>IF(COUNT(Vertices[Clustering Coefficient])&gt;0,R36,NoMetricMessage)</f>
        <v>1</v>
      </c>
    </row>
    <row r="174" spans="1:2" ht="15">
      <c r="A174" s="31" t="s">
        <v>120</v>
      </c>
      <c r="B174" s="45">
        <f>_xlfn.IFERROR(AVERAGE(Vertices[Clustering Coefficient]),NoMetricMessage)</f>
        <v>0.04184999405856189</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7540</v>
      </c>
    </row>
    <row r="4" spans="1:10" ht="15">
      <c r="A4" s="1" t="s">
        <v>53</v>
      </c>
      <c r="B4" s="1" t="s">
        <v>134</v>
      </c>
      <c r="C4" t="s">
        <v>53</v>
      </c>
      <c r="D4" t="s">
        <v>57</v>
      </c>
      <c r="E4" t="s">
        <v>57</v>
      </c>
      <c r="F4" s="1" t="s">
        <v>53</v>
      </c>
      <c r="G4">
        <v>0</v>
      </c>
      <c r="H4" t="s">
        <v>69</v>
      </c>
      <c r="J4" t="s">
        <v>78</v>
      </c>
    </row>
    <row r="5" spans="1:11" ht="409.6">
      <c r="A5">
        <v>1</v>
      </c>
      <c r="B5" s="1" t="s">
        <v>135</v>
      </c>
      <c r="C5" t="s">
        <v>51</v>
      </c>
      <c r="D5" t="s">
        <v>58</v>
      </c>
      <c r="E5" t="s">
        <v>58</v>
      </c>
      <c r="F5">
        <v>1</v>
      </c>
      <c r="G5">
        <v>1</v>
      </c>
      <c r="H5" t="s">
        <v>70</v>
      </c>
      <c r="J5" t="s">
        <v>172</v>
      </c>
      <c r="K5" s="7" t="s">
        <v>8259</v>
      </c>
    </row>
    <row r="6" spans="1:18" ht="15">
      <c r="A6">
        <v>0</v>
      </c>
      <c r="B6" s="1" t="s">
        <v>136</v>
      </c>
      <c r="C6">
        <v>1</v>
      </c>
      <c r="D6" t="s">
        <v>59</v>
      </c>
      <c r="E6" t="s">
        <v>59</v>
      </c>
      <c r="F6">
        <v>0</v>
      </c>
      <c r="H6" t="s">
        <v>71</v>
      </c>
      <c r="J6" t="s">
        <v>173</v>
      </c>
      <c r="K6">
        <v>2</v>
      </c>
      <c r="R6" t="s">
        <v>129</v>
      </c>
    </row>
    <row r="7" spans="1:11" ht="15">
      <c r="A7">
        <v>2</v>
      </c>
      <c r="B7">
        <v>1</v>
      </c>
      <c r="C7">
        <v>0</v>
      </c>
      <c r="D7" t="s">
        <v>60</v>
      </c>
      <c r="E7" t="s">
        <v>60</v>
      </c>
      <c r="F7">
        <v>2</v>
      </c>
      <c r="H7" t="s">
        <v>72</v>
      </c>
      <c r="J7" t="s">
        <v>174</v>
      </c>
      <c r="K7" t="s">
        <v>175</v>
      </c>
    </row>
    <row r="8" spans="1:11" ht="409.6">
      <c r="A8"/>
      <c r="B8">
        <v>2</v>
      </c>
      <c r="C8">
        <v>2</v>
      </c>
      <c r="D8" t="s">
        <v>61</v>
      </c>
      <c r="E8" t="s">
        <v>61</v>
      </c>
      <c r="H8" t="s">
        <v>73</v>
      </c>
      <c r="J8" t="s">
        <v>176</v>
      </c>
      <c r="K8" s="7" t="s">
        <v>8261</v>
      </c>
    </row>
    <row r="9" spans="1:11" ht="409.6">
      <c r="A9"/>
      <c r="B9">
        <v>3</v>
      </c>
      <c r="C9">
        <v>4</v>
      </c>
      <c r="D9" t="s">
        <v>62</v>
      </c>
      <c r="E9" t="s">
        <v>62</v>
      </c>
      <c r="H9" t="s">
        <v>74</v>
      </c>
      <c r="J9" t="s">
        <v>7541</v>
      </c>
      <c r="K9" s="7" t="s">
        <v>8260</v>
      </c>
    </row>
    <row r="10" spans="1:8" ht="15">
      <c r="A10"/>
      <c r="B10">
        <v>4</v>
      </c>
      <c r="D10" t="s">
        <v>63</v>
      </c>
      <c r="E10" t="s">
        <v>63</v>
      </c>
      <c r="H10" t="s">
        <v>75</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54251-475A-404E-B06B-F6415880A63F}">
  <dimension ref="A1:B102"/>
  <sheetViews>
    <sheetView tabSelected="1" workbookViewId="0" topLeftCell="A45">
      <selection activeCell="B5" sqref="B5"/>
    </sheetView>
  </sheetViews>
  <sheetFormatPr defaultColWidth="9.140625" defaultRowHeight="15"/>
  <cols>
    <col min="1" max="1" width="39.7109375" style="0" customWidth="1"/>
    <col min="2" max="2" width="18.7109375" style="0" bestFit="1" customWidth="1"/>
  </cols>
  <sheetData>
    <row r="1" spans="1:2" ht="14.4" customHeight="1">
      <c r="A1" s="7" t="s">
        <v>7542</v>
      </c>
      <c r="B1" s="7" t="s">
        <v>7553</v>
      </c>
    </row>
    <row r="2" spans="1:2" ht="15">
      <c r="A2" s="82" t="s">
        <v>7543</v>
      </c>
      <c r="B2" s="76">
        <v>190</v>
      </c>
    </row>
    <row r="3" spans="1:2" ht="15">
      <c r="A3" s="80" t="s">
        <v>7544</v>
      </c>
      <c r="B3" s="76">
        <v>120</v>
      </c>
    </row>
    <row r="4" spans="1:2" ht="15">
      <c r="A4" s="80" t="s">
        <v>7545</v>
      </c>
      <c r="B4" s="76">
        <v>57</v>
      </c>
    </row>
    <row r="5" spans="1:2" ht="15">
      <c r="A5" s="80" t="s">
        <v>7546</v>
      </c>
      <c r="B5" s="76">
        <v>12</v>
      </c>
    </row>
    <row r="6" spans="1:2" ht="15">
      <c r="A6" s="80" t="s">
        <v>7547</v>
      </c>
      <c r="B6" s="76">
        <v>7</v>
      </c>
    </row>
    <row r="7" spans="1:2" ht="15">
      <c r="A7" s="80" t="s">
        <v>7548</v>
      </c>
      <c r="B7" s="76">
        <v>6</v>
      </c>
    </row>
    <row r="8" spans="1:2" ht="15">
      <c r="A8" s="80" t="s">
        <v>7549</v>
      </c>
      <c r="B8" s="76">
        <v>5</v>
      </c>
    </row>
    <row r="9" spans="1:2" ht="15">
      <c r="A9" s="80" t="s">
        <v>7550</v>
      </c>
      <c r="B9" s="76">
        <v>5</v>
      </c>
    </row>
    <row r="10" spans="1:2" ht="15">
      <c r="A10" s="80" t="s">
        <v>7551</v>
      </c>
      <c r="B10" s="76">
        <v>4</v>
      </c>
    </row>
    <row r="11" spans="1:2" ht="15">
      <c r="A11" s="80" t="s">
        <v>7552</v>
      </c>
      <c r="B11" s="76">
        <v>4</v>
      </c>
    </row>
    <row r="14" spans="1:2" ht="14.4" customHeight="1">
      <c r="A14" s="7" t="s">
        <v>7555</v>
      </c>
      <c r="B14" s="7" t="s">
        <v>7553</v>
      </c>
    </row>
    <row r="15" spans="1:2" ht="15">
      <c r="A15" s="76" t="s">
        <v>1982</v>
      </c>
      <c r="B15" s="76">
        <v>517</v>
      </c>
    </row>
    <row r="16" spans="1:2" ht="15">
      <c r="A16" s="77" t="s">
        <v>1975</v>
      </c>
      <c r="B16" s="76">
        <v>72</v>
      </c>
    </row>
    <row r="17" spans="1:2" ht="15">
      <c r="A17" s="77" t="s">
        <v>1984</v>
      </c>
      <c r="B17" s="76">
        <v>51</v>
      </c>
    </row>
    <row r="18" spans="1:2" ht="15">
      <c r="A18" s="77" t="s">
        <v>1991</v>
      </c>
      <c r="B18" s="76">
        <v>35</v>
      </c>
    </row>
    <row r="19" spans="1:2" ht="15">
      <c r="A19" s="77" t="s">
        <v>2041</v>
      </c>
      <c r="B19" s="76">
        <v>22</v>
      </c>
    </row>
    <row r="20" spans="1:2" ht="15">
      <c r="A20" s="77" t="s">
        <v>2000</v>
      </c>
      <c r="B20" s="76">
        <v>21</v>
      </c>
    </row>
    <row r="21" spans="1:2" ht="15">
      <c r="A21" s="77" t="s">
        <v>2013</v>
      </c>
      <c r="B21" s="76">
        <v>19</v>
      </c>
    </row>
    <row r="22" spans="1:2" ht="15">
      <c r="A22" s="77" t="s">
        <v>2009</v>
      </c>
      <c r="B22" s="76">
        <v>8</v>
      </c>
    </row>
    <row r="23" spans="1:2" ht="15">
      <c r="A23" s="77" t="s">
        <v>1986</v>
      </c>
      <c r="B23" s="76">
        <v>8</v>
      </c>
    </row>
    <row r="24" spans="1:2" ht="15">
      <c r="A24" s="77" t="s">
        <v>1988</v>
      </c>
      <c r="B24" s="76">
        <v>7</v>
      </c>
    </row>
    <row r="27" spans="1:2" ht="14.4" customHeight="1">
      <c r="A27" s="7" t="s">
        <v>7557</v>
      </c>
      <c r="B27" s="7" t="s">
        <v>7553</v>
      </c>
    </row>
    <row r="28" spans="1:2" ht="15">
      <c r="A28" s="76" t="s">
        <v>299</v>
      </c>
      <c r="B28" s="76">
        <v>507</v>
      </c>
    </row>
    <row r="29" spans="1:2" ht="15">
      <c r="A29" s="77" t="s">
        <v>1915</v>
      </c>
      <c r="B29" s="76">
        <v>326</v>
      </c>
    </row>
    <row r="30" spans="1:2" ht="15">
      <c r="A30" s="77" t="s">
        <v>7558</v>
      </c>
      <c r="B30" s="76">
        <v>308</v>
      </c>
    </row>
    <row r="31" spans="1:2" ht="15">
      <c r="A31" s="77" t="s">
        <v>7559</v>
      </c>
      <c r="B31" s="76">
        <v>289</v>
      </c>
    </row>
    <row r="32" spans="1:2" ht="15">
      <c r="A32" s="77" t="s">
        <v>7560</v>
      </c>
      <c r="B32" s="76">
        <v>288</v>
      </c>
    </row>
    <row r="33" spans="1:2" ht="15">
      <c r="A33" s="77" t="s">
        <v>7561</v>
      </c>
      <c r="B33" s="76">
        <v>279</v>
      </c>
    </row>
    <row r="34" spans="1:2" ht="15">
      <c r="A34" s="77" t="s">
        <v>7562</v>
      </c>
      <c r="B34" s="76">
        <v>276</v>
      </c>
    </row>
    <row r="35" spans="1:2" ht="15">
      <c r="A35" s="77" t="s">
        <v>7563</v>
      </c>
      <c r="B35" s="76">
        <v>248</v>
      </c>
    </row>
    <row r="36" spans="1:2" ht="15">
      <c r="A36" s="77" t="s">
        <v>1742</v>
      </c>
      <c r="B36" s="76">
        <v>225</v>
      </c>
    </row>
    <row r="37" spans="1:2" ht="15">
      <c r="A37" s="77" t="s">
        <v>7564</v>
      </c>
      <c r="B37" s="76">
        <v>173</v>
      </c>
    </row>
    <row r="40" spans="1:2" ht="14.4" customHeight="1">
      <c r="A40" s="7" t="s">
        <v>7566</v>
      </c>
      <c r="B40" s="7" t="s">
        <v>7553</v>
      </c>
    </row>
    <row r="41" spans="1:2" ht="15">
      <c r="A41" s="83" t="s">
        <v>7567</v>
      </c>
      <c r="B41" s="83">
        <v>507</v>
      </c>
    </row>
    <row r="42" spans="1:2" ht="15">
      <c r="A42" s="81" t="s">
        <v>299</v>
      </c>
      <c r="B42" s="83">
        <v>503</v>
      </c>
    </row>
    <row r="43" spans="1:2" ht="15">
      <c r="A43" s="81" t="s">
        <v>7568</v>
      </c>
      <c r="B43" s="83">
        <v>326</v>
      </c>
    </row>
    <row r="44" spans="1:2" ht="15">
      <c r="A44" s="81" t="s">
        <v>7569</v>
      </c>
      <c r="B44" s="83">
        <v>308</v>
      </c>
    </row>
    <row r="45" spans="1:2" ht="15">
      <c r="A45" s="81" t="s">
        <v>7570</v>
      </c>
      <c r="B45" s="83">
        <v>289</v>
      </c>
    </row>
    <row r="46" spans="1:2" ht="15">
      <c r="A46" s="81" t="s">
        <v>7571</v>
      </c>
      <c r="B46" s="83">
        <v>288</v>
      </c>
    </row>
    <row r="47" spans="1:2" ht="15">
      <c r="A47" s="81" t="s">
        <v>7572</v>
      </c>
      <c r="B47" s="83">
        <v>279</v>
      </c>
    </row>
    <row r="48" spans="1:2" ht="15">
      <c r="A48" s="81" t="s">
        <v>7573</v>
      </c>
      <c r="B48" s="83">
        <v>276</v>
      </c>
    </row>
    <row r="49" spans="1:2" ht="15">
      <c r="A49" s="81" t="s">
        <v>7574</v>
      </c>
      <c r="B49" s="83">
        <v>248</v>
      </c>
    </row>
    <row r="50" spans="1:2" ht="15">
      <c r="A50" s="81" t="s">
        <v>7575</v>
      </c>
      <c r="B50" s="83">
        <v>225</v>
      </c>
    </row>
    <row r="53" spans="1:2" ht="14.4" customHeight="1">
      <c r="A53" s="7" t="s">
        <v>7577</v>
      </c>
      <c r="B53" s="7" t="s">
        <v>7553</v>
      </c>
    </row>
    <row r="54" spans="1:2" ht="15">
      <c r="A54" s="83" t="s">
        <v>7578</v>
      </c>
      <c r="B54" s="83">
        <v>169</v>
      </c>
    </row>
    <row r="55" spans="1:2" ht="15">
      <c r="A55" s="81" t="s">
        <v>7579</v>
      </c>
      <c r="B55" s="83">
        <v>169</v>
      </c>
    </row>
    <row r="56" spans="1:2" ht="15">
      <c r="A56" s="81" t="s">
        <v>7580</v>
      </c>
      <c r="B56" s="83">
        <v>167</v>
      </c>
    </row>
    <row r="57" spans="1:2" ht="15">
      <c r="A57" s="81" t="s">
        <v>7581</v>
      </c>
      <c r="B57" s="83">
        <v>167</v>
      </c>
    </row>
    <row r="58" spans="1:2" ht="15">
      <c r="A58" s="81" t="s">
        <v>7582</v>
      </c>
      <c r="B58" s="83">
        <v>167</v>
      </c>
    </row>
    <row r="59" spans="1:2" ht="15">
      <c r="A59" s="81" t="s">
        <v>7583</v>
      </c>
      <c r="B59" s="83">
        <v>167</v>
      </c>
    </row>
    <row r="60" spans="1:2" ht="15">
      <c r="A60" s="81" t="s">
        <v>7584</v>
      </c>
      <c r="B60" s="83">
        <v>167</v>
      </c>
    </row>
    <row r="61" spans="1:2" ht="15">
      <c r="A61" s="81" t="s">
        <v>7585</v>
      </c>
      <c r="B61" s="83">
        <v>167</v>
      </c>
    </row>
    <row r="62" spans="1:2" ht="15">
      <c r="A62" s="81" t="s">
        <v>7586</v>
      </c>
      <c r="B62" s="83">
        <v>167</v>
      </c>
    </row>
    <row r="63" spans="1:2" ht="15">
      <c r="A63" s="81" t="s">
        <v>7587</v>
      </c>
      <c r="B63" s="83">
        <v>167</v>
      </c>
    </row>
    <row r="66" spans="1:2" ht="14.4" customHeight="1">
      <c r="A66" s="7" t="s">
        <v>7589</v>
      </c>
      <c r="B66" s="7" t="s">
        <v>7553</v>
      </c>
    </row>
    <row r="67" spans="1:2" ht="15">
      <c r="A67" s="76" t="s">
        <v>299</v>
      </c>
      <c r="B67" s="76">
        <v>35</v>
      </c>
    </row>
    <row r="68" spans="1:2" ht="15">
      <c r="A68" s="77" t="s">
        <v>261</v>
      </c>
      <c r="B68" s="76">
        <v>3</v>
      </c>
    </row>
    <row r="69" spans="1:2" ht="15">
      <c r="A69" s="77" t="s">
        <v>544</v>
      </c>
      <c r="B69" s="76">
        <v>2</v>
      </c>
    </row>
    <row r="70" spans="1:2" ht="15">
      <c r="A70" s="77" t="s">
        <v>421</v>
      </c>
      <c r="B70" s="76">
        <v>2</v>
      </c>
    </row>
    <row r="71" spans="1:2" ht="15">
      <c r="A71" s="77" t="s">
        <v>570</v>
      </c>
      <c r="B71" s="76">
        <v>1</v>
      </c>
    </row>
    <row r="72" spans="1:2" ht="15">
      <c r="A72" s="77" t="s">
        <v>568</v>
      </c>
      <c r="B72" s="76">
        <v>1</v>
      </c>
    </row>
    <row r="73" spans="1:2" ht="15">
      <c r="A73" s="77" t="s">
        <v>7590</v>
      </c>
      <c r="B73" s="76">
        <v>1</v>
      </c>
    </row>
    <row r="74" spans="1:2" ht="15">
      <c r="A74" s="77" t="s">
        <v>552</v>
      </c>
      <c r="B74" s="76">
        <v>1</v>
      </c>
    </row>
    <row r="75" spans="1:2" ht="15">
      <c r="A75" s="77" t="s">
        <v>443</v>
      </c>
      <c r="B75" s="76">
        <v>1</v>
      </c>
    </row>
    <row r="76" spans="1:2" ht="15">
      <c r="A76" s="77" t="s">
        <v>550</v>
      </c>
      <c r="B76" s="76">
        <v>1</v>
      </c>
    </row>
    <row r="79" spans="1:2" ht="14.4" customHeight="1">
      <c r="A79" s="7" t="s">
        <v>7591</v>
      </c>
      <c r="B79" s="7" t="s">
        <v>7553</v>
      </c>
    </row>
    <row r="80" spans="1:2" ht="15">
      <c r="A80" s="76" t="s">
        <v>299</v>
      </c>
      <c r="B80" s="76">
        <v>127</v>
      </c>
    </row>
    <row r="81" spans="1:2" ht="15">
      <c r="A81" s="77" t="s">
        <v>439</v>
      </c>
      <c r="B81" s="76">
        <v>5</v>
      </c>
    </row>
    <row r="82" spans="1:2" ht="15">
      <c r="A82" s="77" t="s">
        <v>530</v>
      </c>
      <c r="B82" s="76">
        <v>4</v>
      </c>
    </row>
    <row r="83" spans="1:2" ht="15">
      <c r="A83" s="77" t="s">
        <v>443</v>
      </c>
      <c r="B83" s="76">
        <v>4</v>
      </c>
    </row>
    <row r="84" spans="1:2" ht="15">
      <c r="A84" s="77" t="s">
        <v>519</v>
      </c>
      <c r="B84" s="76">
        <v>4</v>
      </c>
    </row>
    <row r="85" spans="1:2" ht="15">
      <c r="A85" s="77" t="s">
        <v>518</v>
      </c>
      <c r="B85" s="76">
        <v>4</v>
      </c>
    </row>
    <row r="86" spans="1:2" ht="15">
      <c r="A86" s="77" t="s">
        <v>517</v>
      </c>
      <c r="B86" s="76">
        <v>4</v>
      </c>
    </row>
    <row r="87" spans="1:2" ht="15">
      <c r="A87" s="77" t="s">
        <v>516</v>
      </c>
      <c r="B87" s="76">
        <v>4</v>
      </c>
    </row>
    <row r="88" spans="1:2" ht="15">
      <c r="A88" s="77" t="s">
        <v>515</v>
      </c>
      <c r="B88" s="76">
        <v>4</v>
      </c>
    </row>
    <row r="89" spans="1:2" ht="15">
      <c r="A89" s="77" t="s">
        <v>7592</v>
      </c>
      <c r="B89" s="76">
        <v>4</v>
      </c>
    </row>
    <row r="92" spans="1:2" ht="14.4" customHeight="1">
      <c r="A92" s="7" t="s">
        <v>7595</v>
      </c>
      <c r="B92" s="7" t="s">
        <v>7553</v>
      </c>
    </row>
    <row r="93" spans="1:2" ht="15">
      <c r="A93" s="102" t="s">
        <v>399</v>
      </c>
      <c r="B93" s="76">
        <v>1037757</v>
      </c>
    </row>
    <row r="94" spans="1:2" ht="15">
      <c r="A94" s="103" t="s">
        <v>347</v>
      </c>
      <c r="B94" s="76">
        <v>643968</v>
      </c>
    </row>
    <row r="95" spans="1:2" ht="15">
      <c r="A95" s="103" t="s">
        <v>476</v>
      </c>
      <c r="B95" s="76">
        <v>528237</v>
      </c>
    </row>
    <row r="96" spans="1:2" ht="15">
      <c r="A96" s="103" t="s">
        <v>355</v>
      </c>
      <c r="B96" s="76">
        <v>489957</v>
      </c>
    </row>
    <row r="97" spans="1:2" ht="15">
      <c r="A97" s="103" t="s">
        <v>356</v>
      </c>
      <c r="B97" s="76">
        <v>478521</v>
      </c>
    </row>
    <row r="98" spans="1:2" ht="15">
      <c r="A98" s="103" t="s">
        <v>520</v>
      </c>
      <c r="B98" s="76">
        <v>434393</v>
      </c>
    </row>
    <row r="99" spans="1:2" ht="15">
      <c r="A99" s="103" t="s">
        <v>400</v>
      </c>
      <c r="B99" s="76">
        <v>389849</v>
      </c>
    </row>
    <row r="100" spans="1:2" ht="15">
      <c r="A100" s="103" t="s">
        <v>405</v>
      </c>
      <c r="B100" s="76">
        <v>384272</v>
      </c>
    </row>
    <row r="101" spans="1:2" ht="15">
      <c r="A101" s="103" t="s">
        <v>346</v>
      </c>
      <c r="B101" s="76">
        <v>326339</v>
      </c>
    </row>
    <row r="102" spans="1:2" ht="15">
      <c r="A102" s="103" t="s">
        <v>414</v>
      </c>
      <c r="B102" s="76">
        <v>277756</v>
      </c>
    </row>
  </sheetData>
  <hyperlinks>
    <hyperlink ref="A2" r:id="rId1" display="https://inovies.com/"/>
    <hyperlink ref="A3" r:id="rId2" display="https://www.inovies.com/digital-marketing/"/>
    <hyperlink ref="A4" r:id="rId3" display="https://www.inovies.com/"/>
    <hyperlink ref="A5" r:id="rId4" display="https://www.inovies.com/web-design/"/>
    <hyperlink ref="A6" r:id="rId5" display="https://inovies.com/digital-marketing/"/>
    <hyperlink ref="A7" r:id="rId6" display="https://www.inovies.com/web-design/web-designing-company-in-hyderabad"/>
    <hyperlink ref="A8" r:id="rId7" display="https://twitter.com/Inovies/status/1402693044516757504"/>
    <hyperlink ref="A9" r:id="rId8" display="https://www.inovies.com/digital-marketing-company/"/>
    <hyperlink ref="A10" r:id="rId9" display="https://twitter.com/Inovies"/>
    <hyperlink ref="A11" r:id="rId10" display="https://www.inovies.com/digital-marketing-company/seo-company"/>
  </hyperlinks>
  <printOptions/>
  <pageMargins left="0.7" right="0.7" top="0.75" bottom="0.75" header="0.3" footer="0.3"/>
  <pageSetup orientation="portrait" paperSize="9"/>
  <tableParts>
    <tablePart r:id="rId15"/>
    <tablePart r:id="rId17"/>
    <tablePart r:id="rId12"/>
    <tablePart r:id="rId14"/>
    <tablePart r:id="rId18"/>
    <tablePart r:id="rId16"/>
    <tablePart r:id="rId11"/>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25344-D2E8-4804-816D-346EF36032AA}">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7" t="s">
        <v>8253</v>
      </c>
      <c r="B1" s="7" t="s">
        <v>17</v>
      </c>
    </row>
    <row r="2" spans="1:2" ht="15">
      <c r="A2" s="76" t="s">
        <v>8254</v>
      </c>
      <c r="B2" s="76"/>
    </row>
    <row r="3" spans="1:2" ht="15">
      <c r="A3" s="77" t="s">
        <v>8255</v>
      </c>
      <c r="B3" s="76"/>
    </row>
    <row r="4" spans="1:2" ht="15">
      <c r="A4" s="77" t="s">
        <v>8256</v>
      </c>
      <c r="B4" s="76"/>
    </row>
    <row r="5" spans="1:2" ht="15">
      <c r="A5" s="77" t="s">
        <v>8257</v>
      </c>
      <c r="B5" s="76"/>
    </row>
    <row r="6" spans="1:2" ht="15">
      <c r="A6" s="77" t="s">
        <v>8258</v>
      </c>
      <c r="B6" s="76"/>
    </row>
    <row r="7" spans="1:2" ht="15">
      <c r="A7" s="77" t="s">
        <v>5854</v>
      </c>
      <c r="B7"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66D4EC8-E31E-45BC-A09D-2F908523D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Ruby singh</dc:creator>
  <cp:keywords/>
  <dc:description/>
  <cp:lastModifiedBy>Ruby singh</cp:lastModifiedBy>
  <dcterms:created xsi:type="dcterms:W3CDTF">2008-01-30T00:41:58Z</dcterms:created>
  <dcterms:modified xsi:type="dcterms:W3CDTF">2023-12-21T20:36:22Z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