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Export Options" sheetId="8" r:id="rId8"/>
    <sheet name="Top Items" sheetId="9" r:id="rId9"/>
    <sheet name="Group Edges" sheetId="10" r:id="rId10"/>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<sst xmlns="http://schemas.openxmlformats.org/spreadsheetml/2006/main" count="613" uniqueCount="329">
  <si>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</si>
  <si>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</si>
  <si>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</si>
  <si>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</si>
  <si>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</si>
  <si>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</si>
  <si>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</si>
  <si>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</si>
  <si>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</si>
  <si>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</si>
  <si>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</si>
  <si>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</si>
  <si>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</si>
  <si>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</si>
  <si>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</si>
  <si>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</si>
  <si>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</si>
  <si>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</si>
  <si>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</si>
  <si>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</si>
  <si>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</si>
  <si>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</si>
  <si>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</si>
  <si>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</si>
  <si>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</si>
  <si>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</si>
  <si>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</si>
  <si>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</si>
  <si>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</si>
  <si>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</si>
  <si>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</si>
  <si>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</si>
  <si>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</si>
  <si>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</si>
  <si>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</si>
  <si>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</si>
  <si>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</si>
  <si>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</si>
  <si>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</si>
  <si>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</si>
  <si>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</si>
  <si>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</si>
  <si>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</si>
  <si>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</si>
  <si>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</si>
  <si>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</si>
  <si>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</si>
  <si>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</si>
  <si>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</si>
  <si>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</si>
  <si>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</si>
  <si>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</si>
  <si>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</si>
  <si>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</si>
  <si>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</si>
  <si>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</si>
  <si>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</si>
  <si>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</si>
  <si>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</si>
  <si>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</si>
  <si>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</si>
  <si>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</si>
  <si>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</si>
  <si>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</si>
  <si>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</si>
  <si>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</si>
  <si>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</si>
  <si>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</si>
  <si>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</si>
  <si>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</si>
  <si>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</si>
  <si>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</si>
  <si>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</si>
  <si>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</si>
  <si>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</si>
  <si>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</si>
  <si>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</si>
  <si>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</si>
  <si>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</si>
  <si>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</si>
  <si>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</si>
  <si>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</si>
  <si>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</si>
  <si>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</si>
  <si>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</si>
  <si>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</si>
  <si>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</si>
  <si>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</si>
  <si>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</si>
  <si>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</si>
  <si>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</si>
  <si>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</si>
  <si>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</si>
  <si>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</si>
  <si>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</si>
  <si>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</si>
  <si>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</si>
  <si>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</si>
  <si>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</si>
  <si>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</si>
  <si>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</si>
  <si>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</si>
  <si>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</si>
  <si>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</si>
  <si>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</si>
  <si>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</si>
  <si>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</si>
  <si>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</si>
  <si>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</si>
  <si>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</si>
  <si>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</si>
  <si>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</si>
  <si>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</si>
  <si>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</si>
  <si>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</si>
  <si>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</si>
  <si>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</si>
  <si>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</si>
  <si>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</si>
  <si>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</si>
  <si>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</si>
  <si>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</si>
  <si>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</si>
  <si>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</si>
  <si>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</si>
  <si>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</si>
  <si>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</si>
  <si>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</si>
  <si>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</si>
  <si>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</si>
  <si>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</si>
  <si>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</si>
  <si>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</si>
  <si>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</si>
  <si>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</si>
  <si>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</si>
  <si>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</si>
  <si>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</si>
  <si>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</si>
  <si>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</si>
  <si>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</si>
  <si>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</si>
  <si>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</si>
  <si>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</si>
  <si>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</si>
  <si>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</si>
  <si>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</si>
  <si>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</si>
  <si>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</si>
  <si>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</si>
  <si>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</si>
  <si>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</si>
  <si>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</si>
  <si>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</si>
  <si>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</si>
  <si>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</si>
  <si>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</si>
  <si>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</si>
  <si>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</si>
  <si>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</si>
  <si>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</si>
  <si>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</si>
  <si>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</si>
  <si>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</si>
  <si>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</si>
  <si>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</si>
  <si>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</si>
  <si>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</si>
  <si>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</si>
  <si>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</si>
  <si>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</si>
  <si>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</si>
  <si>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</si>
  <si>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</si>
  <si>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</si>
  <si>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</si>
  <si>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</si>
  <si>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</si>
  <si>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</si>
  <si>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</si>
  <si>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</si>
  <si>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</si>
  <si>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</si>
  <si>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</si>
  <si>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</si>
  <si>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</si>
  <si>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</si>
  <si>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</si>
  <si>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</si>
  <si>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</si>
  <si>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</si>
  <si>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</si>
  <si>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</si>
  <si>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</si>
  <si>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</si>
  <si>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</si>
  <si>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Subscribed At</t>
  </si>
  <si>
    <t>Total Items Count</t>
  </si>
  <si>
    <t>New Items Count</t>
  </si>
  <si>
    <t>UCcii8ZN-2lH9Dy2yL9Q3E7A</t>
  </si>
  <si>
    <t>UCaFzKCEMfNME-a8l6V43ZAw</t>
  </si>
  <si>
    <t>UCbIz_66E4bWyNU_gnVI73bQ</t>
  </si>
  <si>
    <t>UCuYcqLjJi8thrUJCjzLBaow</t>
  </si>
  <si>
    <t>UCsMtgr38wPby5SAEw88ISMQ</t>
  </si>
  <si>
    <t>UCqqjiYoD0nP1fR6vf5AcSfQ</t>
  </si>
  <si>
    <t>UClQT6Vnsm6BUm0I5kR26EkQ</t>
  </si>
  <si>
    <t>UCiMPkzrVSCEDm3TatvdVylw</t>
  </si>
  <si>
    <t>UCZn9XBZ0ef1L6zwfA5oIpfw</t>
  </si>
  <si>
    <t>UCSOknnmnLqXZRQXM8uzh7Tw</t>
  </si>
  <si>
    <t>UCQ01UzLycVtk6LmvVZC1eMg</t>
  </si>
  <si>
    <t>UCIEim7TMQ9FRIykPWSYIwUg</t>
  </si>
  <si>
    <t>UCBc6O9ZkUZfBdYCmHLZVZsQ</t>
  </si>
  <si>
    <t>UC7FCUF2yedOT-Ot55kKZ1iw</t>
  </si>
  <si>
    <t>UC4gPNusMDwx2Xm-YI35AkCA</t>
  </si>
  <si>
    <t>UC5YPpUoIFAbQZVVHc38OAdQ</t>
  </si>
  <si>
    <t>UCnBk2Cx65aKmRScwbk1VMQA</t>
  </si>
  <si>
    <t>UCkoFVQzbQn3ds1I5XtgEmmw</t>
  </si>
  <si>
    <t>UCKhjYwhclvZ7yyhiAq1qpqw</t>
  </si>
  <si>
    <t>UCF619Hr920_s4YoDOLk1J3g</t>
  </si>
  <si>
    <t>UCxM4D7WRi5RDr9d0RB-EVkQ</t>
  </si>
  <si>
    <t>Subscribed To</t>
  </si>
  <si>
    <t>Custom Menu Item Text</t>
  </si>
  <si>
    <t>Custom Menu Item Action</t>
  </si>
  <si>
    <t>Title</t>
  </si>
  <si>
    <t>Description</t>
  </si>
  <si>
    <t>Open YouTube Page for This Channel</t>
  </si>
  <si>
    <t>Christopher Hoffmann</t>
  </si>
  <si>
    <t>IEA DHC</t>
  </si>
  <si>
    <t>Architect of the Capitol</t>
  </si>
  <si>
    <t>Amanpour and Company</t>
  </si>
  <si>
    <t>Pearl Jam</t>
  </si>
  <si>
    <t>International Energy Agency</t>
  </si>
  <si>
    <t>QuakeWrap, Inc.</t>
  </si>
  <si>
    <t>Plume Project</t>
  </si>
  <si>
    <t>Office of Sustainability at Princeton University</t>
  </si>
  <si>
    <t>District Energy St. Paul</t>
  </si>
  <si>
    <t>State of Green</t>
  </si>
  <si>
    <t>Veolia Group</t>
  </si>
  <si>
    <t>U2</t>
  </si>
  <si>
    <t>PTTEP Official</t>
  </si>
  <si>
    <t>PTTEP Robot Club</t>
  </si>
  <si>
    <t>ASEAN SUSTAINABLE ENERGY WEEK</t>
  </si>
  <si>
    <t>INTERMACH</t>
  </si>
  <si>
    <t>MiRA AND SUBCON EEC</t>
  </si>
  <si>
    <t>Best Free Audio</t>
  </si>
  <si>
    <t>Best Free Footage</t>
  </si>
  <si>
    <t>International District Energy Association</t>
  </si>
  <si>
    <t>Public Figure</t>
  </si>
  <si>
    <t>The Architect of the Capitol (AOC) is rooted in a tradition of unique craftsmanship and ingenuity. Tracing its beginnings to the laying of the #USCapitol cornerstone in 1793, the AOC is responsible for the operations and care of more than 18.4 million sq. ft. of facilities, 570 acres of grounds and thousands of works of art.
Today, there are more than 2,000 AOC employees serving around the clock in diverse roles to maintain and preserve the buildings and grounds. Iconic landmarks under our care include the U.S. Capitol, Capitol Grounds, Capitol Visitor Center, House office buildings, Library of Congress, Senate office buildings, Supreme Court buildings and U.S. Botanic Garden.
-----
NOTE
Our videos are made available for educational, scholarly, news or personal purposes (not advertising or any other commercial use). These videos may not be used in any way that would imply endorsement by the Architect of the Capitol or the United States Congress of a product, service or point of view.</t>
  </si>
  <si>
    <t>Amanpour and Company is a one-hour, late-night public affairs series featuring wide-ranging, in-depth conversations with global thought leaders and cultural influencers on the issues and trends impacting the world each day. Christiane Amanpour leads the conversation on global and domestic news with other interviews from prominent journalists Walter Isaacson, Michel Martin and Hari Sreenivasan.
Watch weekdays on PBS (check local listings), pbs.org/amanpour and on PBS Video Apps. Join the conversation using #AmanpourPBS.
Major support for Amanpour and Company is provided by The Anderson Family Endowment, Jim Attwood and Leslie Williams, Candace King Weir, the Leila and Mickey Straus Family Charitable Trust, Mark J. Blechner, Seton J. Melvin, Charles Rosenblum, Koo and Patricia Yuen, Barbara Hope Zuckerberg, Jeffrey Katz and Beth Rogers, Bernard and Denise Schwartz, the JPB Foundation, the Sylvia A. and Simon B. Poyta Programming Endowment to Fight Antisemitism and Josh Weston.</t>
  </si>
  <si>
    <t>Celebrate 30 years of Vs. by listening to the album. Exclusive merch is now available: https://pj.lnk.to/homeID</t>
  </si>
  <si>
    <t>Shaping a secure &amp; sustainable energy future. We provide data, analysis &amp; ambitious real-world solutions on all fuels &amp; technologies.</t>
  </si>
  <si>
    <t>Engineering/Construction company specializing in structural repair and strengthening of beams, columns, walls, slabs, piles, marine piles, pipes, tanks, bridges, seawalls, bulkheads and more using engineered and patent protected FRP products and systems.</t>
  </si>
  <si>
    <t>Princeton University's Office of Sustainability's mission is to cultivate an ethos of sustainability at Princeton that inspires action at all scales in service to humanity and the world.</t>
  </si>
  <si>
    <t>District Energy St. Paul currently utilizes flexible fuels (including solar, biomass &amp; waste heat) to heat and cool the majority of downtown Saint Paul. We're North America's largest hot water community energy system. 
districtenergy.com</t>
  </si>
  <si>
    <t>State of Green is your one-stop-shop to more than 600 Danish businesses, agencies, academic institutions, experts and researchers. State of Green connects you with leading Danish players working to drive the global transition to a sustainable, low-carbon, resource-efficient society.</t>
  </si>
  <si>
    <t>Le groupe Veolia, leader de la transformation écologique, agit face aux défis du dérèglement climatique et de la préservation des ressources sur les cinq continents, grâce à un collectif engagé de 213 000 collaborateurs. Fort de son expertise de 170 ans dans ses 3 métiers, l’eau, l’énergie et les déchets, Veolia conçoit et déploie chez ses clients municipaux et industriels des solutions de décarbonation, de dépollution et de régénération des ressources pour  les accompagner dans leur transformation écologique.
Veolia Group, the benchmark company for ecological transformation, takes action to meet the challenges of climate change and resource conservation on five continents, thanks to a committed collective of 213,000 employees. Drawing on 170 years of expertise in its 3 core businesses of water, energy and waste management, Veolia designs and deploys decarbonizing, saving and regenerating resources, and depolluting solutions for its municipal and industrial customers.</t>
  </si>
  <si>
    <t>U2:UV Achtung Baby, Live at Sphere. Atomic City. Out Now.</t>
  </si>
  <si>
    <t>ASEAN's Largest International Exhibition and Conference on Renewable Energy, Energy Efficiency and Environmental Technology
[Energy Transition for Sustainable ASEAN Development]</t>
  </si>
  <si>
    <t>ASEAN's Largest Industrial Machinery and Subcontracting Exhibition
"INTERMACH" is the most comprehensive event displaying the latest industrial technology and supports the manufacturing process that is aligned with Industrial Revolution 4.0. The first international industrial machinery event of the year, it is conveniently held at the start of the industrial purchasing period. INTERMACH has proven success in attracting serious decision-makers and buyers from across ASEAN. It's designed to deliver serious business success.</t>
  </si>
  <si>
    <t>Thailand’s Leading Industrial Solution Event in Eastern Economic Corridor on Maintenance, Industrial Robotics, Automation and Subcontracting
24-26 AUGUST 2022
International Convention and Exhibition (NICE)
Pattaya, Chonburi, Thailand</t>
  </si>
  <si>
    <t>Explore in Best Free Audio the best Creative Commons Music and Sound Sound Effects for your Videos.</t>
  </si>
  <si>
    <t>Explore in Best Free Footage the better No Copyright Videos, Creative Commons and Royalty Free Footage. Videos of all genres for content creators.</t>
  </si>
  <si>
    <t>This channel is published by the International District Energy Association, a nonprofit trade association founded in 1909 to facilitate the exchange of information among district energy professionals. Today, IDEA has over 2500 members and is governed by a 20-member, all-volunteer Board of Directors.</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</si>
  <si>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</si>
  <si>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&lt;value&gt;False&lt;/value&gt;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</si>
  <si>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</si>
  <si>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</si>
  <si>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</si>
  <si>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</si>
  <si>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</si>
  <si>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</si>
  <si>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</si>
  <si>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</si>
  <si>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</si>
  <si>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</si>
  <si>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</si>
  <si>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</si>
  <si>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</si>
  <si>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</si>
  <si>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</si>
  <si>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</si>
  <si>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</si>
  <si>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</si>
  <si>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Key</t>
  </si>
  <si>
    <t>Action Label</t>
  </si>
  <si>
    <t>Action URL</t>
  </si>
  <si>
    <t>Brand Logo</t>
  </si>
  <si>
    <t>Brand URL</t>
  </si>
  <si>
    <t>Hashtag</t>
  </si>
  <si>
    <t>URL</t>
  </si>
  <si>
    <t>Top 10 Vertices, Ranked by Betweenness Centrality</t>
  </si>
  <si>
    <t>G1</t>
  </si>
  <si>
    <t>G2</t>
  </si>
  <si>
    <t>0, 12, 96</t>
  </si>
  <si>
    <t>0, 136, 227</t>
  </si>
  <si>
    <t>Vertex Group</t>
  </si>
  <si>
    <t>Vertex 1 Group</t>
  </si>
  <si>
    <t>Vertex 2 Group</t>
  </si>
  <si>
    <t>▓0▓0▓0▓True▓Black▓Black▓▓▓0▓0▓0▓0▓0▓False▓▓0▓0▓0▓0▓0▓False▓▓0▓0▓0▓True▓Black▓Black▓▓Betweenness Centrality▓0▓38▓3▓20▓1000▓False▓▓0▓0▓0▓0▓0▓False▓▓0▓0▓0▓0▓0▓False▓▓0▓0▓0▓0▓0▓False</t>
  </si>
  <si>
    <t xml:space="preserve">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touve.com
extendedresults.com
instagram.com
siliconangle.com
vmware.com
notonlydev.com
gigaom.com
forbes.com
mit.edu
Top Domains in Tweet in G1:
strataconf.com
instagram.com
touve.com
notonlydev.com
gigaom.com
mit.edu
discovertext.com
oreilly.com
wikipedia.org
slideshare.net
Top Domains in Tweet in G2:
extendedresults.com
strataconf.com
siliconangle.com
vmware.com
pushbi.com
touve.com
datanami.com
forbes.com
instagram.com
ow.ly
Top Domains in Tweet in G3:
strataconf.com
touve.com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t>
  </si>
  <si>
    <t>&lt;/setting&gt;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t>
  </si>
  <si>
    <t>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t>
  </si>
  <si>
    <t>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t>
  </si>
  <si>
    <t>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t>
  </si>
  <si>
    <t>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t>
  </si>
  <si>
    <t>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t>
  </si>
  <si>
    <t>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t>
  </si>
  <si>
    <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t>
  </si>
  <si>
    <t xml:space="preserve">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t>
  </si>
  <si>
    <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t>
  </si>
  <si>
    <t xml:space="preserve">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t>
  </si>
  <si>
    <t>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t>
  </si>
  <si>
    <t>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t>
  </si>
  <si>
    <t>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 /&gt;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 /&gt;
      &lt;/setting&gt;
      &lt;setting name="VertexShapeSourceColumnName" serializeAs="String"&gt;
        &lt;value /&gt;
      &lt;/setting&gt;
      &lt;setting name="EdgeStyleSourceColumnName" serializeAs="String"&gt;
        &lt;value /&gt;
      &lt;/setting&gt;
      &lt;setting name="EdgeColorSourceColumnName" serializeAs="String"&gt;
        &lt;value /&gt;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t>
  </si>
  <si>
    <t xml:space="preserve">lizeAs="String"&gt;
        &lt;value&gt;False False 0 0 3 10 True False&lt;/value&gt;
      &lt;/setting&gt;
      &lt;setting name="GroupCollapsedDetails" serializeAs="String"&gt;
        &lt;value&gt;GreaterThan 0 Yes No&lt;/value&gt;
      &lt;/setting&gt;
      &lt;setting name="VertexRadiusDetails" serializeAs="String"&gt;
        &lt;value&gt;False False 0 0 20 1000 True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 /&gt;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&lt;value&gt;ForceDirected&lt;/value&gt;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&lt;value&gt;4&lt;/value&gt;
      &lt;/setting&gt;
      &lt;setting name="AutoSelect" serializeAs="String"&gt;
        &lt;value&gt;True&lt;/value&gt;
      &lt;/setting&gt;
      &lt;setting name="LabelUserSettings" serializeAs="String"&gt;
        &lt;value&gt;Microsoft Sans Serif, 27.75pt White BottomCenter 25 2147483647 Black True 314 Black 80 TopLeft Microsoft Sans Serif, 48pt Microsoft Sans Serif, 6pt&lt;/value&gt;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&lt;value&gt;4&lt;/value&gt;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t>
  </si>
  <si>
    <t>Edge Weight</t>
  </si>
  <si>
    <t>GraphSource░touveChannel▓GraphTerm░UC-htisi9TeqdRkTTpNtznrg▓ImportDescription░The graph represents the 2-level touve network for the channel that corresponds to the channel with ID "UC-htisi9TeqdRkTTpNtznrg".  The network was obtained from touve on Thursday, 18 January 2024 at 10:07 UTC.
There is a vertex for each person or channel subscribed to by the user.▓ImportSuggestedTitle░touve Channel UC-htisi9TeqdRkTTpNtznrg▓ImportSuggestedFileNameNoExtension░2024-01-18 10-07-37 NodeXL touve Channel UC-htisi9TeqdRkTTpNtznrg▓GroupingDescription░The graph's vertices were grouped by cluster using the Clauset-Newman-Moore cluster algorithm.▓LayoutAlgorithm░The graph was laid out using the Harel-Koren Fast Multiscale layout algorithm.▓GraphDirectedness░The graph is directed.</t>
  </si>
  <si>
    <t>Group 1</t>
  </si>
  <si>
    <t>Group 2</t>
  </si>
  <si>
    <t>Edges</t>
  </si>
  <si>
    <t>touveChannel</t>
  </si>
  <si>
    <t>UC-htisi9TeqdRkTTpNtznrg</t>
  </si>
  <si>
    <t>The graph represents the 2-level touve network for the channel that corresponds to the channel with ID "UC-htisi9TeqdRkTTpNtznrg".  The network was obtained from touve on Thursday, 18 January 2024 at 10:07 UTC.
There is a vertex for each person or channel subscribed to by the user.</t>
  </si>
  <si>
    <t>The graph was laid out using the Harel-Koren Fast Multiscale layout algorithm.</t>
  </si>
  <si>
    <t>The graph's vertices were grouped by cluster using the Clauset-Newman-Moore cluster algorithm.</t>
  </si>
  <si>
    <t>https://nodexlgraphgallery.org/Pages/Graph.aspx?graphID=294359</t>
  </si>
  <si>
    <t>https://nodexlgraphgallery.org/Images/Image.ashx?graphID=294359&amp;type=f</t>
  </si>
  <si>
    <t>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</si>
</sst>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7" applyNumberFormat="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Alignment="1" quotePrefix="1">
      <alignment/>
    </xf>
    <xf numFmtId="49" fontId="0" fillId="0" borderId="7" xfId="22" applyNumberFormat="1" applyFont="1" applyBorder="1" applyAlignment="1">
      <alignment/>
    </xf>
    <xf numFmtId="0" fontId="0" fillId="3" borderId="11" xfId="23" applyNumberFormat="1" applyFont="1" applyBorder="1"/>
    <xf numFmtId="0" fontId="0" fillId="2" borderId="11" xfId="20" applyNumberFormat="1" applyFont="1" applyBorder="1"/>
    <xf numFmtId="0" fontId="0" fillId="0" borderId="0" xfId="22" applyFont="1" applyAlignment="1">
      <alignment/>
    </xf>
    <xf numFmtId="0" fontId="0" fillId="0" borderId="0" xfId="22" applyFont="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8" formatCode="0"/>
      <border>
        <right style="thin">
          <color theme="0"/>
        </right>
      </border>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7" formatCode="@"/>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23"/>
      <tableStyleElement type="headerRow" dxfId="122"/>
    </tableStyle>
    <tableStyle name="NodeXL Table" pivot="0" count="1">
      <tableStyleElement type="headerRow" dxfId="1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030985"/>
        <c:axId val="16516818"/>
      </c:barChart>
      <c:catAx>
        <c:axId val="540309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516818"/>
        <c:crosses val="autoZero"/>
        <c:auto val="1"/>
        <c:lblOffset val="100"/>
        <c:noMultiLvlLbl val="0"/>
      </c:catAx>
      <c:valAx>
        <c:axId val="16516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30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433635"/>
        <c:axId val="62793852"/>
      </c:barChart>
      <c:catAx>
        <c:axId val="144336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793852"/>
        <c:crosses val="autoZero"/>
        <c:auto val="1"/>
        <c:lblOffset val="100"/>
        <c:noMultiLvlLbl val="0"/>
      </c:catAx>
      <c:valAx>
        <c:axId val="62793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33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273757"/>
        <c:axId val="53137222"/>
      </c:barChart>
      <c:catAx>
        <c:axId val="282737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137222"/>
        <c:crosses val="autoZero"/>
        <c:auto val="1"/>
        <c:lblOffset val="100"/>
        <c:noMultiLvlLbl val="0"/>
      </c:catAx>
      <c:valAx>
        <c:axId val="53137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73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472951"/>
        <c:axId val="9147696"/>
      </c:barChart>
      <c:catAx>
        <c:axId val="84729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147696"/>
        <c:crosses val="autoZero"/>
        <c:auto val="1"/>
        <c:lblOffset val="100"/>
        <c:noMultiLvlLbl val="0"/>
      </c:catAx>
      <c:valAx>
        <c:axId val="9147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72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220401"/>
        <c:axId val="2765882"/>
      </c:barChart>
      <c:catAx>
        <c:axId val="152204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65882"/>
        <c:crosses val="autoZero"/>
        <c:auto val="1"/>
        <c:lblOffset val="100"/>
        <c:noMultiLvlLbl val="0"/>
      </c:catAx>
      <c:valAx>
        <c:axId val="2765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20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892939"/>
        <c:axId val="22709860"/>
      </c:barChart>
      <c:catAx>
        <c:axId val="248929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709860"/>
        <c:crosses val="autoZero"/>
        <c:auto val="1"/>
        <c:lblOffset val="100"/>
        <c:noMultiLvlLbl val="0"/>
      </c:catAx>
      <c:valAx>
        <c:axId val="22709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92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62149"/>
        <c:axId val="27559342"/>
      </c:barChart>
      <c:catAx>
        <c:axId val="30621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559342"/>
        <c:crosses val="autoZero"/>
        <c:auto val="1"/>
        <c:lblOffset val="100"/>
        <c:noMultiLvlLbl val="0"/>
      </c:catAx>
      <c:valAx>
        <c:axId val="27559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2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707487"/>
        <c:axId val="17714200"/>
      </c:barChart>
      <c:catAx>
        <c:axId val="467074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714200"/>
        <c:crosses val="autoZero"/>
        <c:auto val="1"/>
        <c:lblOffset val="100"/>
        <c:noMultiLvlLbl val="0"/>
      </c:catAx>
      <c:valAx>
        <c:axId val="17714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07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210073"/>
        <c:axId val="25564066"/>
      </c:barChart>
      <c:catAx>
        <c:axId val="25210073"/>
        <c:scaling>
          <c:orientation val="minMax"/>
        </c:scaling>
        <c:axPos val="b"/>
        <c:delete val="1"/>
        <c:majorTickMark val="out"/>
        <c:minorTickMark val="none"/>
        <c:tickLblPos val="none"/>
        <c:crossAx val="25564066"/>
        <c:crosses val="autoZero"/>
        <c:auto val="1"/>
        <c:lblOffset val="100"/>
        <c:noMultiLvlLbl val="0"/>
      </c:catAx>
      <c:valAx>
        <c:axId val="25564066"/>
        <c:scaling>
          <c:orientation val="minMax"/>
        </c:scaling>
        <c:axPos val="l"/>
        <c:delete val="1"/>
        <c:majorTickMark val="out"/>
        <c:minorTickMark val="none"/>
        <c:tickLblPos val="none"/>
        <c:crossAx val="252100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3954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6621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9278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1926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4603075"/>
        <a:ext cx="6457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7270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2594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9918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U22" totalsRowShown="0" headerRowDxfId="120" dataDxfId="119">
  <autoFilter ref="A2:U22"/>
  <tableColumns count="21">
    <tableColumn id="1" name="Vertex 1" dataDxfId="69"/>
    <tableColumn id="2" name="Vertex 2" dataDxfId="67"/>
    <tableColumn id="3" name="Color" dataDxfId="68"/>
    <tableColumn id="4" name="Width" dataDxfId="118"/>
    <tableColumn id="11" name="Style" dataDxfId="117"/>
    <tableColumn id="5" name="Opacity" dataDxfId="116"/>
    <tableColumn id="6" name="Visibility" dataDxfId="115"/>
    <tableColumn id="10" name="Label" dataDxfId="114"/>
    <tableColumn id="12" name="Label Text Color" dataDxfId="113"/>
    <tableColumn id="13" name="Label Font Size" dataDxfId="112"/>
    <tableColumn id="14" name="Reciprocated?" dataDxfId="23"/>
    <tableColumn id="7" name="ID" dataDxfId="111"/>
    <tableColumn id="9" name="Dynamic Filter" dataDxfId="110"/>
    <tableColumn id="8" name="Add Your Own Columns Here" dataDxfId="66"/>
    <tableColumn id="15" name="Relationship" dataDxfId="65"/>
    <tableColumn id="16" name="Subscribed At" dataDxfId="64"/>
    <tableColumn id="17" name="Total Items Count" dataDxfId="63"/>
    <tableColumn id="18" name="New Items Count" dataDxfId="41"/>
    <tableColumn id="19" name="Vertex 1 Group" dataDxfId="40">
      <calculatedColumnFormula>REPLACE(INDEX(GroupVertices[Group], MATCH("~"&amp;Edges[[#This Row],[Vertex 1]],GroupVertices[Vertex],0)),1,1,"")</calculatedColumnFormula>
    </tableColumn>
    <tableColumn id="20" name="Vertex 2 Group" dataDxfId="39">
      <calculatedColumnFormula>REPLACE(INDEX(GroupVertices[Group], MATCH("~"&amp;Edges[[#This Row],[Vertex 2]],GroupVertices[Vertex],0)),1,1,"")</calculatedColumnFormula>
    </tableColumn>
    <tableColumn id="21" name="Edge Weight"/>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52" dataDxfId="51">
  <autoFilter ref="A1:B7"/>
  <tableColumns count="2">
    <tableColumn id="1" name="Key" dataDxfId="3"/>
    <tableColumn id="2" name="Value" dataDxfId="2"/>
  </tableColumns>
  <tableStyleInfo name="NodeXL Table" showFirstColumn="0" showLastColumn="0" showRowStripes="1" showColumnStripes="0"/>
</table>
</file>

<file path=xl/tables/table12.xml><?xml version="1.0" encoding="utf-8"?>
<table xmlns="http://schemas.openxmlformats.org/spreadsheetml/2006/main" id="13" name="TopItems_1" displayName="TopItems_1" ref="A1:B11" totalsRowShown="0" headerRowDxfId="7" dataDxfId="6">
  <autoFilter ref="A1:B11"/>
  <tableColumns count="2">
    <tableColumn id="1" name="Top 10 Vertices, Ranked by Betweenness Centrality" dataDxfId="5"/>
    <tableColumn id="2" name="Betweenness Centrality" dataDxfId="4"/>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5" totalsRowShown="0" headerRowDxfId="22" dataDxfId="21">
  <autoFilter ref="A2:C5"/>
  <tableColumns count="3">
    <tableColumn id="1" name="Group 1" dataDxfId="20"/>
    <tableColumn id="2" name="Group 2" dataDxfId="19"/>
    <tableColumn id="3" name="Edges" dataDxfId="1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H23" totalsRowShown="0" headerRowDxfId="109" dataDxfId="108">
  <autoFilter ref="A2:AH23"/>
  <sortState ref="A3:AH23">
    <sortCondition descending="1" sortBy="value" ref="U3:U23"/>
  </sortState>
  <tableColumns count="34">
    <tableColumn id="1" name="Vertex" dataDxfId="107"/>
    <tableColumn id="2" name="Color" dataDxfId="106"/>
    <tableColumn id="5" name="Shape" dataDxfId="105"/>
    <tableColumn id="6" name="Size" dataDxfId="104"/>
    <tableColumn id="4" name="Opacity" dataDxfId="60"/>
    <tableColumn id="7" name="Image File" dataDxfId="58"/>
    <tableColumn id="3" name="Visibility" dataDxfId="59"/>
    <tableColumn id="10" name="Label" dataDxfId="103"/>
    <tableColumn id="16" name="Label Fill Color" dataDxfId="102"/>
    <tableColumn id="9" name="Label Position" dataDxfId="55"/>
    <tableColumn id="8" name="Tooltip" dataDxfId="53"/>
    <tableColumn id="18" name="Layout Order" dataDxfId="54"/>
    <tableColumn id="13" name="X" dataDxfId="101"/>
    <tableColumn id="14" name="Y" dataDxfId="100"/>
    <tableColumn id="12" name="Locked?" dataDxfId="99"/>
    <tableColumn id="19" name="Polar R" dataDxfId="98"/>
    <tableColumn id="20" name="Polar Angle" dataDxfId="97"/>
    <tableColumn id="21" name="Degree" dataDxfId="14"/>
    <tableColumn id="22" name="In-Degree" dataDxfId="13"/>
    <tableColumn id="23" name="Out-Degree" dataDxfId="11"/>
    <tableColumn id="24" name="Betweenness Centrality" dataDxfId="12"/>
    <tableColumn id="25" name="Closeness Centrality" dataDxfId="16"/>
    <tableColumn id="26" name="Eigenvector Centrality" dataDxfId="15"/>
    <tableColumn id="15" name="PageRank" dataDxfId="10"/>
    <tableColumn id="27" name="Clustering Coefficient" dataDxfId="8"/>
    <tableColumn id="29" name="Reciprocated Vertex Pair Ratio" dataDxfId="9"/>
    <tableColumn id="11" name="ID" dataDxfId="96"/>
    <tableColumn id="28" name="Dynamic Filter" dataDxfId="95"/>
    <tableColumn id="17" name="Add Your Own Columns Here" dataDxfId="62"/>
    <tableColumn id="30" name="Custom Menu Item Text" dataDxfId="61"/>
    <tableColumn id="31" name="Custom Menu Item Action" dataDxfId="57"/>
    <tableColumn id="32" name="Title" dataDxfId="56"/>
    <tableColumn id="33" name="Description" dataDxfId="43"/>
    <tableColumn id="34" name="Vertex Group" dataDxfId="42">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4" totalsRowShown="0" headerRowDxfId="94">
  <autoFilter ref="A2:X4"/>
  <tableColumns count="24">
    <tableColumn id="1" name="Group" dataDxfId="50"/>
    <tableColumn id="2" name="Vertex Color" dataDxfId="49"/>
    <tableColumn id="3" name="Vertex Shape" dataDxfId="47"/>
    <tableColumn id="22" name="Visibility" dataDxfId="48"/>
    <tableColumn id="4" name="Collapsed?"/>
    <tableColumn id="18" name="Label" dataDxfId="93"/>
    <tableColumn id="20" name="Collapsed X"/>
    <tableColumn id="21" name="Collapsed Y"/>
    <tableColumn id="6" name="ID" dataDxfId="92"/>
    <tableColumn id="19" name="Collapsed Properties" dataDxfId="38"/>
    <tableColumn id="5" name="Vertices" dataDxfId="37"/>
    <tableColumn id="7" name="Unique Edges" dataDxfId="36"/>
    <tableColumn id="8" name="Edges With Duplicates" dataDxfId="35"/>
    <tableColumn id="9" name="Total Edges" dataDxfId="34"/>
    <tableColumn id="10" name="Self-Loops" dataDxfId="33"/>
    <tableColumn id="24" name="Reciprocated Vertex Pair Ratio" dataDxfId="32"/>
    <tableColumn id="25" name="Reciprocated Edge Ratio" dataDxfId="31"/>
    <tableColumn id="11" name="Connected Components" dataDxfId="30"/>
    <tableColumn id="12" name="Single-Vertex Connected Components" dataDxfId="29"/>
    <tableColumn id="13" name="Maximum Vertices in a Connected Component" dataDxfId="28"/>
    <tableColumn id="14" name="Maximum Edges in a Connected Component" dataDxfId="27"/>
    <tableColumn id="15" name="Maximum Geodesic Distance (Diameter)" dataDxfId="26"/>
    <tableColumn id="16" name="Average Geodesic Distance" dataDxfId="25"/>
    <tableColumn id="17" name="Graph Density"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91" dataDxfId="90">
  <autoFilter ref="A1:C22"/>
  <tableColumns count="3">
    <tableColumn id="1" name="Group" dataDxfId="46"/>
    <tableColumn id="2" name="Vertex" dataDxfId="45"/>
    <tableColumn id="3" name="Vertex ID" dataDxfId="44">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7"/>
    <tableColumn id="2" name="Value" dataDxfId="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89"/>
    <tableColumn id="2" name="Degree Frequency" dataDxfId="88">
      <calculatedColumnFormula>COUNTIF(Vertices[Degree], "&gt;= " &amp; D2) - COUNTIF(Vertices[Degree], "&gt;=" &amp; D3)</calculatedColumnFormula>
    </tableColumn>
    <tableColumn id="3" name="In-Degree Bin" dataDxfId="87"/>
    <tableColumn id="4" name="In-Degree Frequency" dataDxfId="86">
      <calculatedColumnFormula>COUNTIF(Vertices[In-Degree], "&gt;= " &amp; F2) - COUNTIF(Vertices[In-Degree], "&gt;=" &amp; F3)</calculatedColumnFormula>
    </tableColumn>
    <tableColumn id="5" name="Out-Degree Bin" dataDxfId="85"/>
    <tableColumn id="6" name="Out-Degree Frequency" dataDxfId="84">
      <calculatedColumnFormula>COUNTIF(Vertices[Out-Degree], "&gt;= " &amp; H2) - COUNTIF(Vertices[Out-Degree], "&gt;=" &amp; H3)</calculatedColumnFormula>
    </tableColumn>
    <tableColumn id="7" name="Betweenness Centrality Bin" dataDxfId="83"/>
    <tableColumn id="8" name="Betweenness Centrality Frequency" dataDxfId="82">
      <calculatedColumnFormula>COUNTIF(Vertices[Betweenness Centrality], "&gt;= " &amp; J2) - COUNTIF(Vertices[Betweenness Centrality], "&gt;=" &amp; J3)</calculatedColumnFormula>
    </tableColumn>
    <tableColumn id="9" name="Closeness Centrality Bin" dataDxfId="81"/>
    <tableColumn id="10" name="Closeness Centrality Frequency" dataDxfId="80">
      <calculatedColumnFormula>COUNTIF(Vertices[Closeness Centrality], "&gt;= " &amp; L2) - COUNTIF(Vertices[Closeness Centrality], "&gt;=" &amp; L3)</calculatedColumnFormula>
    </tableColumn>
    <tableColumn id="11" name="Eigenvector Centrality Bin" dataDxfId="79"/>
    <tableColumn id="12" name="Eigenvector Centrality Frequency" dataDxfId="78">
      <calculatedColumnFormula>COUNTIF(Vertices[Eigenvector Centrality], "&gt;= " &amp; N2) - COUNTIF(Vertices[Eigenvector Centrality], "&gt;=" &amp; N3)</calculatedColumnFormula>
    </tableColumn>
    <tableColumn id="18" name="PageRank Bin" dataDxfId="77"/>
    <tableColumn id="17" name="PageRank Frequency" dataDxfId="76">
      <calculatedColumnFormula>COUNTIF(Vertices[Eigenvector Centrality], "&gt;= " &amp; P2) - COUNTIF(Vertices[Eigenvector Centrality], "&gt;=" &amp; P3)</calculatedColumnFormula>
    </tableColumn>
    <tableColumn id="13" name="Clustering Coefficient Bin" dataDxfId="75"/>
    <tableColumn id="14" name="Clustering Coefficient Frequency" dataDxfId="74">
      <calculatedColumnFormula>COUNTIF(Vertices[Clustering Coefficient], "&gt;= " &amp; R2) - COUNTIF(Vertices[Clustering Coefficient], "&gt;=" &amp; R3)</calculatedColumnFormula>
    </tableColumn>
    <tableColumn id="15" name="Dynamic Filter Bin" dataDxfId="73"/>
    <tableColumn id="16" name="Dynamic Filter Frequency" dataDxfId="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dataDxfId="0"/>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7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3"/>
  <sheetViews>
    <sheetView workbookViewId="0" topLeftCell="A1">
      <pane xSplit="2" ySplit="2" topLeftCell="C3" activePane="bottomRight" state="frozen"/>
      <selection pane="topRight" activeCell="C1" sqref="C1"/>
      <selection pane="bottomLeft" activeCell="A3" sqref="A3"/>
      <selection pane="bottomRight" activeCell="A2" sqref="A2:T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3.00390625" style="0" bestFit="1" customWidth="1"/>
    <col min="17" max="17" width="13.57421875" style="0" bestFit="1" customWidth="1"/>
    <col min="18" max="18" width="13.28125" style="0" bestFit="1" customWidth="1"/>
    <col min="19" max="20" width="11.140625" style="0" bestFit="1" customWidth="1"/>
    <col min="21" max="21" width="14.421875" style="0" customWidth="1"/>
  </cols>
  <sheetData>
    <row r="1" spans="3:14" ht="15">
      <c r="C1" s="18" t="s">
        <v>39</v>
      </c>
      <c r="D1" s="19"/>
      <c r="E1" s="19"/>
      <c r="F1" s="19"/>
      <c r="G1" s="18"/>
      <c r="H1" s="16" t="s">
        <v>43</v>
      </c>
      <c r="I1" s="63"/>
      <c r="J1" s="63"/>
      <c r="K1" s="35" t="s">
        <v>42</v>
      </c>
      <c r="L1" s="20" t="s">
        <v>40</v>
      </c>
      <c r="M1" s="20"/>
      <c r="N1" s="17" t="s">
        <v>41</v>
      </c>
    </row>
    <row r="2" spans="1:2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297</v>
      </c>
      <c r="T2" s="13" t="s">
        <v>298</v>
      </c>
      <c r="U2" t="s">
        <v>316</v>
      </c>
    </row>
    <row r="3" spans="1:21" ht="15" customHeight="1">
      <c r="A3" s="80" t="s">
        <v>199</v>
      </c>
      <c r="B3" s="80" t="s">
        <v>219</v>
      </c>
      <c r="C3" s="51"/>
      <c r="D3" s="52"/>
      <c r="E3" s="64"/>
      <c r="F3" s="53"/>
      <c r="G3" s="51"/>
      <c r="H3" s="55"/>
      <c r="I3" s="54"/>
      <c r="J3" s="54"/>
      <c r="K3" s="36" t="s">
        <v>65</v>
      </c>
      <c r="L3" s="60">
        <v>3</v>
      </c>
      <c r="M3" s="60"/>
      <c r="N3" s="61"/>
      <c r="O3" s="81" t="s">
        <v>220</v>
      </c>
      <c r="P3" s="83">
        <v>42201.07188657407</v>
      </c>
      <c r="Q3" s="81">
        <v>21</v>
      </c>
      <c r="R3" s="81">
        <v>0</v>
      </c>
      <c r="S3" s="81" t="str">
        <f>REPLACE(INDEX(GroupVertices[Group],MATCH("~"&amp;Edges[[#This Row],[Vertex 1]],GroupVertices[Vertex],0)),1,1,"")</f>
        <v>1</v>
      </c>
      <c r="T3" s="81" t="str">
        <f>REPLACE(INDEX(GroupVertices[Group],MATCH("~"&amp;Edges[[#This Row],[Vertex 2]],GroupVertices[Vertex],0)),1,1,"")</f>
        <v>1</v>
      </c>
      <c r="U3">
        <v>1</v>
      </c>
    </row>
    <row r="4" spans="1:21" ht="15" customHeight="1">
      <c r="A4" s="80" t="s">
        <v>199</v>
      </c>
      <c r="B4" s="80" t="s">
        <v>202</v>
      </c>
      <c r="C4" s="51"/>
      <c r="D4" s="52"/>
      <c r="E4" s="64"/>
      <c r="F4" s="53"/>
      <c r="G4" s="51"/>
      <c r="H4" s="55"/>
      <c r="I4" s="54"/>
      <c r="J4" s="54"/>
      <c r="K4" s="36" t="s">
        <v>65</v>
      </c>
      <c r="L4" s="79">
        <v>4</v>
      </c>
      <c r="M4" s="79"/>
      <c r="N4" s="61"/>
      <c r="O4" s="82" t="s">
        <v>220</v>
      </c>
      <c r="P4" s="84">
        <v>42541.19594907408</v>
      </c>
      <c r="Q4" s="82">
        <v>31</v>
      </c>
      <c r="R4" s="82">
        <v>0</v>
      </c>
      <c r="S4" s="81" t="str">
        <f>REPLACE(INDEX(GroupVertices[Group],MATCH("~"&amp;Edges[[#This Row],[Vertex 1]],GroupVertices[Vertex],0)),1,1,"")</f>
        <v>1</v>
      </c>
      <c r="T4" s="81" t="str">
        <f>REPLACE(INDEX(GroupVertices[Group],MATCH("~"&amp;Edges[[#This Row],[Vertex 2]],GroupVertices[Vertex],0)),1,1,"")</f>
        <v>1</v>
      </c>
      <c r="U4">
        <v>1</v>
      </c>
    </row>
    <row r="5" spans="1:21" ht="15">
      <c r="A5" s="80" t="s">
        <v>199</v>
      </c>
      <c r="B5" s="80" t="s">
        <v>203</v>
      </c>
      <c r="C5" s="51"/>
      <c r="D5" s="52"/>
      <c r="E5" s="64"/>
      <c r="F5" s="53"/>
      <c r="G5" s="51"/>
      <c r="H5" s="55"/>
      <c r="I5" s="54"/>
      <c r="J5" s="54"/>
      <c r="K5" s="36" t="s">
        <v>65</v>
      </c>
      <c r="L5" s="79">
        <v>5</v>
      </c>
      <c r="M5" s="79"/>
      <c r="N5" s="61"/>
      <c r="O5" s="82" t="s">
        <v>220</v>
      </c>
      <c r="P5" s="84">
        <v>41578.884884259256</v>
      </c>
      <c r="Q5" s="82">
        <v>90</v>
      </c>
      <c r="R5" s="82">
        <v>0</v>
      </c>
      <c r="S5" s="81" t="str">
        <f>REPLACE(INDEX(GroupVertices[Group],MATCH("~"&amp;Edges[[#This Row],[Vertex 1]],GroupVertices[Vertex],0)),1,1,"")</f>
        <v>1</v>
      </c>
      <c r="T5" s="81" t="str">
        <f>REPLACE(INDEX(GroupVertices[Group],MATCH("~"&amp;Edges[[#This Row],[Vertex 2]],GroupVertices[Vertex],0)),1,1,"")</f>
        <v>1</v>
      </c>
      <c r="U5">
        <v>1</v>
      </c>
    </row>
    <row r="6" spans="1:21" ht="15">
      <c r="A6" s="80" t="s">
        <v>199</v>
      </c>
      <c r="B6" s="80" t="s">
        <v>204</v>
      </c>
      <c r="C6" s="51"/>
      <c r="D6" s="52"/>
      <c r="E6" s="64"/>
      <c r="F6" s="53"/>
      <c r="G6" s="51"/>
      <c r="H6" s="55"/>
      <c r="I6" s="54"/>
      <c r="J6" s="54"/>
      <c r="K6" s="36" t="s">
        <v>65</v>
      </c>
      <c r="L6" s="79">
        <v>6</v>
      </c>
      <c r="M6" s="79"/>
      <c r="N6" s="61"/>
      <c r="O6" s="82" t="s">
        <v>220</v>
      </c>
      <c r="P6" s="84">
        <v>43920.99796296296</v>
      </c>
      <c r="Q6" s="82">
        <v>1584</v>
      </c>
      <c r="R6" s="82">
        <v>0</v>
      </c>
      <c r="S6" s="81" t="str">
        <f>REPLACE(INDEX(GroupVertices[Group],MATCH("~"&amp;Edges[[#This Row],[Vertex 1]],GroupVertices[Vertex],0)),1,1,"")</f>
        <v>1</v>
      </c>
      <c r="T6" s="81" t="str">
        <f>REPLACE(INDEX(GroupVertices[Group],MATCH("~"&amp;Edges[[#This Row],[Vertex 2]],GroupVertices[Vertex],0)),1,1,"")</f>
        <v>1</v>
      </c>
      <c r="U6">
        <v>1</v>
      </c>
    </row>
    <row r="7" spans="1:21" ht="15">
      <c r="A7" s="80" t="s">
        <v>199</v>
      </c>
      <c r="B7" s="80" t="s">
        <v>205</v>
      </c>
      <c r="C7" s="51"/>
      <c r="D7" s="52"/>
      <c r="E7" s="64"/>
      <c r="F7" s="53"/>
      <c r="G7" s="51"/>
      <c r="H7" s="55"/>
      <c r="I7" s="54"/>
      <c r="J7" s="54"/>
      <c r="K7" s="36" t="s">
        <v>65</v>
      </c>
      <c r="L7" s="79">
        <v>7</v>
      </c>
      <c r="M7" s="79"/>
      <c r="N7" s="61"/>
      <c r="O7" s="82" t="s">
        <v>220</v>
      </c>
      <c r="P7" s="84">
        <v>44241.02685185185</v>
      </c>
      <c r="Q7" s="82">
        <v>421</v>
      </c>
      <c r="R7" s="82">
        <v>0</v>
      </c>
      <c r="S7" s="81" t="str">
        <f>REPLACE(INDEX(GroupVertices[Group],MATCH("~"&amp;Edges[[#This Row],[Vertex 1]],GroupVertices[Vertex],0)),1,1,"")</f>
        <v>1</v>
      </c>
      <c r="T7" s="81" t="str">
        <f>REPLACE(INDEX(GroupVertices[Group],MATCH("~"&amp;Edges[[#This Row],[Vertex 2]],GroupVertices[Vertex],0)),1,1,"")</f>
        <v>1</v>
      </c>
      <c r="U7">
        <v>1</v>
      </c>
    </row>
    <row r="8" spans="1:21" ht="15">
      <c r="A8" s="80" t="s">
        <v>199</v>
      </c>
      <c r="B8" s="80" t="s">
        <v>206</v>
      </c>
      <c r="C8" s="51"/>
      <c r="D8" s="52"/>
      <c r="E8" s="64"/>
      <c r="F8" s="53"/>
      <c r="G8" s="51"/>
      <c r="H8" s="55"/>
      <c r="I8" s="54"/>
      <c r="J8" s="54"/>
      <c r="K8" s="36" t="s">
        <v>65</v>
      </c>
      <c r="L8" s="79">
        <v>8</v>
      </c>
      <c r="M8" s="79"/>
      <c r="N8" s="61"/>
      <c r="O8" s="82" t="s">
        <v>220</v>
      </c>
      <c r="P8" s="84">
        <v>42506.841099537036</v>
      </c>
      <c r="Q8" s="82">
        <v>856</v>
      </c>
      <c r="R8" s="82">
        <v>0</v>
      </c>
      <c r="S8" s="81" t="str">
        <f>REPLACE(INDEX(GroupVertices[Group],MATCH("~"&amp;Edges[[#This Row],[Vertex 1]],GroupVertices[Vertex],0)),1,1,"")</f>
        <v>1</v>
      </c>
      <c r="T8" s="81" t="str">
        <f>REPLACE(INDEX(GroupVertices[Group],MATCH("~"&amp;Edges[[#This Row],[Vertex 2]],GroupVertices[Vertex],0)),1,1,"")</f>
        <v>1</v>
      </c>
      <c r="U8">
        <v>1</v>
      </c>
    </row>
    <row r="9" spans="1:21" ht="15">
      <c r="A9" s="80" t="s">
        <v>199</v>
      </c>
      <c r="B9" s="80" t="s">
        <v>207</v>
      </c>
      <c r="C9" s="51"/>
      <c r="D9" s="52"/>
      <c r="E9" s="64"/>
      <c r="F9" s="53"/>
      <c r="G9" s="51"/>
      <c r="H9" s="55"/>
      <c r="I9" s="54"/>
      <c r="J9" s="54"/>
      <c r="K9" s="36" t="s">
        <v>65</v>
      </c>
      <c r="L9" s="79">
        <v>9</v>
      </c>
      <c r="M9" s="79"/>
      <c r="N9" s="61"/>
      <c r="O9" s="82" t="s">
        <v>220</v>
      </c>
      <c r="P9" s="84">
        <v>42349.098587962966</v>
      </c>
      <c r="Q9" s="82">
        <v>162</v>
      </c>
      <c r="R9" s="82">
        <v>0</v>
      </c>
      <c r="S9" s="81" t="str">
        <f>REPLACE(INDEX(GroupVertices[Group],MATCH("~"&amp;Edges[[#This Row],[Vertex 1]],GroupVertices[Vertex],0)),1,1,"")</f>
        <v>1</v>
      </c>
      <c r="T9" s="81" t="str">
        <f>REPLACE(INDEX(GroupVertices[Group],MATCH("~"&amp;Edges[[#This Row],[Vertex 2]],GroupVertices[Vertex],0)),1,1,"")</f>
        <v>1</v>
      </c>
      <c r="U9">
        <v>1</v>
      </c>
    </row>
    <row r="10" spans="1:21" ht="15">
      <c r="A10" s="80" t="s">
        <v>199</v>
      </c>
      <c r="B10" s="80" t="s">
        <v>208</v>
      </c>
      <c r="C10" s="51"/>
      <c r="D10" s="52"/>
      <c r="E10" s="64"/>
      <c r="F10" s="53"/>
      <c r="G10" s="51"/>
      <c r="H10" s="55"/>
      <c r="I10" s="54"/>
      <c r="J10" s="54"/>
      <c r="K10" s="36" t="s">
        <v>65</v>
      </c>
      <c r="L10" s="79">
        <v>10</v>
      </c>
      <c r="M10" s="79"/>
      <c r="N10" s="61"/>
      <c r="O10" s="82" t="s">
        <v>220</v>
      </c>
      <c r="P10" s="84">
        <v>42395.1093287037</v>
      </c>
      <c r="Q10" s="82">
        <v>0</v>
      </c>
      <c r="R10" s="82">
        <v>0</v>
      </c>
      <c r="S10" s="81" t="str">
        <f>REPLACE(INDEX(GroupVertices[Group],MATCH("~"&amp;Edges[[#This Row],[Vertex 1]],GroupVertices[Vertex],0)),1,1,"")</f>
        <v>1</v>
      </c>
      <c r="T10" s="81" t="str">
        <f>REPLACE(INDEX(GroupVertices[Group],MATCH("~"&amp;Edges[[#This Row],[Vertex 2]],GroupVertices[Vertex],0)),1,1,"")</f>
        <v>1</v>
      </c>
      <c r="U10">
        <v>1</v>
      </c>
    </row>
    <row r="11" spans="1:21" ht="15">
      <c r="A11" s="80" t="s">
        <v>199</v>
      </c>
      <c r="B11" s="80" t="s">
        <v>209</v>
      </c>
      <c r="C11" s="51"/>
      <c r="D11" s="52"/>
      <c r="E11" s="64"/>
      <c r="F11" s="53"/>
      <c r="G11" s="51"/>
      <c r="H11" s="55"/>
      <c r="I11" s="54"/>
      <c r="J11" s="54"/>
      <c r="K11" s="36" t="s">
        <v>65</v>
      </c>
      <c r="L11" s="79">
        <v>11</v>
      </c>
      <c r="M11" s="79"/>
      <c r="N11" s="61"/>
      <c r="O11" s="82" t="s">
        <v>220</v>
      </c>
      <c r="P11" s="84">
        <v>44734.16505787037</v>
      </c>
      <c r="Q11" s="82">
        <v>134</v>
      </c>
      <c r="R11" s="82">
        <v>0</v>
      </c>
      <c r="S11" s="81" t="str">
        <f>REPLACE(INDEX(GroupVertices[Group],MATCH("~"&amp;Edges[[#This Row],[Vertex 1]],GroupVertices[Vertex],0)),1,1,"")</f>
        <v>1</v>
      </c>
      <c r="T11" s="81" t="str">
        <f>REPLACE(INDEX(GroupVertices[Group],MATCH("~"&amp;Edges[[#This Row],[Vertex 2]],GroupVertices[Vertex],0)),1,1,"")</f>
        <v>1</v>
      </c>
      <c r="U11">
        <v>1</v>
      </c>
    </row>
    <row r="12" spans="1:21" ht="15">
      <c r="A12" s="80" t="s">
        <v>199</v>
      </c>
      <c r="B12" s="80" t="s">
        <v>210</v>
      </c>
      <c r="C12" s="51"/>
      <c r="D12" s="52"/>
      <c r="E12" s="64"/>
      <c r="F12" s="53"/>
      <c r="G12" s="51"/>
      <c r="H12" s="55"/>
      <c r="I12" s="54"/>
      <c r="J12" s="54"/>
      <c r="K12" s="36" t="s">
        <v>65</v>
      </c>
      <c r="L12" s="79">
        <v>12</v>
      </c>
      <c r="M12" s="79"/>
      <c r="N12" s="61"/>
      <c r="O12" s="82" t="s">
        <v>220</v>
      </c>
      <c r="P12" s="84">
        <v>42395.10952546296</v>
      </c>
      <c r="Q12" s="82">
        <v>9</v>
      </c>
      <c r="R12" s="82">
        <v>0</v>
      </c>
      <c r="S12" s="81" t="str">
        <f>REPLACE(INDEX(GroupVertices[Group],MATCH("~"&amp;Edges[[#This Row],[Vertex 1]],GroupVertices[Vertex],0)),1,1,"")</f>
        <v>1</v>
      </c>
      <c r="T12" s="81" t="str">
        <f>REPLACE(INDEX(GroupVertices[Group],MATCH("~"&amp;Edges[[#This Row],[Vertex 2]],GroupVertices[Vertex],0)),1,1,"")</f>
        <v>1</v>
      </c>
      <c r="U12">
        <v>1</v>
      </c>
    </row>
    <row r="13" spans="1:21" ht="15">
      <c r="A13" s="80" t="s">
        <v>199</v>
      </c>
      <c r="B13" s="80" t="s">
        <v>211</v>
      </c>
      <c r="C13" s="51"/>
      <c r="D13" s="52"/>
      <c r="E13" s="64"/>
      <c r="F13" s="53"/>
      <c r="G13" s="51"/>
      <c r="H13" s="55"/>
      <c r="I13" s="54"/>
      <c r="J13" s="54"/>
      <c r="K13" s="36" t="s">
        <v>65</v>
      </c>
      <c r="L13" s="79">
        <v>13</v>
      </c>
      <c r="M13" s="79"/>
      <c r="N13" s="61"/>
      <c r="O13" s="82" t="s">
        <v>220</v>
      </c>
      <c r="P13" s="84">
        <v>42327.30056712963</v>
      </c>
      <c r="Q13" s="82">
        <v>137</v>
      </c>
      <c r="R13" s="82">
        <v>0</v>
      </c>
      <c r="S13" s="81" t="str">
        <f>REPLACE(INDEX(GroupVertices[Group],MATCH("~"&amp;Edges[[#This Row],[Vertex 1]],GroupVertices[Vertex],0)),1,1,"")</f>
        <v>1</v>
      </c>
      <c r="T13" s="81" t="str">
        <f>REPLACE(INDEX(GroupVertices[Group],MATCH("~"&amp;Edges[[#This Row],[Vertex 2]],GroupVertices[Vertex],0)),1,1,"")</f>
        <v>1</v>
      </c>
      <c r="U13">
        <v>1</v>
      </c>
    </row>
    <row r="14" spans="1:21" ht="15">
      <c r="A14" s="80" t="s">
        <v>199</v>
      </c>
      <c r="B14" s="80" t="s">
        <v>212</v>
      </c>
      <c r="C14" s="51"/>
      <c r="D14" s="52"/>
      <c r="E14" s="64"/>
      <c r="F14" s="53"/>
      <c r="G14" s="51"/>
      <c r="H14" s="55"/>
      <c r="I14" s="54"/>
      <c r="J14" s="54"/>
      <c r="K14" s="36" t="s">
        <v>65</v>
      </c>
      <c r="L14" s="79">
        <v>14</v>
      </c>
      <c r="M14" s="79"/>
      <c r="N14" s="61"/>
      <c r="O14" s="82" t="s">
        <v>220</v>
      </c>
      <c r="P14" s="84">
        <v>42486.90619212963</v>
      </c>
      <c r="Q14" s="82">
        <v>1122</v>
      </c>
      <c r="R14" s="82">
        <v>0</v>
      </c>
      <c r="S14" s="81" t="str">
        <f>REPLACE(INDEX(GroupVertices[Group],MATCH("~"&amp;Edges[[#This Row],[Vertex 1]],GroupVertices[Vertex],0)),1,1,"")</f>
        <v>1</v>
      </c>
      <c r="T14" s="81" t="str">
        <f>REPLACE(INDEX(GroupVertices[Group],MATCH("~"&amp;Edges[[#This Row],[Vertex 2]],GroupVertices[Vertex],0)),1,1,"")</f>
        <v>1</v>
      </c>
      <c r="U14">
        <v>1</v>
      </c>
    </row>
    <row r="15" spans="1:21" ht="15">
      <c r="A15" s="80" t="s">
        <v>199</v>
      </c>
      <c r="B15" s="80" t="s">
        <v>213</v>
      </c>
      <c r="C15" s="51"/>
      <c r="D15" s="52"/>
      <c r="E15" s="64"/>
      <c r="F15" s="53"/>
      <c r="G15" s="51"/>
      <c r="H15" s="55"/>
      <c r="I15" s="54"/>
      <c r="J15" s="54"/>
      <c r="K15" s="36" t="s">
        <v>65</v>
      </c>
      <c r="L15" s="79">
        <v>15</v>
      </c>
      <c r="M15" s="79"/>
      <c r="N15" s="61"/>
      <c r="O15" s="82" t="s">
        <v>220</v>
      </c>
      <c r="P15" s="84">
        <v>44287.92005787037</v>
      </c>
      <c r="Q15" s="82">
        <v>349</v>
      </c>
      <c r="R15" s="82">
        <v>0</v>
      </c>
      <c r="S15" s="81" t="str">
        <f>REPLACE(INDEX(GroupVertices[Group],MATCH("~"&amp;Edges[[#This Row],[Vertex 1]],GroupVertices[Vertex],0)),1,1,"")</f>
        <v>1</v>
      </c>
      <c r="T15" s="81" t="str">
        <f>REPLACE(INDEX(GroupVertices[Group],MATCH("~"&amp;Edges[[#This Row],[Vertex 2]],GroupVertices[Vertex],0)),1,1,"")</f>
        <v>1</v>
      </c>
      <c r="U15">
        <v>1</v>
      </c>
    </row>
    <row r="16" spans="1:21" ht="15">
      <c r="A16" s="80" t="s">
        <v>200</v>
      </c>
      <c r="B16" s="80" t="s">
        <v>214</v>
      </c>
      <c r="C16" s="51"/>
      <c r="D16" s="52"/>
      <c r="E16" s="64"/>
      <c r="F16" s="53"/>
      <c r="G16" s="51"/>
      <c r="H16" s="55"/>
      <c r="I16" s="54"/>
      <c r="J16" s="54"/>
      <c r="K16" s="36" t="s">
        <v>65</v>
      </c>
      <c r="L16" s="79">
        <v>16</v>
      </c>
      <c r="M16" s="79"/>
      <c r="N16" s="61"/>
      <c r="O16" s="82" t="s">
        <v>220</v>
      </c>
      <c r="P16" s="84">
        <v>43011.62810185185</v>
      </c>
      <c r="Q16" s="82">
        <v>7</v>
      </c>
      <c r="R16" s="82">
        <v>0</v>
      </c>
      <c r="S16" s="81" t="str">
        <f>REPLACE(INDEX(GroupVertices[Group],MATCH("~"&amp;Edges[[#This Row],[Vertex 1]],GroupVertices[Vertex],0)),1,1,"")</f>
        <v>2</v>
      </c>
      <c r="T16" s="81" t="str">
        <f>REPLACE(INDEX(GroupVertices[Group],MATCH("~"&amp;Edges[[#This Row],[Vertex 2]],GroupVertices[Vertex],0)),1,1,"")</f>
        <v>2</v>
      </c>
      <c r="U16">
        <v>1</v>
      </c>
    </row>
    <row r="17" spans="1:21" ht="15">
      <c r="A17" s="80" t="s">
        <v>201</v>
      </c>
      <c r="B17" s="80" t="s">
        <v>215</v>
      </c>
      <c r="C17" s="51"/>
      <c r="D17" s="52"/>
      <c r="E17" s="64"/>
      <c r="F17" s="53"/>
      <c r="G17" s="51"/>
      <c r="H17" s="55"/>
      <c r="I17" s="54"/>
      <c r="J17" s="54"/>
      <c r="K17" s="36" t="s">
        <v>65</v>
      </c>
      <c r="L17" s="79">
        <v>17</v>
      </c>
      <c r="M17" s="79"/>
      <c r="N17" s="61"/>
      <c r="O17" s="82" t="s">
        <v>220</v>
      </c>
      <c r="P17" s="84">
        <v>44273.418275462966</v>
      </c>
      <c r="Q17" s="82">
        <v>121</v>
      </c>
      <c r="R17" s="82">
        <v>0</v>
      </c>
      <c r="S17" s="81" t="str">
        <f>REPLACE(INDEX(GroupVertices[Group],MATCH("~"&amp;Edges[[#This Row],[Vertex 1]],GroupVertices[Vertex],0)),1,1,"")</f>
        <v>2</v>
      </c>
      <c r="T17" s="81" t="str">
        <f>REPLACE(INDEX(GroupVertices[Group],MATCH("~"&amp;Edges[[#This Row],[Vertex 2]],GroupVertices[Vertex],0)),1,1,"")</f>
        <v>2</v>
      </c>
      <c r="U17">
        <v>1</v>
      </c>
    </row>
    <row r="18" spans="1:21" ht="15">
      <c r="A18" s="80" t="s">
        <v>201</v>
      </c>
      <c r="B18" s="80" t="s">
        <v>216</v>
      </c>
      <c r="C18" s="51"/>
      <c r="D18" s="52"/>
      <c r="E18" s="64"/>
      <c r="F18" s="53"/>
      <c r="G18" s="51"/>
      <c r="H18" s="55"/>
      <c r="I18" s="54"/>
      <c r="J18" s="54"/>
      <c r="K18" s="36" t="s">
        <v>65</v>
      </c>
      <c r="L18" s="79">
        <v>18</v>
      </c>
      <c r="M18" s="79"/>
      <c r="N18" s="61"/>
      <c r="O18" s="82" t="s">
        <v>220</v>
      </c>
      <c r="P18" s="84">
        <v>44799.47046296296</v>
      </c>
      <c r="Q18" s="82">
        <v>15</v>
      </c>
      <c r="R18" s="82">
        <v>0</v>
      </c>
      <c r="S18" s="81" t="str">
        <f>REPLACE(INDEX(GroupVertices[Group],MATCH("~"&amp;Edges[[#This Row],[Vertex 1]],GroupVertices[Vertex],0)),1,1,"")</f>
        <v>2</v>
      </c>
      <c r="T18" s="81" t="str">
        <f>REPLACE(INDEX(GroupVertices[Group],MATCH("~"&amp;Edges[[#This Row],[Vertex 2]],GroupVertices[Vertex],0)),1,1,"")</f>
        <v>2</v>
      </c>
      <c r="U18">
        <v>1</v>
      </c>
    </row>
    <row r="19" spans="1:21" ht="15">
      <c r="A19" s="80" t="s">
        <v>201</v>
      </c>
      <c r="B19" s="80" t="s">
        <v>199</v>
      </c>
      <c r="C19" s="51"/>
      <c r="D19" s="52"/>
      <c r="E19" s="64"/>
      <c r="F19" s="53"/>
      <c r="G19" s="51"/>
      <c r="H19" s="55"/>
      <c r="I19" s="54"/>
      <c r="J19" s="54"/>
      <c r="K19" s="36" t="s">
        <v>65</v>
      </c>
      <c r="L19" s="79">
        <v>19</v>
      </c>
      <c r="M19" s="79"/>
      <c r="N19" s="61"/>
      <c r="O19" s="82" t="s">
        <v>220</v>
      </c>
      <c r="P19" s="84">
        <v>44762.794907407406</v>
      </c>
      <c r="Q19" s="82">
        <v>306</v>
      </c>
      <c r="R19" s="82">
        <v>0</v>
      </c>
      <c r="S19" s="81" t="str">
        <f>REPLACE(INDEX(GroupVertices[Group],MATCH("~"&amp;Edges[[#This Row],[Vertex 1]],GroupVertices[Vertex],0)),1,1,"")</f>
        <v>2</v>
      </c>
      <c r="T19" s="81" t="str">
        <f>REPLACE(INDEX(GroupVertices[Group],MATCH("~"&amp;Edges[[#This Row],[Vertex 2]],GroupVertices[Vertex],0)),1,1,"")</f>
        <v>1</v>
      </c>
      <c r="U19">
        <v>1</v>
      </c>
    </row>
    <row r="20" spans="1:21" ht="15">
      <c r="A20" s="80" t="s">
        <v>201</v>
      </c>
      <c r="B20" s="80" t="s">
        <v>200</v>
      </c>
      <c r="C20" s="51"/>
      <c r="D20" s="52"/>
      <c r="E20" s="64"/>
      <c r="F20" s="53"/>
      <c r="G20" s="51"/>
      <c r="H20" s="55"/>
      <c r="I20" s="54"/>
      <c r="J20" s="54"/>
      <c r="K20" s="36" t="s">
        <v>65</v>
      </c>
      <c r="L20" s="79">
        <v>20</v>
      </c>
      <c r="M20" s="79"/>
      <c r="N20" s="61"/>
      <c r="O20" s="82" t="s">
        <v>220</v>
      </c>
      <c r="P20" s="84">
        <v>45132.78726851852</v>
      </c>
      <c r="Q20" s="82">
        <v>150</v>
      </c>
      <c r="R20" s="82">
        <v>0</v>
      </c>
      <c r="S20" s="81" t="str">
        <f>REPLACE(INDEX(GroupVertices[Group],MATCH("~"&amp;Edges[[#This Row],[Vertex 1]],GroupVertices[Vertex],0)),1,1,"")</f>
        <v>2</v>
      </c>
      <c r="T20" s="81" t="str">
        <f>REPLACE(INDEX(GroupVertices[Group],MATCH("~"&amp;Edges[[#This Row],[Vertex 2]],GroupVertices[Vertex],0)),1,1,"")</f>
        <v>2</v>
      </c>
      <c r="U20">
        <v>1</v>
      </c>
    </row>
    <row r="21" spans="1:21" ht="15">
      <c r="A21" s="80" t="s">
        <v>201</v>
      </c>
      <c r="B21" s="80" t="s">
        <v>217</v>
      </c>
      <c r="C21" s="51"/>
      <c r="D21" s="52"/>
      <c r="E21" s="64"/>
      <c r="F21" s="53"/>
      <c r="G21" s="51"/>
      <c r="H21" s="55"/>
      <c r="I21" s="54"/>
      <c r="J21" s="54"/>
      <c r="K21" s="36" t="s">
        <v>65</v>
      </c>
      <c r="L21" s="79">
        <v>21</v>
      </c>
      <c r="M21" s="79"/>
      <c r="N21" s="61"/>
      <c r="O21" s="82" t="s">
        <v>220</v>
      </c>
      <c r="P21" s="84">
        <v>44244.46135416667</v>
      </c>
      <c r="Q21" s="82">
        <v>0</v>
      </c>
      <c r="R21" s="82">
        <v>0</v>
      </c>
      <c r="S21" s="81" t="str">
        <f>REPLACE(INDEX(GroupVertices[Group],MATCH("~"&amp;Edges[[#This Row],[Vertex 1]],GroupVertices[Vertex],0)),1,1,"")</f>
        <v>2</v>
      </c>
      <c r="T21" s="81" t="str">
        <f>REPLACE(INDEX(GroupVertices[Group],MATCH("~"&amp;Edges[[#This Row],[Vertex 2]],GroupVertices[Vertex],0)),1,1,"")</f>
        <v>2</v>
      </c>
      <c r="U21">
        <v>1</v>
      </c>
    </row>
    <row r="22" spans="1:21" ht="15">
      <c r="A22" s="80" t="s">
        <v>201</v>
      </c>
      <c r="B22" s="80" t="s">
        <v>218</v>
      </c>
      <c r="C22" s="51"/>
      <c r="D22" s="52"/>
      <c r="E22" s="64"/>
      <c r="F22" s="53"/>
      <c r="G22" s="51"/>
      <c r="H22" s="55"/>
      <c r="I22" s="54"/>
      <c r="J22" s="54"/>
      <c r="K22" s="36" t="s">
        <v>65</v>
      </c>
      <c r="L22" s="79">
        <v>22</v>
      </c>
      <c r="M22" s="79"/>
      <c r="N22" s="61"/>
      <c r="O22" s="82" t="s">
        <v>220</v>
      </c>
      <c r="P22" s="84">
        <v>44244.45857638889</v>
      </c>
      <c r="Q22" s="82">
        <v>115</v>
      </c>
      <c r="R22" s="82">
        <v>0</v>
      </c>
      <c r="S22" s="81" t="str">
        <f>REPLACE(INDEX(GroupVertices[Group],MATCH("~"&amp;Edges[[#This Row],[Vertex 1]],GroupVertices[Vertex],0)),1,1,"")</f>
        <v>2</v>
      </c>
      <c r="T22" s="81" t="str">
        <f>REPLACE(INDEX(GroupVertices[Group],MATCH("~"&amp;Edges[[#This Row],[Vertex 2]],GroupVertices[Vertex],0)),1,1,"")</f>
        <v>2</v>
      </c>
      <c r="U22">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F31FF-4706-43FF-934C-771CCD2EBEEB}">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318</v>
      </c>
      <c r="B2" s="120" t="s">
        <v>319</v>
      </c>
      <c r="C2" s="66" t="s">
        <v>320</v>
      </c>
    </row>
    <row r="3" spans="1:3" ht="15">
      <c r="A3" s="119" t="s">
        <v>292</v>
      </c>
      <c r="B3" s="119" t="s">
        <v>292</v>
      </c>
      <c r="C3" s="36">
        <v>13</v>
      </c>
    </row>
    <row r="4" spans="1:3" ht="15">
      <c r="A4" s="119" t="s">
        <v>293</v>
      </c>
      <c r="B4" s="119" t="s">
        <v>292</v>
      </c>
      <c r="C4" s="36">
        <v>1</v>
      </c>
    </row>
    <row r="5" spans="1:3" ht="15">
      <c r="A5" s="119" t="s">
        <v>293</v>
      </c>
      <c r="B5" s="119" t="s">
        <v>293</v>
      </c>
      <c r="C5" s="36">
        <v>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3"/>
  <sheetViews>
    <sheetView workbookViewId="0" topLeftCell="A1">
      <pane xSplit="1" ySplit="2" topLeftCell="B3" activePane="bottomRight" state="frozen"/>
      <selection pane="topRight" activeCell="B1" sqref="B1"/>
      <selection pane="bottomLeft" activeCell="A3" sqref="A3"/>
      <selection pane="bottomRight" activeCell="AF29" sqref="AF29"/>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140625" style="2" bestFit="1" customWidth="1"/>
    <col min="31" max="31" width="16.140625" style="3" bestFit="1" customWidth="1"/>
    <col min="32" max="32" width="7.28125" style="3" bestFit="1" customWidth="1"/>
    <col min="33" max="33" width="13.421875" style="3" bestFit="1" customWidth="1"/>
    <col min="34" max="34" width="15.140625" style="3" bestFit="1" customWidth="1"/>
    <col min="35" max="35" width="5.00390625" style="0" customWidth="1"/>
    <col min="36" max="36" width="16.00390625" style="0" customWidth="1"/>
    <col min="37" max="37" width="16.00390625" style="0" bestFit="1" customWidth="1"/>
    <col min="38" max="39" width="9.140625" style="0"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3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221</v>
      </c>
      <c r="AE2" s="13" t="s">
        <v>222</v>
      </c>
      <c r="AF2" s="13" t="s">
        <v>223</v>
      </c>
      <c r="AG2" s="13" t="s">
        <v>224</v>
      </c>
      <c r="AH2" s="13" t="s">
        <v>296</v>
      </c>
      <c r="AI2" s="3"/>
      <c r="AJ2" s="3"/>
    </row>
    <row r="3" spans="1:36" ht="15" customHeight="1">
      <c r="A3" s="48" t="s">
        <v>199</v>
      </c>
      <c r="B3" s="51"/>
      <c r="C3" s="51"/>
      <c r="D3" s="52">
        <v>1000</v>
      </c>
      <c r="E3" s="53"/>
      <c r="F3" s="105" t="str">
        <f>HYPERLINK("https://yt3.ggpht.com/ytc/AIf8zZTWFahY0cUFZHwhHbPhLLtZgdjjLAogzLfidWQ51g=s88-c-k-c0x00ffffff-no-rj")</f>
        <v>https://yt3.ggpht.com/ytc/AIf8zZTWFahY0cUFZHwhHbPhLLtZgdjjLAogzLfidWQ51g=s88-c-k-c0x00ffffff-no-rj</v>
      </c>
      <c r="G3" s="51"/>
      <c r="H3" s="55" t="s">
        <v>246</v>
      </c>
      <c r="I3" s="54"/>
      <c r="J3" s="54" t="s">
        <v>75</v>
      </c>
      <c r="K3" s="107" t="s">
        <v>246</v>
      </c>
      <c r="L3" s="57">
        <v>9999</v>
      </c>
      <c r="M3" s="58">
        <v>5080.17578125</v>
      </c>
      <c r="N3" s="58">
        <v>8626.16015625</v>
      </c>
      <c r="O3" s="56"/>
      <c r="P3" s="59"/>
      <c r="Q3" s="59"/>
      <c r="R3" s="49"/>
      <c r="S3" s="49">
        <v>1</v>
      </c>
      <c r="T3" s="49">
        <v>13</v>
      </c>
      <c r="U3" s="50">
        <v>338</v>
      </c>
      <c r="V3" s="50">
        <v>0.740741</v>
      </c>
      <c r="W3" s="50">
        <v>0.360992</v>
      </c>
      <c r="X3" s="50">
        <v>0.123765</v>
      </c>
      <c r="Y3" s="50">
        <v>0</v>
      </c>
      <c r="Z3" s="50">
        <v>0</v>
      </c>
      <c r="AA3" s="60">
        <v>3</v>
      </c>
      <c r="AB3" s="60"/>
      <c r="AC3" s="61"/>
      <c r="AD3" s="81" t="s">
        <v>225</v>
      </c>
      <c r="AE3" s="104" t="str">
        <f>HYPERLINK("http://www.youtube.com/channel/UCcii8ZN-2lH9Dy2yL9Q3E7A")</f>
        <v>http://www.youtube.com/channel/UCcii8ZN-2lH9Dy2yL9Q3E7A</v>
      </c>
      <c r="AF3" s="81" t="s">
        <v>246</v>
      </c>
      <c r="AG3" s="81" t="s">
        <v>263</v>
      </c>
      <c r="AH3" s="81" t="str">
        <f>REPLACE(INDEX(GroupVertices[Group],MATCH("~"&amp;Vertices[[#This Row],[Vertex]],GroupVertices[Vertex],0)),1,1,"")</f>
        <v>1</v>
      </c>
      <c r="AI3" s="3"/>
      <c r="AJ3" s="3"/>
    </row>
    <row r="4" spans="1:39" ht="15">
      <c r="A4" s="14" t="s">
        <v>201</v>
      </c>
      <c r="B4" s="15"/>
      <c r="C4" s="15"/>
      <c r="D4" s="85">
        <v>1000</v>
      </c>
      <c r="E4" s="77"/>
      <c r="F4" s="105" t="str">
        <f>HYPERLINK("https://yt3.ggpht.com/ytc/AIf8zZTpuq18RBToaraPfcjcaPt9rvlziJD2Y97JJRcq6A=s88-c-k-c0x00ffffff-no-rj")</f>
        <v>https://yt3.ggpht.com/ytc/AIf8zZTpuq18RBToaraPfcjcaPt9rvlziJD2Y97JJRcq6A=s88-c-k-c0x00ffffff-no-rj</v>
      </c>
      <c r="G4" s="15"/>
      <c r="H4" s="16" t="s">
        <v>241</v>
      </c>
      <c r="I4" s="65"/>
      <c r="J4" s="65" t="s">
        <v>75</v>
      </c>
      <c r="K4" s="107" t="s">
        <v>241</v>
      </c>
      <c r="L4" s="86">
        <v>5798.656804733728</v>
      </c>
      <c r="M4" s="87">
        <v>3133.489501953125</v>
      </c>
      <c r="N4" s="87">
        <v>1197.755615234375</v>
      </c>
      <c r="O4" s="76"/>
      <c r="P4" s="88"/>
      <c r="Q4" s="88"/>
      <c r="R4" s="89"/>
      <c r="S4" s="49">
        <v>0</v>
      </c>
      <c r="T4" s="49">
        <v>6</v>
      </c>
      <c r="U4" s="50">
        <v>196</v>
      </c>
      <c r="V4" s="50">
        <v>0.588235</v>
      </c>
      <c r="W4" s="50">
        <v>0.363811</v>
      </c>
      <c r="X4" s="50">
        <v>0.070815</v>
      </c>
      <c r="Y4" s="50">
        <v>0</v>
      </c>
      <c r="Z4" s="50">
        <v>0</v>
      </c>
      <c r="AA4" s="78">
        <v>4</v>
      </c>
      <c r="AB4" s="78"/>
      <c r="AC4" s="90"/>
      <c r="AD4" s="81" t="s">
        <v>225</v>
      </c>
      <c r="AE4" s="104" t="str">
        <f>HYPERLINK("http://www.youtube.com/channel/UCbIz_66E4bWyNU_gnVI73bQ")</f>
        <v>http://www.youtube.com/channel/UCbIz_66E4bWyNU_gnVI73bQ</v>
      </c>
      <c r="AF4" s="81" t="s">
        <v>241</v>
      </c>
      <c r="AG4" s="81" t="s">
        <v>258</v>
      </c>
      <c r="AH4" s="81" t="str">
        <f>REPLACE(INDEX(GroupVertices[Group],MATCH("~"&amp;Vertices[[#This Row],[Vertex]],GroupVertices[Vertex],0)),1,1,"")</f>
        <v>2</v>
      </c>
      <c r="AI4" s="2"/>
      <c r="AJ4" s="3"/>
      <c r="AK4" s="3"/>
      <c r="AL4" s="3"/>
      <c r="AM4" s="3"/>
    </row>
    <row r="5" spans="1:39" ht="15">
      <c r="A5" s="14" t="s">
        <v>200</v>
      </c>
      <c r="B5" s="15"/>
      <c r="C5" s="15"/>
      <c r="D5" s="85">
        <v>1000</v>
      </c>
      <c r="E5" s="77"/>
      <c r="F5" s="105" t="str">
        <f>HYPERLINK("https://yt3.ggpht.com/ytc/AIf8zZS_jxa7IBPL_1VxYJI1dwbYQ547x3cc7FToRsPvOw=s88-c-k-c0x00ffffff-no-rj")</f>
        <v>https://yt3.ggpht.com/ytc/AIf8zZS_jxa7IBPL_1VxYJI1dwbYQ547x3cc7FToRsPvOw=s88-c-k-c0x00ffffff-no-rj</v>
      </c>
      <c r="G5" s="15"/>
      <c r="H5" s="16" t="s">
        <v>239</v>
      </c>
      <c r="I5" s="65"/>
      <c r="J5" s="65" t="s">
        <v>75</v>
      </c>
      <c r="K5" s="107" t="s">
        <v>239</v>
      </c>
      <c r="L5" s="86">
        <v>1125.0355029585799</v>
      </c>
      <c r="M5" s="87">
        <v>5245.51025390625</v>
      </c>
      <c r="N5" s="87">
        <v>1239.94287109375</v>
      </c>
      <c r="O5" s="76"/>
      <c r="P5" s="88"/>
      <c r="Q5" s="88"/>
      <c r="R5" s="89"/>
      <c r="S5" s="49">
        <v>1</v>
      </c>
      <c r="T5" s="49">
        <v>1</v>
      </c>
      <c r="U5" s="50">
        <v>38</v>
      </c>
      <c r="V5" s="50">
        <v>0.392157</v>
      </c>
      <c r="W5" s="50">
        <v>0.040969</v>
      </c>
      <c r="X5" s="50">
        <v>0.048868</v>
      </c>
      <c r="Y5" s="50">
        <v>0</v>
      </c>
      <c r="Z5" s="50">
        <v>0</v>
      </c>
      <c r="AA5" s="78">
        <v>5</v>
      </c>
      <c r="AB5" s="78"/>
      <c r="AC5" s="90"/>
      <c r="AD5" s="81" t="s">
        <v>225</v>
      </c>
      <c r="AE5" s="104" t="str">
        <f>HYPERLINK("http://www.youtube.com/channel/UCaFzKCEMfNME-a8l6V43ZAw")</f>
        <v>http://www.youtube.com/channel/UCaFzKCEMfNME-a8l6V43ZAw</v>
      </c>
      <c r="AF5" s="81" t="s">
        <v>239</v>
      </c>
      <c r="AG5" s="81"/>
      <c r="AH5" s="81" t="str">
        <f>REPLACE(INDEX(GroupVertices[Group],MATCH("~"&amp;Vertices[[#This Row],[Vertex]],GroupVertices[Vertex],0)),1,1,"")</f>
        <v>2</v>
      </c>
      <c r="AI5" s="2"/>
      <c r="AJ5" s="3"/>
      <c r="AK5" s="3"/>
      <c r="AL5" s="3"/>
      <c r="AM5" s="3"/>
    </row>
    <row r="6" spans="1:39" ht="15">
      <c r="A6" s="14" t="s">
        <v>219</v>
      </c>
      <c r="B6" s="15"/>
      <c r="C6" s="15"/>
      <c r="D6" s="85">
        <v>20</v>
      </c>
      <c r="E6" s="77"/>
      <c r="F6" s="105" t="str">
        <f>HYPERLINK("https://yt3.ggpht.com/ytc/AIf8zZSFiPeSOVTTdOVJ11xEgOOdMB-KstDW5Cwsw-gvMg=s88-c-k-c0x00ffffff-no-rj")</f>
        <v>https://yt3.ggpht.com/ytc/AIf8zZSFiPeSOVTTdOVJ11xEgOOdMB-KstDW5Cwsw-gvMg=s88-c-k-c0x00ffffff-no-rj</v>
      </c>
      <c r="G6" s="15"/>
      <c r="H6" s="16" t="s">
        <v>226</v>
      </c>
      <c r="I6" s="65"/>
      <c r="J6" s="65" t="s">
        <v>159</v>
      </c>
      <c r="K6" s="107" t="s">
        <v>226</v>
      </c>
      <c r="L6" s="86">
        <v>1</v>
      </c>
      <c r="M6" s="87">
        <v>1023.1475219726562</v>
      </c>
      <c r="N6" s="87">
        <v>9001.0205078125</v>
      </c>
      <c r="O6" s="76"/>
      <c r="P6" s="88"/>
      <c r="Q6" s="88"/>
      <c r="R6" s="89"/>
      <c r="S6" s="49">
        <v>1</v>
      </c>
      <c r="T6" s="49">
        <v>0</v>
      </c>
      <c r="U6" s="50">
        <v>0</v>
      </c>
      <c r="V6" s="50">
        <v>0.434783</v>
      </c>
      <c r="W6" s="50">
        <v>0.236822</v>
      </c>
      <c r="X6" s="50">
        <v>0.041802</v>
      </c>
      <c r="Y6" s="50">
        <v>0</v>
      </c>
      <c r="Z6" s="50">
        <v>0</v>
      </c>
      <c r="AA6" s="78">
        <v>6</v>
      </c>
      <c r="AB6" s="78"/>
      <c r="AC6" s="90"/>
      <c r="AD6" s="81" t="s">
        <v>225</v>
      </c>
      <c r="AE6" s="104" t="str">
        <f>HYPERLINK("http://www.youtube.com/channel/UCxM4D7WRi5RDr9d0RB-EVkQ")</f>
        <v>http://www.youtube.com/channel/UCxM4D7WRi5RDr9d0RB-EVkQ</v>
      </c>
      <c r="AF6" s="81" t="s">
        <v>226</v>
      </c>
      <c r="AG6" s="81" t="s">
        <v>247</v>
      </c>
      <c r="AH6" s="81" t="str">
        <f>REPLACE(INDEX(GroupVertices[Group],MATCH("~"&amp;Vertices[[#This Row],[Vertex]],GroupVertices[Vertex],0)),1,1,"")</f>
        <v>1</v>
      </c>
      <c r="AI6" s="2"/>
      <c r="AJ6" s="3"/>
      <c r="AK6" s="3"/>
      <c r="AL6" s="3"/>
      <c r="AM6" s="3"/>
    </row>
    <row r="7" spans="1:39" ht="15">
      <c r="A7" s="14" t="s">
        <v>202</v>
      </c>
      <c r="B7" s="15"/>
      <c r="C7" s="15"/>
      <c r="D7" s="85">
        <v>20</v>
      </c>
      <c r="E7" s="77"/>
      <c r="F7" s="105" t="str">
        <f>HYPERLINK("https://yt3.ggpht.com/ytc/AIf8zZTsmsyF6K7PyKj2tvgEwHF8quJaW40F66H4RVBZ8w=s88-c-k-c0x00ffffff-no-rj")</f>
        <v>https://yt3.ggpht.com/ytc/AIf8zZTsmsyF6K7PyKj2tvgEwHF8quJaW40F66H4RVBZ8w=s88-c-k-c0x00ffffff-no-rj</v>
      </c>
      <c r="G7" s="15"/>
      <c r="H7" s="16" t="s">
        <v>227</v>
      </c>
      <c r="I7" s="65"/>
      <c r="J7" s="65" t="s">
        <v>159</v>
      </c>
      <c r="K7" s="107" t="s">
        <v>227</v>
      </c>
      <c r="L7" s="86">
        <v>1</v>
      </c>
      <c r="M7" s="87">
        <v>8574.4677734375</v>
      </c>
      <c r="N7" s="87">
        <v>7983.921875</v>
      </c>
      <c r="O7" s="76"/>
      <c r="P7" s="88"/>
      <c r="Q7" s="88"/>
      <c r="R7" s="89"/>
      <c r="S7" s="49">
        <v>1</v>
      </c>
      <c r="T7" s="49">
        <v>0</v>
      </c>
      <c r="U7" s="50">
        <v>0</v>
      </c>
      <c r="V7" s="50">
        <v>0.434783</v>
      </c>
      <c r="W7" s="50">
        <v>0.236822</v>
      </c>
      <c r="X7" s="50">
        <v>0.041802</v>
      </c>
      <c r="Y7" s="50">
        <v>0</v>
      </c>
      <c r="Z7" s="50">
        <v>0</v>
      </c>
      <c r="AA7" s="78">
        <v>7</v>
      </c>
      <c r="AB7" s="78"/>
      <c r="AC7" s="90"/>
      <c r="AD7" s="81" t="s">
        <v>225</v>
      </c>
      <c r="AE7" s="104" t="str">
        <f>HYPERLINK("http://www.youtube.com/channel/UCuYcqLjJi8thrUJCjzLBaow")</f>
        <v>http://www.youtube.com/channel/UCuYcqLjJi8thrUJCjzLBaow</v>
      </c>
      <c r="AF7" s="81" t="s">
        <v>227</v>
      </c>
      <c r="AG7" s="81"/>
      <c r="AH7" s="81" t="str">
        <f>REPLACE(INDEX(GroupVertices[Group],MATCH("~"&amp;Vertices[[#This Row],[Vertex]],GroupVertices[Vertex],0)),1,1,"")</f>
        <v>1</v>
      </c>
      <c r="AI7" s="2"/>
      <c r="AJ7" s="3"/>
      <c r="AK7" s="3"/>
      <c r="AL7" s="3"/>
      <c r="AM7" s="3"/>
    </row>
    <row r="8" spans="1:39" ht="15">
      <c r="A8" s="14" t="s">
        <v>203</v>
      </c>
      <c r="B8" s="15"/>
      <c r="C8" s="15"/>
      <c r="D8" s="85">
        <v>20</v>
      </c>
      <c r="E8" s="77"/>
      <c r="F8" s="105" t="str">
        <f>HYPERLINK("https://yt3.ggpht.com/ytc/AIf8zZSjWDNNLloi5IKZdsiOFcJn7ENo36KKk0xQPObIoA=s88-c-k-c0x00ffffff-no-rj")</f>
        <v>https://yt3.ggpht.com/ytc/AIf8zZSjWDNNLloi5IKZdsiOFcJn7ENo36KKk0xQPObIoA=s88-c-k-c0x00ffffff-no-rj</v>
      </c>
      <c r="G8" s="15"/>
      <c r="H8" s="16" t="s">
        <v>228</v>
      </c>
      <c r="I8" s="65"/>
      <c r="J8" s="65" t="s">
        <v>159</v>
      </c>
      <c r="K8" s="107" t="s">
        <v>228</v>
      </c>
      <c r="L8" s="86">
        <v>1</v>
      </c>
      <c r="M8" s="87">
        <v>739.3626708984375</v>
      </c>
      <c r="N8" s="87">
        <v>8300.748046875</v>
      </c>
      <c r="O8" s="76"/>
      <c r="P8" s="88"/>
      <c r="Q8" s="88"/>
      <c r="R8" s="89"/>
      <c r="S8" s="49">
        <v>1</v>
      </c>
      <c r="T8" s="49">
        <v>0</v>
      </c>
      <c r="U8" s="50">
        <v>0</v>
      </c>
      <c r="V8" s="50">
        <v>0.434783</v>
      </c>
      <c r="W8" s="50">
        <v>0.236822</v>
      </c>
      <c r="X8" s="50">
        <v>0.041802</v>
      </c>
      <c r="Y8" s="50">
        <v>0</v>
      </c>
      <c r="Z8" s="50">
        <v>0</v>
      </c>
      <c r="AA8" s="78">
        <v>8</v>
      </c>
      <c r="AB8" s="78"/>
      <c r="AC8" s="90"/>
      <c r="AD8" s="81" t="s">
        <v>225</v>
      </c>
      <c r="AE8" s="104" t="str">
        <f>HYPERLINK("http://www.youtube.com/channel/UCsMtgr38wPby5SAEw88ISMQ")</f>
        <v>http://www.youtube.com/channel/UCsMtgr38wPby5SAEw88ISMQ</v>
      </c>
      <c r="AF8" s="81" t="s">
        <v>228</v>
      </c>
      <c r="AG8" s="81" t="s">
        <v>248</v>
      </c>
      <c r="AH8" s="81" t="str">
        <f>REPLACE(INDEX(GroupVertices[Group],MATCH("~"&amp;Vertices[[#This Row],[Vertex]],GroupVertices[Vertex],0)),1,1,"")</f>
        <v>1</v>
      </c>
      <c r="AI8" s="2"/>
      <c r="AJ8" s="3"/>
      <c r="AK8" s="3"/>
      <c r="AL8" s="3"/>
      <c r="AM8" s="3"/>
    </row>
    <row r="9" spans="1:39" ht="15">
      <c r="A9" s="14" t="s">
        <v>204</v>
      </c>
      <c r="B9" s="15"/>
      <c r="C9" s="15"/>
      <c r="D9" s="85">
        <v>20</v>
      </c>
      <c r="E9" s="77"/>
      <c r="F9" s="105" t="str">
        <f>HYPERLINK("https://yt3.ggpht.com/ytc/AIf8zZTJoSXweiWib3Y6t3d-1QIbWuUkiQJrYhhKC9AO=s88-c-k-c0x00ffffff-no-rj")</f>
        <v>https://yt3.ggpht.com/ytc/AIf8zZTJoSXweiWib3Y6t3d-1QIbWuUkiQJrYhhKC9AO=s88-c-k-c0x00ffffff-no-rj</v>
      </c>
      <c r="G9" s="15"/>
      <c r="H9" s="16" t="s">
        <v>229</v>
      </c>
      <c r="I9" s="65"/>
      <c r="J9" s="65" t="s">
        <v>159</v>
      </c>
      <c r="K9" s="107" t="s">
        <v>229</v>
      </c>
      <c r="L9" s="86">
        <v>1</v>
      </c>
      <c r="M9" s="87">
        <v>4075.3642578125</v>
      </c>
      <c r="N9" s="87">
        <v>9805.7255859375</v>
      </c>
      <c r="O9" s="76"/>
      <c r="P9" s="88"/>
      <c r="Q9" s="88"/>
      <c r="R9" s="89"/>
      <c r="S9" s="49">
        <v>1</v>
      </c>
      <c r="T9" s="49">
        <v>0</v>
      </c>
      <c r="U9" s="50">
        <v>0</v>
      </c>
      <c r="V9" s="50">
        <v>0.434783</v>
      </c>
      <c r="W9" s="50">
        <v>0.236822</v>
      </c>
      <c r="X9" s="50">
        <v>0.041802</v>
      </c>
      <c r="Y9" s="50">
        <v>0</v>
      </c>
      <c r="Z9" s="50">
        <v>0</v>
      </c>
      <c r="AA9" s="78">
        <v>9</v>
      </c>
      <c r="AB9" s="78"/>
      <c r="AC9" s="90"/>
      <c r="AD9" s="81" t="s">
        <v>225</v>
      </c>
      <c r="AE9" s="104" t="str">
        <f>HYPERLINK("http://www.youtube.com/channel/UCqqjiYoD0nP1fR6vf5AcSfQ")</f>
        <v>http://www.youtube.com/channel/UCqqjiYoD0nP1fR6vf5AcSfQ</v>
      </c>
      <c r="AF9" s="81" t="s">
        <v>229</v>
      </c>
      <c r="AG9" s="81" t="s">
        <v>249</v>
      </c>
      <c r="AH9" s="81" t="str">
        <f>REPLACE(INDEX(GroupVertices[Group],MATCH("~"&amp;Vertices[[#This Row],[Vertex]],GroupVertices[Vertex],0)),1,1,"")</f>
        <v>1</v>
      </c>
      <c r="AI9" s="2"/>
      <c r="AJ9" s="3"/>
      <c r="AK9" s="3"/>
      <c r="AL9" s="3"/>
      <c r="AM9" s="3"/>
    </row>
    <row r="10" spans="1:39" ht="15">
      <c r="A10" s="14" t="s">
        <v>205</v>
      </c>
      <c r="B10" s="15"/>
      <c r="C10" s="15"/>
      <c r="D10" s="85">
        <v>20</v>
      </c>
      <c r="E10" s="77"/>
      <c r="F10" s="105" t="str">
        <f>HYPERLINK("https://yt3.ggpht.com/ytc/AIf8zZQEi2srvV_Q-qxJH5s0MKE-VAAf80OIcmo1lwjE=s88-c-k-c0x00ffffff-no-rj")</f>
        <v>https://yt3.ggpht.com/ytc/AIf8zZQEi2srvV_Q-qxJH5s0MKE-VAAf80OIcmo1lwjE=s88-c-k-c0x00ffffff-no-rj</v>
      </c>
      <c r="G10" s="15"/>
      <c r="H10" s="16" t="s">
        <v>230</v>
      </c>
      <c r="I10" s="65"/>
      <c r="J10" s="65" t="s">
        <v>159</v>
      </c>
      <c r="K10" s="107" t="s">
        <v>230</v>
      </c>
      <c r="L10" s="86">
        <v>1</v>
      </c>
      <c r="M10" s="87">
        <v>9259.6376953125</v>
      </c>
      <c r="N10" s="87">
        <v>8555.3271484375</v>
      </c>
      <c r="O10" s="76"/>
      <c r="P10" s="88"/>
      <c r="Q10" s="88"/>
      <c r="R10" s="89"/>
      <c r="S10" s="49">
        <v>1</v>
      </c>
      <c r="T10" s="49">
        <v>0</v>
      </c>
      <c r="U10" s="50">
        <v>0</v>
      </c>
      <c r="V10" s="50">
        <v>0.434783</v>
      </c>
      <c r="W10" s="50">
        <v>0.236822</v>
      </c>
      <c r="X10" s="50">
        <v>0.041802</v>
      </c>
      <c r="Y10" s="50">
        <v>0</v>
      </c>
      <c r="Z10" s="50">
        <v>0</v>
      </c>
      <c r="AA10" s="78">
        <v>10</v>
      </c>
      <c r="AB10" s="78"/>
      <c r="AC10" s="90"/>
      <c r="AD10" s="81" t="s">
        <v>225</v>
      </c>
      <c r="AE10" s="104" t="str">
        <f>HYPERLINK("http://www.youtube.com/channel/UClQT6Vnsm6BUm0I5kR26EkQ")</f>
        <v>http://www.youtube.com/channel/UClQT6Vnsm6BUm0I5kR26EkQ</v>
      </c>
      <c r="AF10" s="81" t="s">
        <v>230</v>
      </c>
      <c r="AG10" s="81" t="s">
        <v>250</v>
      </c>
      <c r="AH10" s="81" t="str">
        <f>REPLACE(INDEX(GroupVertices[Group],MATCH("~"&amp;Vertices[[#This Row],[Vertex]],GroupVertices[Vertex],0)),1,1,"")</f>
        <v>1</v>
      </c>
      <c r="AI10" s="2"/>
      <c r="AJ10" s="3"/>
      <c r="AK10" s="3"/>
      <c r="AL10" s="3"/>
      <c r="AM10" s="3"/>
    </row>
    <row r="11" spans="1:39" ht="15">
      <c r="A11" s="14" t="s">
        <v>206</v>
      </c>
      <c r="B11" s="15"/>
      <c r="C11" s="15"/>
      <c r="D11" s="85">
        <v>20</v>
      </c>
      <c r="E11" s="77"/>
      <c r="F11" s="105" t="str">
        <f>HYPERLINK("https://yt3.ggpht.com/ytc/AIf8zZSS3SBOiIllXxYOqSUIdz-ZpzvOtSvQx3HVsuwncP8=s88-c-k-c0x00ffffff-no-rj")</f>
        <v>https://yt3.ggpht.com/ytc/AIf8zZSS3SBOiIllXxYOqSUIdz-ZpzvOtSvQx3HVsuwncP8=s88-c-k-c0x00ffffff-no-rj</v>
      </c>
      <c r="G11" s="15"/>
      <c r="H11" s="16" t="s">
        <v>231</v>
      </c>
      <c r="I11" s="65"/>
      <c r="J11" s="65" t="s">
        <v>159</v>
      </c>
      <c r="K11" s="107" t="s">
        <v>231</v>
      </c>
      <c r="L11" s="86">
        <v>1</v>
      </c>
      <c r="M11" s="87">
        <v>9004.4404296875</v>
      </c>
      <c r="N11" s="87">
        <v>9260.0654296875</v>
      </c>
      <c r="O11" s="76"/>
      <c r="P11" s="88"/>
      <c r="Q11" s="88"/>
      <c r="R11" s="89"/>
      <c r="S11" s="49">
        <v>1</v>
      </c>
      <c r="T11" s="49">
        <v>0</v>
      </c>
      <c r="U11" s="50">
        <v>0</v>
      </c>
      <c r="V11" s="50">
        <v>0.434783</v>
      </c>
      <c r="W11" s="50">
        <v>0.236822</v>
      </c>
      <c r="X11" s="50">
        <v>0.041802</v>
      </c>
      <c r="Y11" s="50">
        <v>0</v>
      </c>
      <c r="Z11" s="50">
        <v>0</v>
      </c>
      <c r="AA11" s="78">
        <v>11</v>
      </c>
      <c r="AB11" s="78"/>
      <c r="AC11" s="90"/>
      <c r="AD11" s="81" t="s">
        <v>225</v>
      </c>
      <c r="AE11" s="104" t="str">
        <f>HYPERLINK("http://www.youtube.com/channel/UCiMPkzrVSCEDm3TatvdVylw")</f>
        <v>http://www.youtube.com/channel/UCiMPkzrVSCEDm3TatvdVylw</v>
      </c>
      <c r="AF11" s="81" t="s">
        <v>231</v>
      </c>
      <c r="AG11" s="81" t="s">
        <v>251</v>
      </c>
      <c r="AH11" s="81" t="str">
        <f>REPLACE(INDEX(GroupVertices[Group],MATCH("~"&amp;Vertices[[#This Row],[Vertex]],GroupVertices[Vertex],0)),1,1,"")</f>
        <v>1</v>
      </c>
      <c r="AI11" s="2"/>
      <c r="AJ11" s="3"/>
      <c r="AK11" s="3"/>
      <c r="AL11" s="3"/>
      <c r="AM11" s="3"/>
    </row>
    <row r="12" spans="1:39" ht="15">
      <c r="A12" s="14" t="s">
        <v>207</v>
      </c>
      <c r="B12" s="15"/>
      <c r="C12" s="15"/>
      <c r="D12" s="85">
        <v>20</v>
      </c>
      <c r="E12" s="77"/>
      <c r="F12" s="105" t="str">
        <f>HYPERLINK("https://yt3.ggpht.com/ytc/AIf8zZSRQgt0-CfKG1RKJZRXW_3E3BffZPI7h_F6iGWG8g=s88-c-k-c0x00ffffff-no-rj")</f>
        <v>https://yt3.ggpht.com/ytc/AIf8zZSRQgt0-CfKG1RKJZRXW_3E3BffZPI7h_F6iGWG8g=s88-c-k-c0x00ffffff-no-rj</v>
      </c>
      <c r="G12" s="15"/>
      <c r="H12" s="16" t="s">
        <v>232</v>
      </c>
      <c r="I12" s="65"/>
      <c r="J12" s="65" t="s">
        <v>159</v>
      </c>
      <c r="K12" s="107" t="s">
        <v>232</v>
      </c>
      <c r="L12" s="86">
        <v>1</v>
      </c>
      <c r="M12" s="87">
        <v>2211.64990234375</v>
      </c>
      <c r="N12" s="87">
        <v>9509.04296875</v>
      </c>
      <c r="O12" s="76"/>
      <c r="P12" s="88"/>
      <c r="Q12" s="88"/>
      <c r="R12" s="89"/>
      <c r="S12" s="49">
        <v>1</v>
      </c>
      <c r="T12" s="49">
        <v>0</v>
      </c>
      <c r="U12" s="50">
        <v>0</v>
      </c>
      <c r="V12" s="50">
        <v>0.434783</v>
      </c>
      <c r="W12" s="50">
        <v>0.236822</v>
      </c>
      <c r="X12" s="50">
        <v>0.041802</v>
      </c>
      <c r="Y12" s="50">
        <v>0</v>
      </c>
      <c r="Z12" s="50">
        <v>0</v>
      </c>
      <c r="AA12" s="78">
        <v>12</v>
      </c>
      <c r="AB12" s="78"/>
      <c r="AC12" s="90"/>
      <c r="AD12" s="81" t="s">
        <v>225</v>
      </c>
      <c r="AE12" s="104" t="str">
        <f>HYPERLINK("http://www.youtube.com/channel/UCZn9XBZ0ef1L6zwfA5oIpfw")</f>
        <v>http://www.youtube.com/channel/UCZn9XBZ0ef1L6zwfA5oIpfw</v>
      </c>
      <c r="AF12" s="81" t="s">
        <v>232</v>
      </c>
      <c r="AG12" s="81" t="s">
        <v>252</v>
      </c>
      <c r="AH12" s="81" t="str">
        <f>REPLACE(INDEX(GroupVertices[Group],MATCH("~"&amp;Vertices[[#This Row],[Vertex]],GroupVertices[Vertex],0)),1,1,"")</f>
        <v>1</v>
      </c>
      <c r="AI12" s="2"/>
      <c r="AJ12" s="3"/>
      <c r="AK12" s="3"/>
      <c r="AL12" s="3"/>
      <c r="AM12" s="3"/>
    </row>
    <row r="13" spans="1:39" ht="15">
      <c r="A13" s="14" t="s">
        <v>208</v>
      </c>
      <c r="B13" s="15"/>
      <c r="C13" s="15"/>
      <c r="D13" s="85">
        <v>20</v>
      </c>
      <c r="E13" s="77"/>
      <c r="F13" s="105" t="str">
        <f>HYPERLINK("https://yt3.ggpht.com/ytc/AIf8zZR3i6MCHQSzM8JknVNC2BYSZSGVVOysY8GRGJRj=s88-c-k-c0x00ffffff-no-rj")</f>
        <v>https://yt3.ggpht.com/ytc/AIf8zZR3i6MCHQSzM8JknVNC2BYSZSGVVOysY8GRGJRj=s88-c-k-c0x00ffffff-no-rj</v>
      </c>
      <c r="G13" s="15"/>
      <c r="H13" s="16" t="s">
        <v>233</v>
      </c>
      <c r="I13" s="65"/>
      <c r="J13" s="65" t="s">
        <v>159</v>
      </c>
      <c r="K13" s="107" t="s">
        <v>233</v>
      </c>
      <c r="L13" s="86">
        <v>1</v>
      </c>
      <c r="M13" s="87">
        <v>4993.86181640625</v>
      </c>
      <c r="N13" s="87">
        <v>7423.0380859375</v>
      </c>
      <c r="O13" s="76"/>
      <c r="P13" s="88"/>
      <c r="Q13" s="88"/>
      <c r="R13" s="89"/>
      <c r="S13" s="49">
        <v>1</v>
      </c>
      <c r="T13" s="49">
        <v>0</v>
      </c>
      <c r="U13" s="50">
        <v>0</v>
      </c>
      <c r="V13" s="50">
        <v>0.434783</v>
      </c>
      <c r="W13" s="50">
        <v>0.236822</v>
      </c>
      <c r="X13" s="50">
        <v>0.041802</v>
      </c>
      <c r="Y13" s="50">
        <v>0</v>
      </c>
      <c r="Z13" s="50">
        <v>0</v>
      </c>
      <c r="AA13" s="78">
        <v>13</v>
      </c>
      <c r="AB13" s="78"/>
      <c r="AC13" s="90"/>
      <c r="AD13" s="81" t="s">
        <v>225</v>
      </c>
      <c r="AE13" s="104" t="str">
        <f>HYPERLINK("http://www.youtube.com/channel/UCSOknnmnLqXZRQXM8uzh7Tw")</f>
        <v>http://www.youtube.com/channel/UCSOknnmnLqXZRQXM8uzh7Tw</v>
      </c>
      <c r="AF13" s="81" t="s">
        <v>233</v>
      </c>
      <c r="AG13" s="81"/>
      <c r="AH13" s="81" t="str">
        <f>REPLACE(INDEX(GroupVertices[Group],MATCH("~"&amp;Vertices[[#This Row],[Vertex]],GroupVertices[Vertex],0)),1,1,"")</f>
        <v>1</v>
      </c>
      <c r="AI13" s="2"/>
      <c r="AJ13" s="3"/>
      <c r="AK13" s="3"/>
      <c r="AL13" s="3"/>
      <c r="AM13" s="3"/>
    </row>
    <row r="14" spans="1:39" ht="15">
      <c r="A14" s="14" t="s">
        <v>209</v>
      </c>
      <c r="B14" s="15"/>
      <c r="C14" s="15"/>
      <c r="D14" s="85">
        <v>20</v>
      </c>
      <c r="E14" s="77"/>
      <c r="F14" s="105" t="str">
        <f>HYPERLINK("https://yt3.ggpht.com/ytc/AIf8zZQWqVzIJTCvndF2dRjs2K1TYj_VvmLQVFDZefYW2w=s88-c-k-c0x00ffffff-no-rj")</f>
        <v>https://yt3.ggpht.com/ytc/AIf8zZQWqVzIJTCvndF2dRjs2K1TYj_VvmLQVFDZefYW2w=s88-c-k-c0x00ffffff-no-rj</v>
      </c>
      <c r="G14" s="15"/>
      <c r="H14" s="16" t="s">
        <v>234</v>
      </c>
      <c r="I14" s="65"/>
      <c r="J14" s="65" t="s">
        <v>159</v>
      </c>
      <c r="K14" s="107" t="s">
        <v>234</v>
      </c>
      <c r="L14" s="86">
        <v>1</v>
      </c>
      <c r="M14" s="87">
        <v>6709.78271484375</v>
      </c>
      <c r="N14" s="87">
        <v>9178.841796875</v>
      </c>
      <c r="O14" s="76"/>
      <c r="P14" s="88"/>
      <c r="Q14" s="88"/>
      <c r="R14" s="89"/>
      <c r="S14" s="49">
        <v>1</v>
      </c>
      <c r="T14" s="49">
        <v>0</v>
      </c>
      <c r="U14" s="50">
        <v>0</v>
      </c>
      <c r="V14" s="50">
        <v>0.434783</v>
      </c>
      <c r="W14" s="50">
        <v>0.236822</v>
      </c>
      <c r="X14" s="50">
        <v>0.041802</v>
      </c>
      <c r="Y14" s="50">
        <v>0</v>
      </c>
      <c r="Z14" s="50">
        <v>0</v>
      </c>
      <c r="AA14" s="78">
        <v>14</v>
      </c>
      <c r="AB14" s="78"/>
      <c r="AC14" s="90"/>
      <c r="AD14" s="81" t="s">
        <v>225</v>
      </c>
      <c r="AE14" s="104" t="str">
        <f>HYPERLINK("http://www.youtube.com/channel/UCQ01UzLycVtk6LmvVZC1eMg")</f>
        <v>http://www.youtube.com/channel/UCQ01UzLycVtk6LmvVZC1eMg</v>
      </c>
      <c r="AF14" s="81" t="s">
        <v>234</v>
      </c>
      <c r="AG14" s="81" t="s">
        <v>253</v>
      </c>
      <c r="AH14" s="81" t="str">
        <f>REPLACE(INDEX(GroupVertices[Group],MATCH("~"&amp;Vertices[[#This Row],[Vertex]],GroupVertices[Vertex],0)),1,1,"")</f>
        <v>1</v>
      </c>
      <c r="AI14" s="2"/>
      <c r="AJ14" s="3"/>
      <c r="AK14" s="3"/>
      <c r="AL14" s="3"/>
      <c r="AM14" s="3"/>
    </row>
    <row r="15" spans="1:39" ht="15">
      <c r="A15" s="14" t="s">
        <v>210</v>
      </c>
      <c r="B15" s="15"/>
      <c r="C15" s="15"/>
      <c r="D15" s="85">
        <v>20</v>
      </c>
      <c r="E15" s="77"/>
      <c r="F15" s="105" t="str">
        <f>HYPERLINK("https://yt3.ggpht.com/ytc/AIf8zZRv9YMsWW1KZ0wQnNA85rDdKKw3pP8TcGjDYCaFTA=s88-c-k-c0x00ffffff-no-rj")</f>
        <v>https://yt3.ggpht.com/ytc/AIf8zZRv9YMsWW1KZ0wQnNA85rDdKKw3pP8TcGjDYCaFTA=s88-c-k-c0x00ffffff-no-rj</v>
      </c>
      <c r="G15" s="15"/>
      <c r="H15" s="16" t="s">
        <v>235</v>
      </c>
      <c r="I15" s="65"/>
      <c r="J15" s="65" t="s">
        <v>159</v>
      </c>
      <c r="K15" s="107" t="s">
        <v>235</v>
      </c>
      <c r="L15" s="86">
        <v>1</v>
      </c>
      <c r="M15" s="87">
        <v>7052.6650390625</v>
      </c>
      <c r="N15" s="87">
        <v>7578.72802734375</v>
      </c>
      <c r="O15" s="76"/>
      <c r="P15" s="88"/>
      <c r="Q15" s="88"/>
      <c r="R15" s="89"/>
      <c r="S15" s="49">
        <v>1</v>
      </c>
      <c r="T15" s="49">
        <v>0</v>
      </c>
      <c r="U15" s="50">
        <v>0</v>
      </c>
      <c r="V15" s="50">
        <v>0.434783</v>
      </c>
      <c r="W15" s="50">
        <v>0.236822</v>
      </c>
      <c r="X15" s="50">
        <v>0.041802</v>
      </c>
      <c r="Y15" s="50">
        <v>0</v>
      </c>
      <c r="Z15" s="50">
        <v>0</v>
      </c>
      <c r="AA15" s="78">
        <v>15</v>
      </c>
      <c r="AB15" s="78"/>
      <c r="AC15" s="90"/>
      <c r="AD15" s="81" t="s">
        <v>225</v>
      </c>
      <c r="AE15" s="104" t="str">
        <f>HYPERLINK("http://www.youtube.com/channel/UCIEim7TMQ9FRIykPWSYIwUg")</f>
        <v>http://www.youtube.com/channel/UCIEim7TMQ9FRIykPWSYIwUg</v>
      </c>
      <c r="AF15" s="81" t="s">
        <v>235</v>
      </c>
      <c r="AG15" s="81" t="s">
        <v>254</v>
      </c>
      <c r="AH15" s="81" t="str">
        <f>REPLACE(INDEX(GroupVertices[Group],MATCH("~"&amp;Vertices[[#This Row],[Vertex]],GroupVertices[Vertex],0)),1,1,"")</f>
        <v>1</v>
      </c>
      <c r="AI15" s="2"/>
      <c r="AJ15" s="3"/>
      <c r="AK15" s="3"/>
      <c r="AL15" s="3"/>
      <c r="AM15" s="3"/>
    </row>
    <row r="16" spans="1:39" ht="15">
      <c r="A16" s="14" t="s">
        <v>211</v>
      </c>
      <c r="B16" s="15"/>
      <c r="C16" s="15"/>
      <c r="D16" s="85">
        <v>20</v>
      </c>
      <c r="E16" s="77"/>
      <c r="F16" s="105" t="str">
        <f>HYPERLINK("https://yt3.ggpht.com/jMwLlrJjEGWtIDe8RFKnTFKxxPFOQ9T7gUjej0dxkjl7Vl9LawM9uKtBqBo4WJtyWmEW478w6Q=s88-c-k-c0x00ffffff-no-rj")</f>
        <v>https://yt3.ggpht.com/jMwLlrJjEGWtIDe8RFKnTFKxxPFOQ9T7gUjej0dxkjl7Vl9LawM9uKtBqBo4WJtyWmEW478w6Q=s88-c-k-c0x00ffffff-no-rj</v>
      </c>
      <c r="G16" s="15"/>
      <c r="H16" s="16" t="s">
        <v>236</v>
      </c>
      <c r="I16" s="65"/>
      <c r="J16" s="65" t="s">
        <v>159</v>
      </c>
      <c r="K16" s="107" t="s">
        <v>236</v>
      </c>
      <c r="L16" s="86">
        <v>1</v>
      </c>
      <c r="M16" s="87">
        <v>6527.25439453125</v>
      </c>
      <c r="N16" s="87">
        <v>9838.955078125</v>
      </c>
      <c r="O16" s="76"/>
      <c r="P16" s="88"/>
      <c r="Q16" s="88"/>
      <c r="R16" s="89"/>
      <c r="S16" s="49">
        <v>1</v>
      </c>
      <c r="T16" s="49">
        <v>0</v>
      </c>
      <c r="U16" s="50">
        <v>0</v>
      </c>
      <c r="V16" s="50">
        <v>0.434783</v>
      </c>
      <c r="W16" s="50">
        <v>0.236822</v>
      </c>
      <c r="X16" s="50">
        <v>0.041802</v>
      </c>
      <c r="Y16" s="50">
        <v>0</v>
      </c>
      <c r="Z16" s="50">
        <v>0</v>
      </c>
      <c r="AA16" s="78">
        <v>16</v>
      </c>
      <c r="AB16" s="78"/>
      <c r="AC16" s="90"/>
      <c r="AD16" s="81" t="s">
        <v>225</v>
      </c>
      <c r="AE16" s="104" t="str">
        <f>HYPERLINK("http://www.youtube.com/channel/UCBc6O9ZkUZfBdYCmHLZVZsQ")</f>
        <v>http://www.youtube.com/channel/UCBc6O9ZkUZfBdYCmHLZVZsQ</v>
      </c>
      <c r="AF16" s="81" t="s">
        <v>236</v>
      </c>
      <c r="AG16" s="81" t="s">
        <v>255</v>
      </c>
      <c r="AH16" s="81" t="str">
        <f>REPLACE(INDEX(GroupVertices[Group],MATCH("~"&amp;Vertices[[#This Row],[Vertex]],GroupVertices[Vertex],0)),1,1,"")</f>
        <v>1</v>
      </c>
      <c r="AI16" s="2"/>
      <c r="AJ16" s="3"/>
      <c r="AK16" s="3"/>
      <c r="AL16" s="3"/>
      <c r="AM16" s="3"/>
    </row>
    <row r="17" spans="1:39" ht="15">
      <c r="A17" s="14" t="s">
        <v>212</v>
      </c>
      <c r="B17" s="15"/>
      <c r="C17" s="15"/>
      <c r="D17" s="85">
        <v>20</v>
      </c>
      <c r="E17" s="77"/>
      <c r="F17" s="105" t="str">
        <f>HYPERLINK("https://yt3.ggpht.com/ytc/AIf8zZS1f4h5_6nP1O44hyle2YkLdVUBrRp7fLA6Ah44CQ=s88-c-k-c0x00ffffff-no-rj")</f>
        <v>https://yt3.ggpht.com/ytc/AIf8zZS1f4h5_6nP1O44hyle2YkLdVUBrRp7fLA6Ah44CQ=s88-c-k-c0x00ffffff-no-rj</v>
      </c>
      <c r="G17" s="15"/>
      <c r="H17" s="16" t="s">
        <v>237</v>
      </c>
      <c r="I17" s="65"/>
      <c r="J17" s="65" t="s">
        <v>159</v>
      </c>
      <c r="K17" s="107" t="s">
        <v>237</v>
      </c>
      <c r="L17" s="86">
        <v>1</v>
      </c>
      <c r="M17" s="87">
        <v>3022.88720703125</v>
      </c>
      <c r="N17" s="87">
        <v>8213.2509765625</v>
      </c>
      <c r="O17" s="76"/>
      <c r="P17" s="88"/>
      <c r="Q17" s="88"/>
      <c r="R17" s="89"/>
      <c r="S17" s="49">
        <v>1</v>
      </c>
      <c r="T17" s="49">
        <v>0</v>
      </c>
      <c r="U17" s="50">
        <v>0</v>
      </c>
      <c r="V17" s="50">
        <v>0.434783</v>
      </c>
      <c r="W17" s="50">
        <v>0.236822</v>
      </c>
      <c r="X17" s="50">
        <v>0.041802</v>
      </c>
      <c r="Y17" s="50">
        <v>0</v>
      </c>
      <c r="Z17" s="50">
        <v>0</v>
      </c>
      <c r="AA17" s="78">
        <v>17</v>
      </c>
      <c r="AB17" s="78"/>
      <c r="AC17" s="90"/>
      <c r="AD17" s="81" t="s">
        <v>225</v>
      </c>
      <c r="AE17" s="104" t="str">
        <f>HYPERLINK("http://www.youtube.com/channel/UC7FCUF2yedOT-Ot55kKZ1iw")</f>
        <v>http://www.youtube.com/channel/UC7FCUF2yedOT-Ot55kKZ1iw</v>
      </c>
      <c r="AF17" s="81" t="s">
        <v>237</v>
      </c>
      <c r="AG17" s="81" t="s">
        <v>256</v>
      </c>
      <c r="AH17" s="81" t="str">
        <f>REPLACE(INDEX(GroupVertices[Group],MATCH("~"&amp;Vertices[[#This Row],[Vertex]],GroupVertices[Vertex],0)),1,1,"")</f>
        <v>1</v>
      </c>
      <c r="AI17" s="2"/>
      <c r="AJ17" s="3"/>
      <c r="AK17" s="3"/>
      <c r="AL17" s="3"/>
      <c r="AM17" s="3"/>
    </row>
    <row r="18" spans="1:39" ht="15">
      <c r="A18" s="14" t="s">
        <v>213</v>
      </c>
      <c r="B18" s="15"/>
      <c r="C18" s="15"/>
      <c r="D18" s="85">
        <v>20</v>
      </c>
      <c r="E18" s="77"/>
      <c r="F18" s="105" t="str">
        <f>HYPERLINK("https://yt3.ggpht.com/1lL28L22VWNMB2a1VBl2fQ5N9uavBxUEfLBqMyKhkAvOo144svRrguJgeLpITMyx5Di7g0aqmQ=s88-c-k-c0x00ffffff-no-rj")</f>
        <v>https://yt3.ggpht.com/1lL28L22VWNMB2a1VBl2fQ5N9uavBxUEfLBqMyKhkAvOo144svRrguJgeLpITMyx5Di7g0aqmQ=s88-c-k-c0x00ffffff-no-rj</v>
      </c>
      <c r="G18" s="15"/>
      <c r="H18" s="16" t="s">
        <v>238</v>
      </c>
      <c r="I18" s="65"/>
      <c r="J18" s="65" t="s">
        <v>159</v>
      </c>
      <c r="K18" s="107" t="s">
        <v>238</v>
      </c>
      <c r="L18" s="86">
        <v>1</v>
      </c>
      <c r="M18" s="87">
        <v>2572.006591796875</v>
      </c>
      <c r="N18" s="87">
        <v>7558.6982421875</v>
      </c>
      <c r="O18" s="76"/>
      <c r="P18" s="88"/>
      <c r="Q18" s="88"/>
      <c r="R18" s="89"/>
      <c r="S18" s="49">
        <v>1</v>
      </c>
      <c r="T18" s="49">
        <v>0</v>
      </c>
      <c r="U18" s="50">
        <v>0</v>
      </c>
      <c r="V18" s="50">
        <v>0.434783</v>
      </c>
      <c r="W18" s="50">
        <v>0.236822</v>
      </c>
      <c r="X18" s="50">
        <v>0.041802</v>
      </c>
      <c r="Y18" s="50">
        <v>0</v>
      </c>
      <c r="Z18" s="50">
        <v>0</v>
      </c>
      <c r="AA18" s="78">
        <v>18</v>
      </c>
      <c r="AB18" s="78"/>
      <c r="AC18" s="90"/>
      <c r="AD18" s="81" t="s">
        <v>225</v>
      </c>
      <c r="AE18" s="104" t="str">
        <f>HYPERLINK("http://www.youtube.com/channel/UC4gPNusMDwx2Xm-YI35AkCA")</f>
        <v>http://www.youtube.com/channel/UC4gPNusMDwx2Xm-YI35AkCA</v>
      </c>
      <c r="AF18" s="81" t="s">
        <v>238</v>
      </c>
      <c r="AG18" s="81" t="s">
        <v>257</v>
      </c>
      <c r="AH18" s="81" t="str">
        <f>REPLACE(INDEX(GroupVertices[Group],MATCH("~"&amp;Vertices[[#This Row],[Vertex]],GroupVertices[Vertex],0)),1,1,"")</f>
        <v>1</v>
      </c>
      <c r="AI18" s="2"/>
      <c r="AJ18" s="3"/>
      <c r="AK18" s="3"/>
      <c r="AL18" s="3"/>
      <c r="AM18" s="3"/>
    </row>
    <row r="19" spans="1:39" ht="15">
      <c r="A19" s="14" t="s">
        <v>214</v>
      </c>
      <c r="B19" s="15"/>
      <c r="C19" s="15"/>
      <c r="D19" s="85">
        <v>20</v>
      </c>
      <c r="E19" s="77"/>
      <c r="F19" s="105" t="str">
        <f>HYPERLINK("https://yt3.ggpht.com/ytc/AIf8zZSuTQHbTMIdGffQEks4DCiws9Hu9EHVTmDlNigI=s88-c-k-c0x00ffffff-no-rj")</f>
        <v>https://yt3.ggpht.com/ytc/AIf8zZSuTQHbTMIdGffQEks4DCiws9Hu9EHVTmDlNigI=s88-c-k-c0x00ffffff-no-rj</v>
      </c>
      <c r="G19" s="15"/>
      <c r="H19" s="16" t="s">
        <v>240</v>
      </c>
      <c r="I19" s="65"/>
      <c r="J19" s="65" t="s">
        <v>159</v>
      </c>
      <c r="K19" s="107" t="s">
        <v>240</v>
      </c>
      <c r="L19" s="86">
        <v>1</v>
      </c>
      <c r="M19" s="87">
        <v>7323.21142578125</v>
      </c>
      <c r="N19" s="87">
        <v>1304.6243896484375</v>
      </c>
      <c r="O19" s="76"/>
      <c r="P19" s="88"/>
      <c r="Q19" s="88"/>
      <c r="R19" s="89"/>
      <c r="S19" s="49">
        <v>1</v>
      </c>
      <c r="T19" s="49">
        <v>0</v>
      </c>
      <c r="U19" s="50">
        <v>0</v>
      </c>
      <c r="V19" s="50">
        <v>0.285714</v>
      </c>
      <c r="W19" s="50">
        <v>0.026877</v>
      </c>
      <c r="X19" s="50">
        <v>0.044141</v>
      </c>
      <c r="Y19" s="50">
        <v>0</v>
      </c>
      <c r="Z19" s="50">
        <v>0</v>
      </c>
      <c r="AA19" s="78">
        <v>19</v>
      </c>
      <c r="AB19" s="78"/>
      <c r="AC19" s="90"/>
      <c r="AD19" s="81" t="s">
        <v>225</v>
      </c>
      <c r="AE19" s="104" t="str">
        <f>HYPERLINK("http://www.youtube.com/channel/UC5YPpUoIFAbQZVVHc38OAdQ")</f>
        <v>http://www.youtube.com/channel/UC5YPpUoIFAbQZVVHc38OAdQ</v>
      </c>
      <c r="AF19" s="81" t="s">
        <v>240</v>
      </c>
      <c r="AG19" s="81"/>
      <c r="AH19" s="81" t="str">
        <f>REPLACE(INDEX(GroupVertices[Group],MATCH("~"&amp;Vertices[[#This Row],[Vertex]],GroupVertices[Vertex],0)),1,1,"")</f>
        <v>2</v>
      </c>
      <c r="AI19" s="2"/>
      <c r="AJ19" s="3"/>
      <c r="AK19" s="3"/>
      <c r="AL19" s="3"/>
      <c r="AM19" s="3"/>
    </row>
    <row r="20" spans="1:39" ht="15">
      <c r="A20" s="14" t="s">
        <v>215</v>
      </c>
      <c r="B20" s="15"/>
      <c r="C20" s="15"/>
      <c r="D20" s="85">
        <v>20</v>
      </c>
      <c r="E20" s="77"/>
      <c r="F20" s="105" t="str">
        <f>HYPERLINK("https://yt3.ggpht.com/f32RswccpUylMMk5ece0uTgYQTPmiPj9iZ7aDRFONKJALLLDjDzFwwi3IzBGeDQW9zX1Hx163p4=s88-c-k-c0x00ffffff-no-rj")</f>
        <v>https://yt3.ggpht.com/f32RswccpUylMMk5ece0uTgYQTPmiPj9iZ7aDRFONKJALLLDjDzFwwi3IzBGeDQW9zX1Hx163p4=s88-c-k-c0x00ffffff-no-rj</v>
      </c>
      <c r="G20" s="15"/>
      <c r="H20" s="16" t="s">
        <v>242</v>
      </c>
      <c r="I20" s="65"/>
      <c r="J20" s="65" t="s">
        <v>159</v>
      </c>
      <c r="K20" s="107" t="s">
        <v>242</v>
      </c>
      <c r="L20" s="86">
        <v>1</v>
      </c>
      <c r="M20" s="87">
        <v>1445.0623779296875</v>
      </c>
      <c r="N20" s="87">
        <v>1829.0853271484375</v>
      </c>
      <c r="O20" s="76"/>
      <c r="P20" s="88"/>
      <c r="Q20" s="88"/>
      <c r="R20" s="89"/>
      <c r="S20" s="49">
        <v>1</v>
      </c>
      <c r="T20" s="49">
        <v>0</v>
      </c>
      <c r="U20" s="50">
        <v>0</v>
      </c>
      <c r="V20" s="50">
        <v>0.377358</v>
      </c>
      <c r="W20" s="50">
        <v>0.03815</v>
      </c>
      <c r="X20" s="50">
        <v>0.042247</v>
      </c>
      <c r="Y20" s="50">
        <v>0</v>
      </c>
      <c r="Z20" s="50">
        <v>0</v>
      </c>
      <c r="AA20" s="78">
        <v>20</v>
      </c>
      <c r="AB20" s="78"/>
      <c r="AC20" s="90"/>
      <c r="AD20" s="81" t="s">
        <v>225</v>
      </c>
      <c r="AE20" s="104" t="str">
        <f>HYPERLINK("http://www.youtube.com/channel/UCnBk2Cx65aKmRScwbk1VMQA")</f>
        <v>http://www.youtube.com/channel/UCnBk2Cx65aKmRScwbk1VMQA</v>
      </c>
      <c r="AF20" s="81" t="s">
        <v>242</v>
      </c>
      <c r="AG20" s="81" t="s">
        <v>259</v>
      </c>
      <c r="AH20" s="81" t="str">
        <f>REPLACE(INDEX(GroupVertices[Group],MATCH("~"&amp;Vertices[[#This Row],[Vertex]],GroupVertices[Vertex],0)),1,1,"")</f>
        <v>2</v>
      </c>
      <c r="AI20" s="2"/>
      <c r="AJ20" s="3"/>
      <c r="AK20" s="3"/>
      <c r="AL20" s="3"/>
      <c r="AM20" s="3"/>
    </row>
    <row r="21" spans="1:39" ht="15">
      <c r="A21" s="14" t="s">
        <v>216</v>
      </c>
      <c r="B21" s="15"/>
      <c r="C21" s="15"/>
      <c r="D21" s="85">
        <v>20</v>
      </c>
      <c r="E21" s="77"/>
      <c r="F21" s="105" t="str">
        <f>HYPERLINK("https://yt3.ggpht.com/mVPZaOgoLte2IyjrqR9s7S6MMDpvyYqsPk8-ktGyJblGoSdWbclfL4qJeHFFulgqsIY10CqD3w=s88-c-k-c0x00ffffff-no-rj")</f>
        <v>https://yt3.ggpht.com/mVPZaOgoLte2IyjrqR9s7S6MMDpvyYqsPk8-ktGyJblGoSdWbclfL4qJeHFFulgqsIY10CqD3w=s88-c-k-c0x00ffffff-no-rj</v>
      </c>
      <c r="G21" s="15"/>
      <c r="H21" s="16" t="s">
        <v>243</v>
      </c>
      <c r="I21" s="65"/>
      <c r="J21" s="65" t="s">
        <v>159</v>
      </c>
      <c r="K21" s="107" t="s">
        <v>243</v>
      </c>
      <c r="L21" s="86">
        <v>1</v>
      </c>
      <c r="M21" s="87">
        <v>1408.309814453125</v>
      </c>
      <c r="N21" s="87">
        <v>160.0449676513672</v>
      </c>
      <c r="O21" s="76"/>
      <c r="P21" s="88"/>
      <c r="Q21" s="88"/>
      <c r="R21" s="89"/>
      <c r="S21" s="49">
        <v>1</v>
      </c>
      <c r="T21" s="49">
        <v>0</v>
      </c>
      <c r="U21" s="50">
        <v>0</v>
      </c>
      <c r="V21" s="50">
        <v>0.377358</v>
      </c>
      <c r="W21" s="50">
        <v>0.03815</v>
      </c>
      <c r="X21" s="50">
        <v>0.042247</v>
      </c>
      <c r="Y21" s="50">
        <v>0</v>
      </c>
      <c r="Z21" s="50">
        <v>0</v>
      </c>
      <c r="AA21" s="78">
        <v>21</v>
      </c>
      <c r="AB21" s="78"/>
      <c r="AC21" s="90"/>
      <c r="AD21" s="81" t="s">
        <v>225</v>
      </c>
      <c r="AE21" s="104" t="str">
        <f>HYPERLINK("http://www.youtube.com/channel/UCkoFVQzbQn3ds1I5XtgEmmw")</f>
        <v>http://www.youtube.com/channel/UCkoFVQzbQn3ds1I5XtgEmmw</v>
      </c>
      <c r="AF21" s="81" t="s">
        <v>243</v>
      </c>
      <c r="AG21" s="81" t="s">
        <v>260</v>
      </c>
      <c r="AH21" s="81" t="str">
        <f>REPLACE(INDEX(GroupVertices[Group],MATCH("~"&amp;Vertices[[#This Row],[Vertex]],GroupVertices[Vertex],0)),1,1,"")</f>
        <v>2</v>
      </c>
      <c r="AI21" s="2"/>
      <c r="AJ21" s="3"/>
      <c r="AK21" s="3"/>
      <c r="AL21" s="3"/>
      <c r="AM21" s="3"/>
    </row>
    <row r="22" spans="1:39" ht="15">
      <c r="A22" s="14" t="s">
        <v>217</v>
      </c>
      <c r="B22" s="15"/>
      <c r="C22" s="15"/>
      <c r="D22" s="85">
        <v>20</v>
      </c>
      <c r="E22" s="77"/>
      <c r="F22" s="105" t="str">
        <f>HYPERLINK("https://yt3.ggpht.com/ytc/AIf8zZQAjRLVIVPIRkkEs77kVeHy5bhjp1yIZk7R8cDDcg=s88-c-k-c0x00ffffff-no-rj")</f>
        <v>https://yt3.ggpht.com/ytc/AIf8zZQAjRLVIVPIRkkEs77kVeHy5bhjp1yIZk7R8cDDcg=s88-c-k-c0x00ffffff-no-rj</v>
      </c>
      <c r="G22" s="15"/>
      <c r="H22" s="16" t="s">
        <v>244</v>
      </c>
      <c r="I22" s="65"/>
      <c r="J22" s="65" t="s">
        <v>159</v>
      </c>
      <c r="K22" s="107" t="s">
        <v>244</v>
      </c>
      <c r="L22" s="86">
        <v>1</v>
      </c>
      <c r="M22" s="87">
        <v>2002.5794677734375</v>
      </c>
      <c r="N22" s="87">
        <v>499.3730163574219</v>
      </c>
      <c r="O22" s="76"/>
      <c r="P22" s="88"/>
      <c r="Q22" s="88"/>
      <c r="R22" s="89"/>
      <c r="S22" s="49">
        <v>1</v>
      </c>
      <c r="T22" s="49">
        <v>0</v>
      </c>
      <c r="U22" s="50">
        <v>0</v>
      </c>
      <c r="V22" s="50">
        <v>0.377358</v>
      </c>
      <c r="W22" s="50">
        <v>0.03815</v>
      </c>
      <c r="X22" s="50">
        <v>0.042247</v>
      </c>
      <c r="Y22" s="50">
        <v>0</v>
      </c>
      <c r="Z22" s="50">
        <v>0</v>
      </c>
      <c r="AA22" s="78">
        <v>22</v>
      </c>
      <c r="AB22" s="78"/>
      <c r="AC22" s="90"/>
      <c r="AD22" s="81" t="s">
        <v>225</v>
      </c>
      <c r="AE22" s="104" t="str">
        <f>HYPERLINK("http://www.youtube.com/channel/UCKhjYwhclvZ7yyhiAq1qpqw")</f>
        <v>http://www.youtube.com/channel/UCKhjYwhclvZ7yyhiAq1qpqw</v>
      </c>
      <c r="AF22" s="81" t="s">
        <v>244</v>
      </c>
      <c r="AG22" s="81" t="s">
        <v>261</v>
      </c>
      <c r="AH22" s="81" t="str">
        <f>REPLACE(INDEX(GroupVertices[Group],MATCH("~"&amp;Vertices[[#This Row],[Vertex]],GroupVertices[Vertex],0)),1,1,"")</f>
        <v>2</v>
      </c>
      <c r="AI22" s="2"/>
      <c r="AJ22" s="3"/>
      <c r="AK22" s="3"/>
      <c r="AL22" s="3"/>
      <c r="AM22" s="3"/>
    </row>
    <row r="23" spans="1:39" ht="15">
      <c r="A23" s="91" t="s">
        <v>218</v>
      </c>
      <c r="B23" s="92"/>
      <c r="C23" s="92"/>
      <c r="D23" s="93">
        <v>20</v>
      </c>
      <c r="E23" s="94"/>
      <c r="F23" s="106" t="str">
        <f>HYPERLINK("https://yt3.ggpht.com/ytc/AIf8zZTZg2HgsFfDPOrYHpTUxzcxkRl5WdjqyD9EI6-T=s88-c-k-c0x00ffffff-no-rj")</f>
        <v>https://yt3.ggpht.com/ytc/AIf8zZTZg2HgsFfDPOrYHpTUxzcxkRl5WdjqyD9EI6-T=s88-c-k-c0x00ffffff-no-rj</v>
      </c>
      <c r="G23" s="92"/>
      <c r="H23" s="95" t="s">
        <v>245</v>
      </c>
      <c r="I23" s="96"/>
      <c r="J23" s="96" t="s">
        <v>159</v>
      </c>
      <c r="K23" s="108" t="s">
        <v>245</v>
      </c>
      <c r="L23" s="97">
        <v>1</v>
      </c>
      <c r="M23" s="98">
        <v>2636.517333984375</v>
      </c>
      <c r="N23" s="98">
        <v>892.6810913085938</v>
      </c>
      <c r="O23" s="99"/>
      <c r="P23" s="100"/>
      <c r="Q23" s="100"/>
      <c r="R23" s="101"/>
      <c r="S23" s="49">
        <v>1</v>
      </c>
      <c r="T23" s="49">
        <v>0</v>
      </c>
      <c r="U23" s="50">
        <v>0</v>
      </c>
      <c r="V23" s="50">
        <v>0.377358</v>
      </c>
      <c r="W23" s="50">
        <v>0.03815</v>
      </c>
      <c r="X23" s="50">
        <v>0.042247</v>
      </c>
      <c r="Y23" s="50">
        <v>0</v>
      </c>
      <c r="Z23" s="50">
        <v>0</v>
      </c>
      <c r="AA23" s="102">
        <v>23</v>
      </c>
      <c r="AB23" s="102"/>
      <c r="AC23" s="103"/>
      <c r="AD23" s="81" t="s">
        <v>225</v>
      </c>
      <c r="AE23" s="104" t="str">
        <f>HYPERLINK("http://www.youtube.com/channel/UCF619Hr920_s4YoDOLk1J3g")</f>
        <v>http://www.youtube.com/channel/UCF619Hr920_s4YoDOLk1J3g</v>
      </c>
      <c r="AF23" s="81" t="s">
        <v>245</v>
      </c>
      <c r="AG23" s="81" t="s">
        <v>262</v>
      </c>
      <c r="AH23" s="81" t="str">
        <f>REPLACE(INDEX(GroupVertices[Group],MATCH("~"&amp;Vertices[[#This Row],[Vertex]],GroupVertices[Vertex],0)),1,1,"")</f>
        <v>2</v>
      </c>
      <c r="AI23" s="2"/>
      <c r="AJ23" s="3"/>
      <c r="AK23" s="3"/>
      <c r="AL23" s="3"/>
      <c r="AM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AI3"/>
    <dataValidation allowBlank="1" showErrorMessage="1" sqref="AI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7" t="s">
        <v>39</v>
      </c>
      <c r="C1" s="68"/>
      <c r="D1" s="68"/>
      <c r="E1" s="69"/>
      <c r="F1" s="65" t="s">
        <v>43</v>
      </c>
      <c r="G1" s="70" t="s">
        <v>44</v>
      </c>
      <c r="H1" s="71"/>
      <c r="I1" s="72" t="s">
        <v>40</v>
      </c>
      <c r="J1" s="73"/>
      <c r="K1" s="74" t="s">
        <v>42</v>
      </c>
      <c r="L1" s="75"/>
      <c r="M1" s="75"/>
      <c r="N1" s="75"/>
      <c r="O1" s="75"/>
      <c r="P1" s="75"/>
      <c r="Q1" s="75"/>
      <c r="R1" s="75"/>
      <c r="S1" s="75"/>
      <c r="T1" s="75"/>
      <c r="U1" s="75"/>
      <c r="V1" s="75"/>
      <c r="W1" s="75"/>
      <c r="X1" s="75"/>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80" t="s">
        <v>292</v>
      </c>
      <c r="B3" s="114" t="s">
        <v>294</v>
      </c>
      <c r="C3" s="114" t="s">
        <v>56</v>
      </c>
      <c r="D3" s="112"/>
      <c r="E3" s="15"/>
      <c r="F3" s="16"/>
      <c r="G3" s="76"/>
      <c r="H3" s="76"/>
      <c r="I3" s="113">
        <v>3</v>
      </c>
      <c r="J3" s="62"/>
      <c r="K3" s="49">
        <v>14</v>
      </c>
      <c r="L3" s="49">
        <v>13</v>
      </c>
      <c r="M3" s="49">
        <v>0</v>
      </c>
      <c r="N3" s="49">
        <v>13</v>
      </c>
      <c r="O3" s="49">
        <v>0</v>
      </c>
      <c r="P3" s="50">
        <v>0</v>
      </c>
      <c r="Q3" s="50">
        <v>0</v>
      </c>
      <c r="R3" s="49">
        <v>1</v>
      </c>
      <c r="S3" s="49">
        <v>0</v>
      </c>
      <c r="T3" s="49">
        <v>14</v>
      </c>
      <c r="U3" s="49">
        <v>13</v>
      </c>
      <c r="V3" s="49">
        <v>2</v>
      </c>
      <c r="W3" s="50">
        <v>1.72449</v>
      </c>
      <c r="X3" s="50">
        <v>0.07142857142857142</v>
      </c>
    </row>
    <row r="4" spans="1:24" ht="15">
      <c r="A4" s="116" t="s">
        <v>293</v>
      </c>
      <c r="B4" s="114" t="s">
        <v>295</v>
      </c>
      <c r="C4" s="114" t="s">
        <v>56</v>
      </c>
      <c r="D4" s="117"/>
      <c r="E4" s="92"/>
      <c r="F4" s="95"/>
      <c r="G4" s="99"/>
      <c r="H4" s="99"/>
      <c r="I4" s="118">
        <v>4</v>
      </c>
      <c r="J4" s="102"/>
      <c r="K4" s="49">
        <v>7</v>
      </c>
      <c r="L4" s="49">
        <v>6</v>
      </c>
      <c r="M4" s="49">
        <v>0</v>
      </c>
      <c r="N4" s="49">
        <v>6</v>
      </c>
      <c r="O4" s="49">
        <v>0</v>
      </c>
      <c r="P4" s="50">
        <v>0</v>
      </c>
      <c r="Q4" s="50">
        <v>0</v>
      </c>
      <c r="R4" s="49">
        <v>1</v>
      </c>
      <c r="S4" s="49">
        <v>0</v>
      </c>
      <c r="T4" s="49">
        <v>7</v>
      </c>
      <c r="U4" s="49">
        <v>6</v>
      </c>
      <c r="V4" s="49">
        <v>3</v>
      </c>
      <c r="W4" s="50">
        <v>1.632653</v>
      </c>
      <c r="X4" s="50">
        <v>0.14285714285714285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
  <sheetViews>
    <sheetView workbookViewId="0" topLeftCell="A1">
      <selection activeCell="H25" sqref="H25"/>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292</v>
      </c>
      <c r="B2" s="115" t="s">
        <v>199</v>
      </c>
      <c r="C2" s="81">
        <f>VLOOKUP("~"&amp;GroupVertices[[#This Row],[Vertex]],Vertices[],MATCH("ID",Vertices[[#Headers],[Vertex]:[Vertex Group]],0),FALSE)</f>
        <v>3</v>
      </c>
    </row>
    <row r="3" spans="1:3" ht="15">
      <c r="A3" s="82" t="s">
        <v>292</v>
      </c>
      <c r="B3" s="115" t="s">
        <v>213</v>
      </c>
      <c r="C3" s="81">
        <f>VLOOKUP("~"&amp;GroupVertices[[#This Row],[Vertex]],Vertices[],MATCH("ID",Vertices[[#Headers],[Vertex]:[Vertex Group]],0),FALSE)</f>
        <v>18</v>
      </c>
    </row>
    <row r="4" spans="1:3" ht="15">
      <c r="A4" s="82" t="s">
        <v>292</v>
      </c>
      <c r="B4" s="115" t="s">
        <v>212</v>
      </c>
      <c r="C4" s="81">
        <f>VLOOKUP("~"&amp;GroupVertices[[#This Row],[Vertex]],Vertices[],MATCH("ID",Vertices[[#Headers],[Vertex]:[Vertex Group]],0),FALSE)</f>
        <v>17</v>
      </c>
    </row>
    <row r="5" spans="1:3" ht="15">
      <c r="A5" s="82" t="s">
        <v>292</v>
      </c>
      <c r="B5" s="115" t="s">
        <v>211</v>
      </c>
      <c r="C5" s="81">
        <f>VLOOKUP("~"&amp;GroupVertices[[#This Row],[Vertex]],Vertices[],MATCH("ID",Vertices[[#Headers],[Vertex]:[Vertex Group]],0),FALSE)</f>
        <v>16</v>
      </c>
    </row>
    <row r="6" spans="1:3" ht="15">
      <c r="A6" s="82" t="s">
        <v>292</v>
      </c>
      <c r="B6" s="115" t="s">
        <v>210</v>
      </c>
      <c r="C6" s="81">
        <f>VLOOKUP("~"&amp;GroupVertices[[#This Row],[Vertex]],Vertices[],MATCH("ID",Vertices[[#Headers],[Vertex]:[Vertex Group]],0),FALSE)</f>
        <v>15</v>
      </c>
    </row>
    <row r="7" spans="1:3" ht="15">
      <c r="A7" s="82" t="s">
        <v>292</v>
      </c>
      <c r="B7" s="115" t="s">
        <v>209</v>
      </c>
      <c r="C7" s="81">
        <f>VLOOKUP("~"&amp;GroupVertices[[#This Row],[Vertex]],Vertices[],MATCH("ID",Vertices[[#Headers],[Vertex]:[Vertex Group]],0),FALSE)</f>
        <v>14</v>
      </c>
    </row>
    <row r="8" spans="1:3" ht="15">
      <c r="A8" s="82" t="s">
        <v>292</v>
      </c>
      <c r="B8" s="115" t="s">
        <v>208</v>
      </c>
      <c r="C8" s="81">
        <f>VLOOKUP("~"&amp;GroupVertices[[#This Row],[Vertex]],Vertices[],MATCH("ID",Vertices[[#Headers],[Vertex]:[Vertex Group]],0),FALSE)</f>
        <v>13</v>
      </c>
    </row>
    <row r="9" spans="1:3" ht="15">
      <c r="A9" s="82" t="s">
        <v>292</v>
      </c>
      <c r="B9" s="115" t="s">
        <v>207</v>
      </c>
      <c r="C9" s="81">
        <f>VLOOKUP("~"&amp;GroupVertices[[#This Row],[Vertex]],Vertices[],MATCH("ID",Vertices[[#Headers],[Vertex]:[Vertex Group]],0),FALSE)</f>
        <v>12</v>
      </c>
    </row>
    <row r="10" spans="1:3" ht="15">
      <c r="A10" s="82" t="s">
        <v>292</v>
      </c>
      <c r="B10" s="115" t="s">
        <v>206</v>
      </c>
      <c r="C10" s="81">
        <f>VLOOKUP("~"&amp;GroupVertices[[#This Row],[Vertex]],Vertices[],MATCH("ID",Vertices[[#Headers],[Vertex]:[Vertex Group]],0),FALSE)</f>
        <v>11</v>
      </c>
    </row>
    <row r="11" spans="1:3" ht="15">
      <c r="A11" s="82" t="s">
        <v>292</v>
      </c>
      <c r="B11" s="115" t="s">
        <v>205</v>
      </c>
      <c r="C11" s="81">
        <f>VLOOKUP("~"&amp;GroupVertices[[#This Row],[Vertex]],Vertices[],MATCH("ID",Vertices[[#Headers],[Vertex]:[Vertex Group]],0),FALSE)</f>
        <v>10</v>
      </c>
    </row>
    <row r="12" spans="1:3" ht="15">
      <c r="A12" s="82" t="s">
        <v>292</v>
      </c>
      <c r="B12" s="115" t="s">
        <v>204</v>
      </c>
      <c r="C12" s="81">
        <f>VLOOKUP("~"&amp;GroupVertices[[#This Row],[Vertex]],Vertices[],MATCH("ID",Vertices[[#Headers],[Vertex]:[Vertex Group]],0),FALSE)</f>
        <v>9</v>
      </c>
    </row>
    <row r="13" spans="1:3" ht="15">
      <c r="A13" s="82" t="s">
        <v>292</v>
      </c>
      <c r="B13" s="115" t="s">
        <v>203</v>
      </c>
      <c r="C13" s="81">
        <f>VLOOKUP("~"&amp;GroupVertices[[#This Row],[Vertex]],Vertices[],MATCH("ID",Vertices[[#Headers],[Vertex]:[Vertex Group]],0),FALSE)</f>
        <v>8</v>
      </c>
    </row>
    <row r="14" spans="1:3" ht="15">
      <c r="A14" s="82" t="s">
        <v>292</v>
      </c>
      <c r="B14" s="115" t="s">
        <v>202</v>
      </c>
      <c r="C14" s="81">
        <f>VLOOKUP("~"&amp;GroupVertices[[#This Row],[Vertex]],Vertices[],MATCH("ID",Vertices[[#Headers],[Vertex]:[Vertex Group]],0),FALSE)</f>
        <v>7</v>
      </c>
    </row>
    <row r="15" spans="1:3" ht="15">
      <c r="A15" s="82" t="s">
        <v>292</v>
      </c>
      <c r="B15" s="115" t="s">
        <v>219</v>
      </c>
      <c r="C15" s="81">
        <f>VLOOKUP("~"&amp;GroupVertices[[#This Row],[Vertex]],Vertices[],MATCH("ID",Vertices[[#Headers],[Vertex]:[Vertex Group]],0),FALSE)</f>
        <v>6</v>
      </c>
    </row>
    <row r="16" spans="1:3" ht="15">
      <c r="A16" s="82" t="s">
        <v>293</v>
      </c>
      <c r="B16" s="115" t="s">
        <v>201</v>
      </c>
      <c r="C16" s="81">
        <f>VLOOKUP("~"&amp;GroupVertices[[#This Row],[Vertex]],Vertices[],MATCH("ID",Vertices[[#Headers],[Vertex]:[Vertex Group]],0),FALSE)</f>
        <v>4</v>
      </c>
    </row>
    <row r="17" spans="1:3" ht="15">
      <c r="A17" s="82" t="s">
        <v>293</v>
      </c>
      <c r="B17" s="115" t="s">
        <v>218</v>
      </c>
      <c r="C17" s="81">
        <f>VLOOKUP("~"&amp;GroupVertices[[#This Row],[Vertex]],Vertices[],MATCH("ID",Vertices[[#Headers],[Vertex]:[Vertex Group]],0),FALSE)</f>
        <v>23</v>
      </c>
    </row>
    <row r="18" spans="1:3" ht="15">
      <c r="A18" s="82" t="s">
        <v>293</v>
      </c>
      <c r="B18" s="115" t="s">
        <v>217</v>
      </c>
      <c r="C18" s="81">
        <f>VLOOKUP("~"&amp;GroupVertices[[#This Row],[Vertex]],Vertices[],MATCH("ID",Vertices[[#Headers],[Vertex]:[Vertex Group]],0),FALSE)</f>
        <v>22</v>
      </c>
    </row>
    <row r="19" spans="1:3" ht="15">
      <c r="A19" s="82" t="s">
        <v>293</v>
      </c>
      <c r="B19" s="115" t="s">
        <v>216</v>
      </c>
      <c r="C19" s="81">
        <f>VLOOKUP("~"&amp;GroupVertices[[#This Row],[Vertex]],Vertices[],MATCH("ID",Vertices[[#Headers],[Vertex]:[Vertex Group]],0),FALSE)</f>
        <v>21</v>
      </c>
    </row>
    <row r="20" spans="1:3" ht="15">
      <c r="A20" s="82" t="s">
        <v>293</v>
      </c>
      <c r="B20" s="115" t="s">
        <v>215</v>
      </c>
      <c r="C20" s="81">
        <f>VLOOKUP("~"&amp;GroupVertices[[#This Row],[Vertex]],Vertices[],MATCH("ID",Vertices[[#Headers],[Vertex]:[Vertex Group]],0),FALSE)</f>
        <v>20</v>
      </c>
    </row>
    <row r="21" spans="1:3" ht="15">
      <c r="A21" s="82" t="s">
        <v>293</v>
      </c>
      <c r="B21" s="115" t="s">
        <v>200</v>
      </c>
      <c r="C21" s="81">
        <f>VLOOKUP("~"&amp;GroupVertices[[#This Row],[Vertex]],Vertices[],MATCH("ID",Vertices[[#Headers],[Vertex]:[Vertex Group]],0),FALSE)</f>
        <v>5</v>
      </c>
    </row>
    <row r="22" spans="1:3" ht="15">
      <c r="A22" s="82" t="s">
        <v>293</v>
      </c>
      <c r="B22" s="115" t="s">
        <v>214</v>
      </c>
      <c r="C22" s="81">
        <f>VLOOKUP("~"&amp;GroupVertices[[#This Row],[Vertex]],Vertices[],MATCH("ID",Vertices[[#Headers],[Vertex]:[Vertex Group]],0),FALSE)</f>
        <v>19</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tabSelected="1" workbookViewId="0" topLeftCell="A85">
      <selection activeCell="Z12" sqref="Z12"/>
    </sheetView>
  </sheetViews>
  <sheetFormatPr defaultColWidth="9.140625" defaultRowHeight="15"/>
  <cols>
    <col min="1" max="1" width="43.140625" style="0" customWidth="1"/>
    <col min="2" max="2" width="53.8515625" style="81"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81"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266</v>
      </c>
      <c r="B2" s="36" t="s">
        <v>192</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18</v>
      </c>
      <c r="L2" s="39">
        <f>MIN(Vertices[Closeness Centrality])</f>
        <v>0.285714</v>
      </c>
      <c r="M2" s="40">
        <f>COUNTIF(Vertices[Closeness Centrality],"&gt;= "&amp;L2)-COUNTIF(Vertices[Closeness Centrality],"&gt;="&amp;L3)</f>
        <v>1</v>
      </c>
      <c r="N2" s="39">
        <f>MIN(Vertices[Eigenvector Centrality])</f>
        <v>0.026877</v>
      </c>
      <c r="O2" s="40">
        <f>COUNTIF(Vertices[Eigenvector Centrality],"&gt;= "&amp;N2)-COUNTIF(Vertices[Eigenvector Centrality],"&gt;="&amp;N3)</f>
        <v>1</v>
      </c>
      <c r="P2" s="39">
        <f>MIN(Vertices[PageRank])</f>
        <v>0.041802</v>
      </c>
      <c r="Q2" s="40">
        <f>COUNTIF(Vertices[PageRank],"&gt;= "&amp;P2)-COUNTIF(Vertices[PageRank],"&gt;="&amp;P3)</f>
        <v>18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09"/>
      <c r="B3" s="109"/>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9.941176470588236</v>
      </c>
      <c r="K3" s="42">
        <f>COUNTIF(Vertices[Betweenness Centrality],"&gt;= "&amp;J3)-COUNTIF(Vertices[Betweenness Centrality],"&gt;="&amp;J4)</f>
        <v>0</v>
      </c>
      <c r="L3" s="41">
        <f aca="true" t="shared" si="5" ref="L3:L35">L2+($L$36-$L$2)/BinDivisor</f>
        <v>0.29909714705882356</v>
      </c>
      <c r="M3" s="42">
        <f>COUNTIF(Vertices[Closeness Centrality],"&gt;= "&amp;L3)-COUNTIF(Vertices[Closeness Centrality],"&gt;="&amp;L4)</f>
        <v>0</v>
      </c>
      <c r="N3" s="41">
        <f aca="true" t="shared" si="6" ref="N3:N35">N2+($N$36-$N$2)/BinDivisor</f>
        <v>0.03678682352941177</v>
      </c>
      <c r="O3" s="42">
        <f>COUNTIF(Vertices[Eigenvector Centrality],"&gt;= "&amp;N3)-COUNTIF(Vertices[Eigenvector Centrality],"&gt;="&amp;N4)</f>
        <v>5</v>
      </c>
      <c r="P3" s="41">
        <f aca="true" t="shared" si="7" ref="P3:P35">P2+($P$36-$P$2)/BinDivisor</f>
        <v>0.044212676470588234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0.058823529411764705</v>
      </c>
      <c r="G4" s="40">
        <f>COUNTIF(Vertices[In-Degree],"&gt;= "&amp;F4)-COUNTIF(Vertices[In-Degree],"&gt;="&amp;F5)</f>
        <v>0</v>
      </c>
      <c r="H4" s="39">
        <f t="shared" si="3"/>
        <v>0.7647058823529411</v>
      </c>
      <c r="I4" s="40">
        <f>COUNTIF(Vertices[Out-Degree],"&gt;= "&amp;H4)-COUNTIF(Vertices[Out-Degree],"&gt;="&amp;H5)</f>
        <v>1</v>
      </c>
      <c r="J4" s="39">
        <f t="shared" si="4"/>
        <v>19.88235294117647</v>
      </c>
      <c r="K4" s="40">
        <f>COUNTIF(Vertices[Betweenness Centrality],"&gt;= "&amp;J4)-COUNTIF(Vertices[Betweenness Centrality],"&gt;="&amp;J5)</f>
        <v>0</v>
      </c>
      <c r="L4" s="39">
        <f t="shared" si="5"/>
        <v>0.3124802941176471</v>
      </c>
      <c r="M4" s="40">
        <f>COUNTIF(Vertices[Closeness Centrality],"&gt;= "&amp;L4)-COUNTIF(Vertices[Closeness Centrality],"&gt;="&amp;L5)</f>
        <v>0</v>
      </c>
      <c r="N4" s="39">
        <f t="shared" si="6"/>
        <v>0.04669664705882353</v>
      </c>
      <c r="O4" s="40">
        <f>COUNTIF(Vertices[Eigenvector Centrality],"&gt;= "&amp;N4)-COUNTIF(Vertices[Eigenvector Centrality],"&gt;="&amp;N5)</f>
        <v>0</v>
      </c>
      <c r="P4" s="39">
        <f t="shared" si="7"/>
        <v>0.04662335294117647</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09"/>
      <c r="B5" s="109"/>
      <c r="D5" s="34">
        <f t="shared" si="1"/>
        <v>0</v>
      </c>
      <c r="E5" s="3">
        <f>COUNTIF(Vertices[Degree],"&gt;= "&amp;D5)-COUNTIF(Vertices[Degree],"&gt;="&amp;D6)</f>
        <v>0</v>
      </c>
      <c r="F5" s="41">
        <f t="shared" si="2"/>
        <v>0.08823529411764705</v>
      </c>
      <c r="G5" s="42">
        <f>COUNTIF(Vertices[In-Degree],"&gt;= "&amp;F5)-COUNTIF(Vertices[In-Degree],"&gt;="&amp;F6)</f>
        <v>0</v>
      </c>
      <c r="H5" s="41">
        <f t="shared" si="3"/>
        <v>1.1470588235294117</v>
      </c>
      <c r="I5" s="42">
        <f>COUNTIF(Vertices[Out-Degree],"&gt;= "&amp;H5)-COUNTIF(Vertices[Out-Degree],"&gt;="&amp;H6)</f>
        <v>0</v>
      </c>
      <c r="J5" s="41">
        <f t="shared" si="4"/>
        <v>29.823529411764707</v>
      </c>
      <c r="K5" s="42">
        <f>COUNTIF(Vertices[Betweenness Centrality],"&gt;= "&amp;J5)-COUNTIF(Vertices[Betweenness Centrality],"&gt;="&amp;J6)</f>
        <v>1</v>
      </c>
      <c r="L5" s="41">
        <f t="shared" si="5"/>
        <v>0.32586344117647065</v>
      </c>
      <c r="M5" s="42">
        <f>COUNTIF(Vertices[Closeness Centrality],"&gt;= "&amp;L5)-COUNTIF(Vertices[Closeness Centrality],"&gt;="&amp;L6)</f>
        <v>0</v>
      </c>
      <c r="N5" s="41">
        <f t="shared" si="6"/>
        <v>0.05660647058823529</v>
      </c>
      <c r="O5" s="42">
        <f>COUNTIF(Vertices[Eigenvector Centrality],"&gt;= "&amp;N5)-COUNTIF(Vertices[Eigenvector Centrality],"&gt;="&amp;N6)</f>
        <v>0</v>
      </c>
      <c r="P5" s="41">
        <f t="shared" si="7"/>
        <v>0.049034029411764705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0.11764705882352941</v>
      </c>
      <c r="G6" s="40">
        <f>COUNTIF(Vertices[In-Degree],"&gt;= "&amp;F6)-COUNTIF(Vertices[In-Degree],"&gt;="&amp;F7)</f>
        <v>0</v>
      </c>
      <c r="H6" s="39">
        <f t="shared" si="3"/>
        <v>1.5294117647058822</v>
      </c>
      <c r="I6" s="40">
        <f>COUNTIF(Vertices[Out-Degree],"&gt;= "&amp;H6)-COUNTIF(Vertices[Out-Degree],"&gt;="&amp;H7)</f>
        <v>0</v>
      </c>
      <c r="J6" s="39">
        <f t="shared" si="4"/>
        <v>39.76470588235294</v>
      </c>
      <c r="K6" s="40">
        <f>COUNTIF(Vertices[Betweenness Centrality],"&gt;= "&amp;J6)-COUNTIF(Vertices[Betweenness Centrality],"&gt;="&amp;J7)</f>
        <v>0</v>
      </c>
      <c r="L6" s="39">
        <f t="shared" si="5"/>
        <v>0.3392465882352942</v>
      </c>
      <c r="M6" s="40">
        <f>COUNTIF(Vertices[Closeness Centrality],"&gt;= "&amp;L6)-COUNTIF(Vertices[Closeness Centrality],"&gt;="&amp;L7)</f>
        <v>0</v>
      </c>
      <c r="N6" s="39">
        <f t="shared" si="6"/>
        <v>0.06651629411764706</v>
      </c>
      <c r="O6" s="40">
        <f>COUNTIF(Vertices[Eigenvector Centrality],"&gt;= "&amp;N6)-COUNTIF(Vertices[Eigenvector Centrality],"&gt;="&amp;N7)</f>
        <v>0</v>
      </c>
      <c r="P6" s="39">
        <f t="shared" si="7"/>
        <v>0.05144470588235294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1.9117647058823528</v>
      </c>
      <c r="I7" s="42">
        <f>COUNTIF(Vertices[Out-Degree],"&gt;= "&amp;H7)-COUNTIF(Vertices[Out-Degree],"&gt;="&amp;H8)</f>
        <v>0</v>
      </c>
      <c r="J7" s="41">
        <f t="shared" si="4"/>
        <v>49.705882352941174</v>
      </c>
      <c r="K7" s="42">
        <f>COUNTIF(Vertices[Betweenness Centrality],"&gt;= "&amp;J7)-COUNTIF(Vertices[Betweenness Centrality],"&gt;="&amp;J8)</f>
        <v>0</v>
      </c>
      <c r="L7" s="41">
        <f t="shared" si="5"/>
        <v>0.35262973529411773</v>
      </c>
      <c r="M7" s="42">
        <f>COUNTIF(Vertices[Closeness Centrality],"&gt;= "&amp;L7)-COUNTIF(Vertices[Closeness Centrality],"&gt;="&amp;L8)</f>
        <v>0</v>
      </c>
      <c r="N7" s="41">
        <f t="shared" si="6"/>
        <v>0.07642611764705882</v>
      </c>
      <c r="O7" s="42">
        <f>COUNTIF(Vertices[Eigenvector Centrality],"&gt;= "&amp;N7)-COUNTIF(Vertices[Eigenvector Centrality],"&gt;="&amp;N8)</f>
        <v>0</v>
      </c>
      <c r="P7" s="41">
        <f t="shared" si="7"/>
        <v>0.05385538235294118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0.17647058823529413</v>
      </c>
      <c r="G8" s="40">
        <f>COUNTIF(Vertices[In-Degree],"&gt;= "&amp;F8)-COUNTIF(Vertices[In-Degree],"&gt;="&amp;F9)</f>
        <v>0</v>
      </c>
      <c r="H8" s="39">
        <f t="shared" si="3"/>
        <v>2.2941176470588234</v>
      </c>
      <c r="I8" s="40">
        <f>COUNTIF(Vertices[Out-Degree],"&gt;= "&amp;H8)-COUNTIF(Vertices[Out-Degree],"&gt;="&amp;H9)</f>
        <v>0</v>
      </c>
      <c r="J8" s="39">
        <f t="shared" si="4"/>
        <v>59.647058823529406</v>
      </c>
      <c r="K8" s="40">
        <f>COUNTIF(Vertices[Betweenness Centrality],"&gt;= "&amp;J8)-COUNTIF(Vertices[Betweenness Centrality],"&gt;="&amp;J9)</f>
        <v>0</v>
      </c>
      <c r="L8" s="39">
        <f t="shared" si="5"/>
        <v>0.36601288235294127</v>
      </c>
      <c r="M8" s="40">
        <f>COUNTIF(Vertices[Closeness Centrality],"&gt;= "&amp;L8)-COUNTIF(Vertices[Closeness Centrality],"&gt;="&amp;L9)</f>
        <v>4</v>
      </c>
      <c r="N8" s="39">
        <f t="shared" si="6"/>
        <v>0.08633594117647059</v>
      </c>
      <c r="O8" s="40">
        <f>COUNTIF(Vertices[Eigenvector Centrality],"&gt;= "&amp;N8)-COUNTIF(Vertices[Eigenvector Centrality],"&gt;="&amp;N9)</f>
        <v>0</v>
      </c>
      <c r="P8" s="39">
        <f t="shared" si="7"/>
        <v>0.05626605882352941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09"/>
      <c r="B9" s="109"/>
      <c r="D9" s="34">
        <f t="shared" si="1"/>
        <v>0</v>
      </c>
      <c r="E9" s="3">
        <f>COUNTIF(Vertices[Degree],"&gt;= "&amp;D9)-COUNTIF(Vertices[Degree],"&gt;="&amp;D10)</f>
        <v>0</v>
      </c>
      <c r="F9" s="41">
        <f t="shared" si="2"/>
        <v>0.2058823529411765</v>
      </c>
      <c r="G9" s="42">
        <f>COUNTIF(Vertices[In-Degree],"&gt;= "&amp;F9)-COUNTIF(Vertices[In-Degree],"&gt;="&amp;F10)</f>
        <v>0</v>
      </c>
      <c r="H9" s="41">
        <f t="shared" si="3"/>
        <v>2.676470588235294</v>
      </c>
      <c r="I9" s="42">
        <f>COUNTIF(Vertices[Out-Degree],"&gt;= "&amp;H9)-COUNTIF(Vertices[Out-Degree],"&gt;="&amp;H10)</f>
        <v>0</v>
      </c>
      <c r="J9" s="41">
        <f t="shared" si="4"/>
        <v>69.58823529411764</v>
      </c>
      <c r="K9" s="42">
        <f>COUNTIF(Vertices[Betweenness Centrality],"&gt;= "&amp;J9)-COUNTIF(Vertices[Betweenness Centrality],"&gt;="&amp;J10)</f>
        <v>0</v>
      </c>
      <c r="L9" s="41">
        <f t="shared" si="5"/>
        <v>0.3793960294117648</v>
      </c>
      <c r="M9" s="42">
        <f>COUNTIF(Vertices[Closeness Centrality],"&gt;= "&amp;L9)-COUNTIF(Vertices[Closeness Centrality],"&gt;="&amp;L10)</f>
        <v>1</v>
      </c>
      <c r="N9" s="41">
        <f t="shared" si="6"/>
        <v>0.09624576470588235</v>
      </c>
      <c r="O9" s="42">
        <f>COUNTIF(Vertices[Eigenvector Centrality],"&gt;= "&amp;N9)-COUNTIF(Vertices[Eigenvector Centrality],"&gt;="&amp;N10)</f>
        <v>0</v>
      </c>
      <c r="P9" s="41">
        <f t="shared" si="7"/>
        <v>0.05867673529411765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0.23529411764705885</v>
      </c>
      <c r="G10" s="40">
        <f>COUNTIF(Vertices[In-Degree],"&gt;= "&amp;F10)-COUNTIF(Vertices[In-Degree],"&gt;="&amp;F11)</f>
        <v>0</v>
      </c>
      <c r="H10" s="39">
        <f t="shared" si="3"/>
        <v>3.0588235294117645</v>
      </c>
      <c r="I10" s="40">
        <f>COUNTIF(Vertices[Out-Degree],"&gt;= "&amp;H10)-COUNTIF(Vertices[Out-Degree],"&gt;="&amp;H11)</f>
        <v>0</v>
      </c>
      <c r="J10" s="39">
        <f t="shared" si="4"/>
        <v>79.52941176470587</v>
      </c>
      <c r="K10" s="40">
        <f>COUNTIF(Vertices[Betweenness Centrality],"&gt;= "&amp;J10)-COUNTIF(Vertices[Betweenness Centrality],"&gt;="&amp;J11)</f>
        <v>0</v>
      </c>
      <c r="L10" s="39">
        <f t="shared" si="5"/>
        <v>0.39277917647058835</v>
      </c>
      <c r="M10" s="40">
        <f>COUNTIF(Vertices[Closeness Centrality],"&gt;= "&amp;L10)-COUNTIF(Vertices[Closeness Centrality],"&gt;="&amp;L11)</f>
        <v>0</v>
      </c>
      <c r="N10" s="39">
        <f t="shared" si="6"/>
        <v>0.10615558823529411</v>
      </c>
      <c r="O10" s="40">
        <f>COUNTIF(Vertices[Eigenvector Centrality],"&gt;= "&amp;N10)-COUNTIF(Vertices[Eigenvector Centrality],"&gt;="&amp;N11)</f>
        <v>0</v>
      </c>
      <c r="P10" s="39">
        <f t="shared" si="7"/>
        <v>0.06108741176470588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09"/>
      <c r="B11" s="109"/>
      <c r="D11" s="34">
        <f t="shared" si="1"/>
        <v>0</v>
      </c>
      <c r="E11" s="3">
        <f>COUNTIF(Vertices[Degree],"&gt;= "&amp;D11)-COUNTIF(Vertices[Degree],"&gt;="&amp;D12)</f>
        <v>0</v>
      </c>
      <c r="F11" s="41">
        <f t="shared" si="2"/>
        <v>0.2647058823529412</v>
      </c>
      <c r="G11" s="42">
        <f>COUNTIF(Vertices[In-Degree],"&gt;= "&amp;F11)-COUNTIF(Vertices[In-Degree],"&gt;="&amp;F12)</f>
        <v>0</v>
      </c>
      <c r="H11" s="41">
        <f t="shared" si="3"/>
        <v>3.441176470588235</v>
      </c>
      <c r="I11" s="42">
        <f>COUNTIF(Vertices[Out-Degree],"&gt;= "&amp;H11)-COUNTIF(Vertices[Out-Degree],"&gt;="&amp;H12)</f>
        <v>0</v>
      </c>
      <c r="J11" s="41">
        <f t="shared" si="4"/>
        <v>89.4705882352941</v>
      </c>
      <c r="K11" s="42">
        <f>COUNTIF(Vertices[Betweenness Centrality],"&gt;= "&amp;J11)-COUNTIF(Vertices[Betweenness Centrality],"&gt;="&amp;J12)</f>
        <v>0</v>
      </c>
      <c r="L11" s="41">
        <f t="shared" si="5"/>
        <v>0.4061623235294119</v>
      </c>
      <c r="M11" s="42">
        <f>COUNTIF(Vertices[Closeness Centrality],"&gt;= "&amp;L11)-COUNTIF(Vertices[Closeness Centrality],"&gt;="&amp;L12)</f>
        <v>0</v>
      </c>
      <c r="N11" s="41">
        <f t="shared" si="6"/>
        <v>0.11606541176470588</v>
      </c>
      <c r="O11" s="42">
        <f>COUNTIF(Vertices[Eigenvector Centrality],"&gt;= "&amp;N11)-COUNTIF(Vertices[Eigenvector Centrality],"&gt;="&amp;N12)</f>
        <v>0</v>
      </c>
      <c r="P11" s="41">
        <f t="shared" si="7"/>
        <v>0.06349808823529413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0.29411764705882354</v>
      </c>
      <c r="G12" s="40">
        <f>COUNTIF(Vertices[In-Degree],"&gt;= "&amp;F12)-COUNTIF(Vertices[In-Degree],"&gt;="&amp;F13)</f>
        <v>0</v>
      </c>
      <c r="H12" s="39">
        <f t="shared" si="3"/>
        <v>3.8235294117647056</v>
      </c>
      <c r="I12" s="40">
        <f>COUNTIF(Vertices[Out-Degree],"&gt;= "&amp;H12)-COUNTIF(Vertices[Out-Degree],"&gt;="&amp;H13)</f>
        <v>0</v>
      </c>
      <c r="J12" s="39">
        <f t="shared" si="4"/>
        <v>99.41176470588233</v>
      </c>
      <c r="K12" s="40">
        <f>COUNTIF(Vertices[Betweenness Centrality],"&gt;= "&amp;J12)-COUNTIF(Vertices[Betweenness Centrality],"&gt;="&amp;J13)</f>
        <v>0</v>
      </c>
      <c r="L12" s="39">
        <f t="shared" si="5"/>
        <v>0.41954547058823544</v>
      </c>
      <c r="M12" s="40">
        <f>COUNTIF(Vertices[Closeness Centrality],"&gt;= "&amp;L12)-COUNTIF(Vertices[Closeness Centrality],"&gt;="&amp;L13)</f>
        <v>0</v>
      </c>
      <c r="N12" s="39">
        <f t="shared" si="6"/>
        <v>0.12597523529411764</v>
      </c>
      <c r="O12" s="40">
        <f>COUNTIF(Vertices[Eigenvector Centrality],"&gt;= "&amp;N12)-COUNTIF(Vertices[Eigenvector Centrality],"&gt;="&amp;N13)</f>
        <v>0</v>
      </c>
      <c r="P12" s="39">
        <f t="shared" si="7"/>
        <v>0.06590876470588236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0.3235294117647059</v>
      </c>
      <c r="G13" s="42">
        <f>COUNTIF(Vertices[In-Degree],"&gt;= "&amp;F13)-COUNTIF(Vertices[In-Degree],"&gt;="&amp;F14)</f>
        <v>0</v>
      </c>
      <c r="H13" s="41">
        <f t="shared" si="3"/>
        <v>4.205882352941176</v>
      </c>
      <c r="I13" s="42">
        <f>COUNTIF(Vertices[Out-Degree],"&gt;= "&amp;H13)-COUNTIF(Vertices[Out-Degree],"&gt;="&amp;H14)</f>
        <v>0</v>
      </c>
      <c r="J13" s="41">
        <f t="shared" si="4"/>
        <v>109.35294117647057</v>
      </c>
      <c r="K13" s="42">
        <f>COUNTIF(Vertices[Betweenness Centrality],"&gt;= "&amp;J13)-COUNTIF(Vertices[Betweenness Centrality],"&gt;="&amp;J14)</f>
        <v>0</v>
      </c>
      <c r="L13" s="41">
        <f t="shared" si="5"/>
        <v>0.432928617647059</v>
      </c>
      <c r="M13" s="42">
        <f>COUNTIF(Vertices[Closeness Centrality],"&gt;= "&amp;L13)-COUNTIF(Vertices[Closeness Centrality],"&gt;="&amp;L14)</f>
        <v>13</v>
      </c>
      <c r="N13" s="41">
        <f t="shared" si="6"/>
        <v>0.13588505882352941</v>
      </c>
      <c r="O13" s="42">
        <f>COUNTIF(Vertices[Eigenvector Centrality],"&gt;= "&amp;N13)-COUNTIF(Vertices[Eigenvector Centrality],"&gt;="&amp;N14)</f>
        <v>0</v>
      </c>
      <c r="P13" s="41">
        <f t="shared" si="7"/>
        <v>0.0683194411764706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09"/>
      <c r="B14" s="109"/>
      <c r="D14" s="34">
        <f t="shared" si="1"/>
        <v>0</v>
      </c>
      <c r="E14" s="3">
        <f>COUNTIF(Vertices[Degree],"&gt;= "&amp;D14)-COUNTIF(Vertices[Degree],"&gt;="&amp;D15)</f>
        <v>0</v>
      </c>
      <c r="F14" s="39">
        <f t="shared" si="2"/>
        <v>0.35294117647058826</v>
      </c>
      <c r="G14" s="40">
        <f>COUNTIF(Vertices[In-Degree],"&gt;= "&amp;F14)-COUNTIF(Vertices[In-Degree],"&gt;="&amp;F15)</f>
        <v>0</v>
      </c>
      <c r="H14" s="39">
        <f t="shared" si="3"/>
        <v>4.588235294117647</v>
      </c>
      <c r="I14" s="40">
        <f>COUNTIF(Vertices[Out-Degree],"&gt;= "&amp;H14)-COUNTIF(Vertices[Out-Degree],"&gt;="&amp;H15)</f>
        <v>0</v>
      </c>
      <c r="J14" s="39">
        <f t="shared" si="4"/>
        <v>119.2941176470588</v>
      </c>
      <c r="K14" s="40">
        <f>COUNTIF(Vertices[Betweenness Centrality],"&gt;= "&amp;J14)-COUNTIF(Vertices[Betweenness Centrality],"&gt;="&amp;J15)</f>
        <v>0</v>
      </c>
      <c r="L14" s="39">
        <f t="shared" si="5"/>
        <v>0.4463117647058825</v>
      </c>
      <c r="M14" s="40">
        <f>COUNTIF(Vertices[Closeness Centrality],"&gt;= "&amp;L14)-COUNTIF(Vertices[Closeness Centrality],"&gt;="&amp;L15)</f>
        <v>0</v>
      </c>
      <c r="N14" s="39">
        <f t="shared" si="6"/>
        <v>0.1457948823529412</v>
      </c>
      <c r="O14" s="40">
        <f>COUNTIF(Vertices[Eigenvector Centrality],"&gt;= "&amp;N14)-COUNTIF(Vertices[Eigenvector Centrality],"&gt;="&amp;N15)</f>
        <v>0</v>
      </c>
      <c r="P14" s="39">
        <f t="shared" si="7"/>
        <v>0.07073011764705883</v>
      </c>
      <c r="Q14" s="40">
        <f>COUNTIF(Vertices[PageRank],"&gt;= "&amp;P14)-COUNTIF(Vertices[PageRank],"&gt;="&amp;P15)</f>
        <v>1</v>
      </c>
      <c r="R14" s="39">
        <f t="shared" si="8"/>
        <v>0</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0.3823529411764706</v>
      </c>
      <c r="G15" s="42">
        <f>COUNTIF(Vertices[In-Degree],"&gt;= "&amp;F15)-COUNTIF(Vertices[In-Degree],"&gt;="&amp;F16)</f>
        <v>0</v>
      </c>
      <c r="H15" s="41">
        <f t="shared" si="3"/>
        <v>4.970588235294118</v>
      </c>
      <c r="I15" s="42">
        <f>COUNTIF(Vertices[Out-Degree],"&gt;= "&amp;H15)-COUNTIF(Vertices[Out-Degree],"&gt;="&amp;H16)</f>
        <v>0</v>
      </c>
      <c r="J15" s="41">
        <f t="shared" si="4"/>
        <v>129.23529411764704</v>
      </c>
      <c r="K15" s="42">
        <f>COUNTIF(Vertices[Betweenness Centrality],"&gt;= "&amp;J15)-COUNTIF(Vertices[Betweenness Centrality],"&gt;="&amp;J16)</f>
        <v>0</v>
      </c>
      <c r="L15" s="41">
        <f t="shared" si="5"/>
        <v>0.45969491176470606</v>
      </c>
      <c r="M15" s="42">
        <f>COUNTIF(Vertices[Closeness Centrality],"&gt;= "&amp;L15)-COUNTIF(Vertices[Closeness Centrality],"&gt;="&amp;L16)</f>
        <v>0</v>
      </c>
      <c r="N15" s="41">
        <f t="shared" si="6"/>
        <v>0.15570470588235297</v>
      </c>
      <c r="O15" s="42">
        <f>COUNTIF(Vertices[Eigenvector Centrality],"&gt;= "&amp;N15)-COUNTIF(Vertices[Eigenvector Centrality],"&gt;="&amp;N16)</f>
        <v>0</v>
      </c>
      <c r="P15" s="41">
        <f t="shared" si="7"/>
        <v>0.07314079411764707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5.352941176470589</v>
      </c>
      <c r="I16" s="40">
        <f>COUNTIF(Vertices[Out-Degree],"&gt;= "&amp;H16)-COUNTIF(Vertices[Out-Degree],"&gt;="&amp;H17)</f>
        <v>0</v>
      </c>
      <c r="J16" s="39">
        <f t="shared" si="4"/>
        <v>139.17647058823528</v>
      </c>
      <c r="K16" s="40">
        <f>COUNTIF(Vertices[Betweenness Centrality],"&gt;= "&amp;J16)-COUNTIF(Vertices[Betweenness Centrality],"&gt;="&amp;J17)</f>
        <v>0</v>
      </c>
      <c r="L16" s="39">
        <f t="shared" si="5"/>
        <v>0.4730780588235296</v>
      </c>
      <c r="M16" s="40">
        <f>COUNTIF(Vertices[Closeness Centrality],"&gt;= "&amp;L16)-COUNTIF(Vertices[Closeness Centrality],"&gt;="&amp;L17)</f>
        <v>0</v>
      </c>
      <c r="N16" s="39">
        <f t="shared" si="6"/>
        <v>0.16561452941176474</v>
      </c>
      <c r="O16" s="40">
        <f>COUNTIF(Vertices[Eigenvector Centrality],"&gt;= "&amp;N16)-COUNTIF(Vertices[Eigenvector Centrality],"&gt;="&amp;N17)</f>
        <v>0</v>
      </c>
      <c r="P16" s="39">
        <f t="shared" si="7"/>
        <v>0.0755514705882353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154</v>
      </c>
      <c r="B17" s="36">
        <v>21</v>
      </c>
      <c r="D17" s="34">
        <f t="shared" si="1"/>
        <v>0</v>
      </c>
      <c r="E17" s="3">
        <f>COUNTIF(Vertices[Degree],"&gt;= "&amp;D17)-COUNTIF(Vertices[Degree],"&gt;="&amp;D18)</f>
        <v>0</v>
      </c>
      <c r="F17" s="41">
        <f t="shared" si="2"/>
        <v>0.44117647058823534</v>
      </c>
      <c r="G17" s="42">
        <f>COUNTIF(Vertices[In-Degree],"&gt;= "&amp;F17)-COUNTIF(Vertices[In-Degree],"&gt;="&amp;F18)</f>
        <v>0</v>
      </c>
      <c r="H17" s="41">
        <f t="shared" si="3"/>
        <v>5.73529411764706</v>
      </c>
      <c r="I17" s="42">
        <f>COUNTIF(Vertices[Out-Degree],"&gt;= "&amp;H17)-COUNTIF(Vertices[Out-Degree],"&gt;="&amp;H18)</f>
        <v>1</v>
      </c>
      <c r="J17" s="41">
        <f t="shared" si="4"/>
        <v>149.1176470588235</v>
      </c>
      <c r="K17" s="42">
        <f>COUNTIF(Vertices[Betweenness Centrality],"&gt;= "&amp;J17)-COUNTIF(Vertices[Betweenness Centrality],"&gt;="&amp;J18)</f>
        <v>0</v>
      </c>
      <c r="L17" s="41">
        <f t="shared" si="5"/>
        <v>0.48646120588235314</v>
      </c>
      <c r="M17" s="42">
        <f>COUNTIF(Vertices[Closeness Centrality],"&gt;= "&amp;L17)-COUNTIF(Vertices[Closeness Centrality],"&gt;="&amp;L18)</f>
        <v>0</v>
      </c>
      <c r="N17" s="41">
        <f t="shared" si="6"/>
        <v>0.17552435294117652</v>
      </c>
      <c r="O17" s="42">
        <f>COUNTIF(Vertices[Eigenvector Centrality],"&gt;= "&amp;N17)-COUNTIF(Vertices[Eigenvector Centrality],"&gt;="&amp;N18)</f>
        <v>0</v>
      </c>
      <c r="P17" s="41">
        <f t="shared" si="7"/>
        <v>0.07796214705882354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155</v>
      </c>
      <c r="B18" s="36">
        <v>20</v>
      </c>
      <c r="D18" s="34">
        <f t="shared" si="1"/>
        <v>0</v>
      </c>
      <c r="E18" s="3">
        <f>COUNTIF(Vertices[Degree],"&gt;= "&amp;D18)-COUNTIF(Vertices[Degree],"&gt;="&amp;D19)</f>
        <v>0</v>
      </c>
      <c r="F18" s="39">
        <f t="shared" si="2"/>
        <v>0.4705882352941177</v>
      </c>
      <c r="G18" s="40">
        <f>COUNTIF(Vertices[In-Degree],"&gt;= "&amp;F18)-COUNTIF(Vertices[In-Degree],"&gt;="&amp;F19)</f>
        <v>0</v>
      </c>
      <c r="H18" s="39">
        <f t="shared" si="3"/>
        <v>6.117647058823531</v>
      </c>
      <c r="I18" s="40">
        <f>COUNTIF(Vertices[Out-Degree],"&gt;= "&amp;H18)-COUNTIF(Vertices[Out-Degree],"&gt;="&amp;H19)</f>
        <v>0</v>
      </c>
      <c r="J18" s="39">
        <f t="shared" si="4"/>
        <v>159.05882352941174</v>
      </c>
      <c r="K18" s="40">
        <f>COUNTIF(Vertices[Betweenness Centrality],"&gt;= "&amp;J18)-COUNTIF(Vertices[Betweenness Centrality],"&gt;="&amp;J19)</f>
        <v>0</v>
      </c>
      <c r="L18" s="39">
        <f t="shared" si="5"/>
        <v>0.4998443529411767</v>
      </c>
      <c r="M18" s="40">
        <f>COUNTIF(Vertices[Closeness Centrality],"&gt;= "&amp;L18)-COUNTIF(Vertices[Closeness Centrality],"&gt;="&amp;L19)</f>
        <v>0</v>
      </c>
      <c r="N18" s="39">
        <f t="shared" si="6"/>
        <v>0.1854341764705883</v>
      </c>
      <c r="O18" s="40">
        <f>COUNTIF(Vertices[Eigenvector Centrality],"&gt;= "&amp;N18)-COUNTIF(Vertices[Eigenvector Centrality],"&gt;="&amp;N19)</f>
        <v>0</v>
      </c>
      <c r="P18" s="39">
        <f t="shared" si="7"/>
        <v>0.08037282352941177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09"/>
      <c r="B19" s="109"/>
      <c r="D19" s="34">
        <f t="shared" si="1"/>
        <v>0</v>
      </c>
      <c r="E19" s="3">
        <f>COUNTIF(Vertices[Degree],"&gt;= "&amp;D19)-COUNTIF(Vertices[Degree],"&gt;="&amp;D20)</f>
        <v>0</v>
      </c>
      <c r="F19" s="41">
        <f t="shared" si="2"/>
        <v>0.5</v>
      </c>
      <c r="G19" s="42">
        <f>COUNTIF(Vertices[In-Degree],"&gt;= "&amp;F19)-COUNTIF(Vertices[In-Degree],"&gt;="&amp;F20)</f>
        <v>0</v>
      </c>
      <c r="H19" s="41">
        <f t="shared" si="3"/>
        <v>6.500000000000002</v>
      </c>
      <c r="I19" s="42">
        <f>COUNTIF(Vertices[Out-Degree],"&gt;= "&amp;H19)-COUNTIF(Vertices[Out-Degree],"&gt;="&amp;H20)</f>
        <v>0</v>
      </c>
      <c r="J19" s="41">
        <f t="shared" si="4"/>
        <v>168.99999999999997</v>
      </c>
      <c r="K19" s="42">
        <f>COUNTIF(Vertices[Betweenness Centrality],"&gt;= "&amp;J19)-COUNTIF(Vertices[Betweenness Centrality],"&gt;="&amp;J20)</f>
        <v>0</v>
      </c>
      <c r="L19" s="41">
        <f t="shared" si="5"/>
        <v>0.5132275000000002</v>
      </c>
      <c r="M19" s="42">
        <f>COUNTIF(Vertices[Closeness Centrality],"&gt;= "&amp;L19)-COUNTIF(Vertices[Closeness Centrality],"&gt;="&amp;L20)</f>
        <v>0</v>
      </c>
      <c r="N19" s="41">
        <f t="shared" si="6"/>
        <v>0.19534400000000007</v>
      </c>
      <c r="O19" s="42">
        <f>COUNTIF(Vertices[Eigenvector Centrality],"&gt;= "&amp;N19)-COUNTIF(Vertices[Eigenvector Centrality],"&gt;="&amp;N20)</f>
        <v>0</v>
      </c>
      <c r="P19" s="41">
        <f t="shared" si="7"/>
        <v>0.08278350000000001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0.5294117647058824</v>
      </c>
      <c r="G20" s="40">
        <f>COUNTIF(Vertices[In-Degree],"&gt;= "&amp;F20)-COUNTIF(Vertices[In-Degree],"&gt;="&amp;F21)</f>
        <v>0</v>
      </c>
      <c r="H20" s="39">
        <f t="shared" si="3"/>
        <v>6.882352941176473</v>
      </c>
      <c r="I20" s="40">
        <f>COUNTIF(Vertices[Out-Degree],"&gt;= "&amp;H20)-COUNTIF(Vertices[Out-Degree],"&gt;="&amp;H21)</f>
        <v>0</v>
      </c>
      <c r="J20" s="39">
        <f t="shared" si="4"/>
        <v>178.9411764705882</v>
      </c>
      <c r="K20" s="40">
        <f>COUNTIF(Vertices[Betweenness Centrality],"&gt;= "&amp;J20)-COUNTIF(Vertices[Betweenness Centrality],"&gt;="&amp;J21)</f>
        <v>0</v>
      </c>
      <c r="L20" s="39">
        <f t="shared" si="5"/>
        <v>0.5266106470588237</v>
      </c>
      <c r="M20" s="40">
        <f>COUNTIF(Vertices[Closeness Centrality],"&gt;= "&amp;L20)-COUNTIF(Vertices[Closeness Centrality],"&gt;="&amp;L21)</f>
        <v>0</v>
      </c>
      <c r="N20" s="39">
        <f t="shared" si="6"/>
        <v>0.20525382352941185</v>
      </c>
      <c r="O20" s="40">
        <f>COUNTIF(Vertices[Eigenvector Centrality],"&gt;= "&amp;N20)-COUNTIF(Vertices[Eigenvector Centrality],"&gt;="&amp;N21)</f>
        <v>0</v>
      </c>
      <c r="P20" s="39">
        <f t="shared" si="7"/>
        <v>0.08519417647058825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157</v>
      </c>
      <c r="B21" s="36">
        <v>2.249433</v>
      </c>
      <c r="D21" s="34">
        <f t="shared" si="1"/>
        <v>0</v>
      </c>
      <c r="E21" s="3">
        <f>COUNTIF(Vertices[Degree],"&gt;= "&amp;D21)-COUNTIF(Vertices[Degree],"&gt;="&amp;D22)</f>
        <v>0</v>
      </c>
      <c r="F21" s="41">
        <f t="shared" si="2"/>
        <v>0.5588235294117647</v>
      </c>
      <c r="G21" s="42">
        <f>COUNTIF(Vertices[In-Degree],"&gt;= "&amp;F21)-COUNTIF(Vertices[In-Degree],"&gt;="&amp;F22)</f>
        <v>0</v>
      </c>
      <c r="H21" s="41">
        <f t="shared" si="3"/>
        <v>7.264705882352944</v>
      </c>
      <c r="I21" s="42">
        <f>COUNTIF(Vertices[Out-Degree],"&gt;= "&amp;H21)-COUNTIF(Vertices[Out-Degree],"&gt;="&amp;H22)</f>
        <v>0</v>
      </c>
      <c r="J21" s="41">
        <f t="shared" si="4"/>
        <v>188.88235294117644</v>
      </c>
      <c r="K21" s="42">
        <f>COUNTIF(Vertices[Betweenness Centrality],"&gt;= "&amp;J21)-COUNTIF(Vertices[Betweenness Centrality],"&gt;="&amp;J22)</f>
        <v>1</v>
      </c>
      <c r="L21" s="41">
        <f t="shared" si="5"/>
        <v>0.5399937941176471</v>
      </c>
      <c r="M21" s="42">
        <f>COUNTIF(Vertices[Closeness Centrality],"&gt;= "&amp;L21)-COUNTIF(Vertices[Closeness Centrality],"&gt;="&amp;L22)</f>
        <v>0</v>
      </c>
      <c r="N21" s="41">
        <f t="shared" si="6"/>
        <v>0.21516364705882363</v>
      </c>
      <c r="O21" s="42">
        <f>COUNTIF(Vertices[Eigenvector Centrality],"&gt;= "&amp;N21)-COUNTIF(Vertices[Eigenvector Centrality],"&gt;="&amp;N22)</f>
        <v>0</v>
      </c>
      <c r="P21" s="41">
        <f t="shared" si="7"/>
        <v>0.08760485294117648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09"/>
      <c r="B22" s="109"/>
      <c r="D22" s="34">
        <f t="shared" si="1"/>
        <v>0</v>
      </c>
      <c r="E22" s="3">
        <f>COUNTIF(Vertices[Degree],"&gt;= "&amp;D22)-COUNTIF(Vertices[Degree],"&gt;="&amp;D23)</f>
        <v>0</v>
      </c>
      <c r="F22" s="39">
        <f t="shared" si="2"/>
        <v>0.5882352941176471</v>
      </c>
      <c r="G22" s="40">
        <f>COUNTIF(Vertices[In-Degree],"&gt;= "&amp;F22)-COUNTIF(Vertices[In-Degree],"&gt;="&amp;F23)</f>
        <v>0</v>
      </c>
      <c r="H22" s="39">
        <f t="shared" si="3"/>
        <v>7.647058823529415</v>
      </c>
      <c r="I22" s="40">
        <f>COUNTIF(Vertices[Out-Degree],"&gt;= "&amp;H22)-COUNTIF(Vertices[Out-Degree],"&gt;="&amp;H23)</f>
        <v>0</v>
      </c>
      <c r="J22" s="39">
        <f t="shared" si="4"/>
        <v>198.82352941176467</v>
      </c>
      <c r="K22" s="40">
        <f>COUNTIF(Vertices[Betweenness Centrality],"&gt;= "&amp;J22)-COUNTIF(Vertices[Betweenness Centrality],"&gt;="&amp;J23)</f>
        <v>0</v>
      </c>
      <c r="L22" s="39">
        <f t="shared" si="5"/>
        <v>0.5533769411764706</v>
      </c>
      <c r="M22" s="40">
        <f>COUNTIF(Vertices[Closeness Centrality],"&gt;= "&amp;L22)-COUNTIF(Vertices[Closeness Centrality],"&gt;="&amp;L23)</f>
        <v>0</v>
      </c>
      <c r="N22" s="39">
        <f t="shared" si="6"/>
        <v>0.2250734705882354</v>
      </c>
      <c r="O22" s="40">
        <f>COUNTIF(Vertices[Eigenvector Centrality],"&gt;= "&amp;N22)-COUNTIF(Vertices[Eigenvector Centrality],"&gt;="&amp;N23)</f>
        <v>0</v>
      </c>
      <c r="P22" s="39">
        <f t="shared" si="7"/>
        <v>0.09001552941176472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158</v>
      </c>
      <c r="B23" s="36">
        <v>0.047619047619047616</v>
      </c>
      <c r="D23" s="34">
        <f t="shared" si="1"/>
        <v>0</v>
      </c>
      <c r="E23" s="3">
        <f>COUNTIF(Vertices[Degree],"&gt;= "&amp;D23)-COUNTIF(Vertices[Degree],"&gt;="&amp;D24)</f>
        <v>0</v>
      </c>
      <c r="F23" s="41">
        <f t="shared" si="2"/>
        <v>0.6176470588235294</v>
      </c>
      <c r="G23" s="42">
        <f>COUNTIF(Vertices[In-Degree],"&gt;= "&amp;F23)-COUNTIF(Vertices[In-Degree],"&gt;="&amp;F24)</f>
        <v>0</v>
      </c>
      <c r="H23" s="41">
        <f t="shared" si="3"/>
        <v>8.029411764705886</v>
      </c>
      <c r="I23" s="42">
        <f>COUNTIF(Vertices[Out-Degree],"&gt;= "&amp;H23)-COUNTIF(Vertices[Out-Degree],"&gt;="&amp;H24)</f>
        <v>0</v>
      </c>
      <c r="J23" s="41">
        <f t="shared" si="4"/>
        <v>208.7647058823529</v>
      </c>
      <c r="K23" s="42">
        <f>COUNTIF(Vertices[Betweenness Centrality],"&gt;= "&amp;J23)-COUNTIF(Vertices[Betweenness Centrality],"&gt;="&amp;J24)</f>
        <v>0</v>
      </c>
      <c r="L23" s="41">
        <f t="shared" si="5"/>
        <v>0.5667600882352941</v>
      </c>
      <c r="M23" s="42">
        <f>COUNTIF(Vertices[Closeness Centrality],"&gt;= "&amp;L23)-COUNTIF(Vertices[Closeness Centrality],"&gt;="&amp;L24)</f>
        <v>0</v>
      </c>
      <c r="N23" s="41">
        <f t="shared" si="6"/>
        <v>0.23498329411764718</v>
      </c>
      <c r="O23" s="42">
        <f>COUNTIF(Vertices[Eigenvector Centrality],"&gt;= "&amp;N23)-COUNTIF(Vertices[Eigenvector Centrality],"&gt;="&amp;N24)</f>
        <v>13</v>
      </c>
      <c r="P23" s="41">
        <f t="shared" si="7"/>
        <v>0.09242620588235295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267</v>
      </c>
      <c r="B24" s="36">
        <v>0.38875</v>
      </c>
      <c r="D24" s="34">
        <f t="shared" si="1"/>
        <v>0</v>
      </c>
      <c r="E24" s="3">
        <f>COUNTIF(Vertices[Degree],"&gt;= "&amp;D24)-COUNTIF(Vertices[Degree],"&gt;="&amp;D25)</f>
        <v>0</v>
      </c>
      <c r="F24" s="39">
        <f t="shared" si="2"/>
        <v>0.6470588235294118</v>
      </c>
      <c r="G24" s="40">
        <f>COUNTIF(Vertices[In-Degree],"&gt;= "&amp;F24)-COUNTIF(Vertices[In-Degree],"&gt;="&amp;F25)</f>
        <v>0</v>
      </c>
      <c r="H24" s="39">
        <f t="shared" si="3"/>
        <v>8.411764705882357</v>
      </c>
      <c r="I24" s="40">
        <f>COUNTIF(Vertices[Out-Degree],"&gt;= "&amp;H24)-COUNTIF(Vertices[Out-Degree],"&gt;="&amp;H25)</f>
        <v>0</v>
      </c>
      <c r="J24" s="39">
        <f t="shared" si="4"/>
        <v>218.70588235294113</v>
      </c>
      <c r="K24" s="40">
        <f>COUNTIF(Vertices[Betweenness Centrality],"&gt;= "&amp;J24)-COUNTIF(Vertices[Betweenness Centrality],"&gt;="&amp;J25)</f>
        <v>0</v>
      </c>
      <c r="L24" s="39">
        <f t="shared" si="5"/>
        <v>0.5801432352941176</v>
      </c>
      <c r="M24" s="40">
        <f>COUNTIF(Vertices[Closeness Centrality],"&gt;= "&amp;L24)-COUNTIF(Vertices[Closeness Centrality],"&gt;="&amp;L25)</f>
        <v>1</v>
      </c>
      <c r="N24" s="39">
        <f t="shared" si="6"/>
        <v>0.24489311764705896</v>
      </c>
      <c r="O24" s="40">
        <f>COUNTIF(Vertices[Eigenvector Centrality],"&gt;= "&amp;N24)-COUNTIF(Vertices[Eigenvector Centrality],"&gt;="&amp;N25)</f>
        <v>0</v>
      </c>
      <c r="P24" s="39">
        <f t="shared" si="7"/>
        <v>0.09483688235294119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09"/>
      <c r="B25" s="109"/>
      <c r="D25" s="34">
        <f t="shared" si="1"/>
        <v>0</v>
      </c>
      <c r="E25" s="3">
        <f>COUNTIF(Vertices[Degree],"&gt;= "&amp;D25)-COUNTIF(Vertices[Degree],"&gt;="&amp;D26)</f>
        <v>0</v>
      </c>
      <c r="F25" s="41">
        <f t="shared" si="2"/>
        <v>0.6764705882352942</v>
      </c>
      <c r="G25" s="42">
        <f>COUNTIF(Vertices[In-Degree],"&gt;= "&amp;F25)-COUNTIF(Vertices[In-Degree],"&gt;="&amp;F26)</f>
        <v>0</v>
      </c>
      <c r="H25" s="41">
        <f t="shared" si="3"/>
        <v>8.794117647058828</v>
      </c>
      <c r="I25" s="42">
        <f>COUNTIF(Vertices[Out-Degree],"&gt;= "&amp;H25)-COUNTIF(Vertices[Out-Degree],"&gt;="&amp;H26)</f>
        <v>0</v>
      </c>
      <c r="J25" s="41">
        <f t="shared" si="4"/>
        <v>228.64705882352936</v>
      </c>
      <c r="K25" s="42">
        <f>COUNTIF(Vertices[Betweenness Centrality],"&gt;= "&amp;J25)-COUNTIF(Vertices[Betweenness Centrality],"&gt;="&amp;J26)</f>
        <v>0</v>
      </c>
      <c r="L25" s="41">
        <f t="shared" si="5"/>
        <v>0.5935263823529411</v>
      </c>
      <c r="M25" s="42">
        <f>COUNTIF(Vertices[Closeness Centrality],"&gt;= "&amp;L25)-COUNTIF(Vertices[Closeness Centrality],"&gt;="&amp;L26)</f>
        <v>0</v>
      </c>
      <c r="N25" s="41">
        <f t="shared" si="6"/>
        <v>0.25480294117647073</v>
      </c>
      <c r="O25" s="42">
        <f>COUNTIF(Vertices[Eigenvector Centrality],"&gt;= "&amp;N25)-COUNTIF(Vertices[Eigenvector Centrality],"&gt;="&amp;N26)</f>
        <v>0</v>
      </c>
      <c r="P25" s="41">
        <f t="shared" si="7"/>
        <v>0.09724755882352942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268</v>
      </c>
      <c r="B26" s="36" t="s">
        <v>283</v>
      </c>
      <c r="D26" s="34">
        <f t="shared" si="1"/>
        <v>0</v>
      </c>
      <c r="E26" s="3">
        <f>COUNTIF(Vertices[Degree],"&gt;= "&amp;D26)-COUNTIF(Vertices[Degree],"&gt;="&amp;D27)</f>
        <v>0</v>
      </c>
      <c r="F26" s="39">
        <f t="shared" si="2"/>
        <v>0.7058823529411765</v>
      </c>
      <c r="G26" s="40">
        <f>COUNTIF(Vertices[In-Degree],"&gt;= "&amp;F26)-COUNTIF(Vertices[In-Degree],"&gt;="&amp;F27)</f>
        <v>0</v>
      </c>
      <c r="H26" s="39">
        <f t="shared" si="3"/>
        <v>9.176470588235299</v>
      </c>
      <c r="I26" s="40">
        <f>COUNTIF(Vertices[Out-Degree],"&gt;= "&amp;H26)-COUNTIF(Vertices[Out-Degree],"&gt;="&amp;H27)</f>
        <v>0</v>
      </c>
      <c r="J26" s="39">
        <f t="shared" si="4"/>
        <v>238.5882352941176</v>
      </c>
      <c r="K26" s="40">
        <f>COUNTIF(Vertices[Betweenness Centrality],"&gt;= "&amp;J26)-COUNTIF(Vertices[Betweenness Centrality],"&gt;="&amp;J27)</f>
        <v>0</v>
      </c>
      <c r="L26" s="39">
        <f t="shared" si="5"/>
        <v>0.6069095294117646</v>
      </c>
      <c r="M26" s="40">
        <f>COUNTIF(Vertices[Closeness Centrality],"&gt;= "&amp;L26)-COUNTIF(Vertices[Closeness Centrality],"&gt;="&amp;L27)</f>
        <v>0</v>
      </c>
      <c r="N26" s="39">
        <f t="shared" si="6"/>
        <v>0.2647127647058825</v>
      </c>
      <c r="O26" s="40">
        <f>COUNTIF(Vertices[Eigenvector Centrality],"&gt;= "&amp;N26)-COUNTIF(Vertices[Eigenvector Centrality],"&gt;="&amp;N27)</f>
        <v>0</v>
      </c>
      <c r="P26" s="39">
        <f t="shared" si="7"/>
        <v>0.09965823529411766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09"/>
      <c r="B27" s="109"/>
      <c r="D27" s="34">
        <f t="shared" si="1"/>
        <v>0</v>
      </c>
      <c r="E27" s="3">
        <f>COUNTIF(Vertices[Degree],"&gt;= "&amp;D27)-COUNTIF(Vertices[Degree],"&gt;="&amp;D28)</f>
        <v>0</v>
      </c>
      <c r="F27" s="41">
        <f t="shared" si="2"/>
        <v>0.7352941176470589</v>
      </c>
      <c r="G27" s="42">
        <f>COUNTIF(Vertices[In-Degree],"&gt;= "&amp;F27)-COUNTIF(Vertices[In-Degree],"&gt;="&amp;F28)</f>
        <v>0</v>
      </c>
      <c r="H27" s="41">
        <f t="shared" si="3"/>
        <v>9.55882352941177</v>
      </c>
      <c r="I27" s="42">
        <f>COUNTIF(Vertices[Out-Degree],"&gt;= "&amp;H27)-COUNTIF(Vertices[Out-Degree],"&gt;="&amp;H28)</f>
        <v>0</v>
      </c>
      <c r="J27" s="41">
        <f t="shared" si="4"/>
        <v>248.52941176470583</v>
      </c>
      <c r="K27" s="42">
        <f>COUNTIF(Vertices[Betweenness Centrality],"&gt;= "&amp;J27)-COUNTIF(Vertices[Betweenness Centrality],"&gt;="&amp;J28)</f>
        <v>0</v>
      </c>
      <c r="L27" s="41">
        <f t="shared" si="5"/>
        <v>0.6202926764705881</v>
      </c>
      <c r="M27" s="42">
        <f>COUNTIF(Vertices[Closeness Centrality],"&gt;= "&amp;L27)-COUNTIF(Vertices[Closeness Centrality],"&gt;="&amp;L28)</f>
        <v>0</v>
      </c>
      <c r="N27" s="41">
        <f t="shared" si="6"/>
        <v>0.2746225882352943</v>
      </c>
      <c r="O27" s="42">
        <f>COUNTIF(Vertices[Eigenvector Centrality],"&gt;= "&amp;N27)-COUNTIF(Vertices[Eigenvector Centrality],"&gt;="&amp;N28)</f>
        <v>0</v>
      </c>
      <c r="P27" s="41">
        <f t="shared" si="7"/>
        <v>0.1020689117647059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269</v>
      </c>
      <c r="B28" s="36" t="s">
        <v>326</v>
      </c>
      <c r="D28" s="34">
        <f t="shared" si="1"/>
        <v>0</v>
      </c>
      <c r="E28" s="3">
        <f>COUNTIF(Vertices[Degree],"&gt;= "&amp;D28)-COUNTIF(Vertices[Degree],"&gt;="&amp;D29)</f>
        <v>0</v>
      </c>
      <c r="F28" s="39">
        <f t="shared" si="2"/>
        <v>0.7647058823529412</v>
      </c>
      <c r="G28" s="40">
        <f>COUNTIF(Vertices[In-Degree],"&gt;= "&amp;F28)-COUNTIF(Vertices[In-Degree],"&gt;="&amp;F29)</f>
        <v>0</v>
      </c>
      <c r="H28" s="39">
        <f t="shared" si="3"/>
        <v>9.94117647058824</v>
      </c>
      <c r="I28" s="40">
        <f>COUNTIF(Vertices[Out-Degree],"&gt;= "&amp;H28)-COUNTIF(Vertices[Out-Degree],"&gt;="&amp;H29)</f>
        <v>0</v>
      </c>
      <c r="J28" s="39">
        <f t="shared" si="4"/>
        <v>258.4705882352941</v>
      </c>
      <c r="K28" s="40">
        <f>COUNTIF(Vertices[Betweenness Centrality],"&gt;= "&amp;J28)-COUNTIF(Vertices[Betweenness Centrality],"&gt;="&amp;J29)</f>
        <v>0</v>
      </c>
      <c r="L28" s="39">
        <f t="shared" si="5"/>
        <v>0.6336758235294115</v>
      </c>
      <c r="M28" s="40">
        <f>COUNTIF(Vertices[Closeness Centrality],"&gt;= "&amp;L28)-COUNTIF(Vertices[Closeness Centrality],"&gt;="&amp;L29)</f>
        <v>0</v>
      </c>
      <c r="N28" s="39">
        <f t="shared" si="6"/>
        <v>0.28453241176470606</v>
      </c>
      <c r="O28" s="40">
        <f>COUNTIF(Vertices[Eigenvector Centrality],"&gt;= "&amp;N28)-COUNTIF(Vertices[Eigenvector Centrality],"&gt;="&amp;N29)</f>
        <v>0</v>
      </c>
      <c r="P28" s="39">
        <f t="shared" si="7"/>
        <v>0.10447958823529413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270</v>
      </c>
      <c r="B29" s="36" t="s">
        <v>327</v>
      </c>
      <c r="D29" s="34">
        <f t="shared" si="1"/>
        <v>0</v>
      </c>
      <c r="E29" s="3">
        <f>COUNTIF(Vertices[Degree],"&gt;= "&amp;D29)-COUNTIF(Vertices[Degree],"&gt;="&amp;D30)</f>
        <v>0</v>
      </c>
      <c r="F29" s="41">
        <f t="shared" si="2"/>
        <v>0.7941176470588236</v>
      </c>
      <c r="G29" s="42">
        <f>COUNTIF(Vertices[In-Degree],"&gt;= "&amp;F29)-COUNTIF(Vertices[In-Degree],"&gt;="&amp;F30)</f>
        <v>0</v>
      </c>
      <c r="H29" s="41">
        <f t="shared" si="3"/>
        <v>10.323529411764712</v>
      </c>
      <c r="I29" s="42">
        <f>COUNTIF(Vertices[Out-Degree],"&gt;= "&amp;H29)-COUNTIF(Vertices[Out-Degree],"&gt;="&amp;H30)</f>
        <v>0</v>
      </c>
      <c r="J29" s="41">
        <f t="shared" si="4"/>
        <v>268.4117647058823</v>
      </c>
      <c r="K29" s="42">
        <f>COUNTIF(Vertices[Betweenness Centrality],"&gt;= "&amp;J29)-COUNTIF(Vertices[Betweenness Centrality],"&gt;="&amp;J30)</f>
        <v>0</v>
      </c>
      <c r="L29" s="41">
        <f t="shared" si="5"/>
        <v>0.647058970588235</v>
      </c>
      <c r="M29" s="42">
        <f>COUNTIF(Vertices[Closeness Centrality],"&gt;= "&amp;L29)-COUNTIF(Vertices[Closeness Centrality],"&gt;="&amp;L30)</f>
        <v>0</v>
      </c>
      <c r="N29" s="41">
        <f t="shared" si="6"/>
        <v>0.29444223529411784</v>
      </c>
      <c r="O29" s="42">
        <f>COUNTIF(Vertices[Eigenvector Centrality],"&gt;= "&amp;N29)-COUNTIF(Vertices[Eigenvector Centrality],"&gt;="&amp;N30)</f>
        <v>0</v>
      </c>
      <c r="P29" s="41">
        <f t="shared" si="7"/>
        <v>0.10689026470588237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09"/>
      <c r="B30" s="109"/>
      <c r="D30" s="34">
        <f t="shared" si="1"/>
        <v>0</v>
      </c>
      <c r="E30" s="3">
        <f>COUNTIF(Vertices[Degree],"&gt;= "&amp;D30)-COUNTIF(Vertices[Degree],"&gt;="&amp;D31)</f>
        <v>0</v>
      </c>
      <c r="F30" s="39">
        <f t="shared" si="2"/>
        <v>0.823529411764706</v>
      </c>
      <c r="G30" s="40">
        <f>COUNTIF(Vertices[In-Degree],"&gt;= "&amp;F30)-COUNTIF(Vertices[In-Degree],"&gt;="&amp;F31)</f>
        <v>0</v>
      </c>
      <c r="H30" s="39">
        <f t="shared" si="3"/>
        <v>10.705882352941183</v>
      </c>
      <c r="I30" s="40">
        <f>COUNTIF(Vertices[Out-Degree],"&gt;= "&amp;H30)-COUNTIF(Vertices[Out-Degree],"&gt;="&amp;H31)</f>
        <v>0</v>
      </c>
      <c r="J30" s="39">
        <f t="shared" si="4"/>
        <v>278.35294117647055</v>
      </c>
      <c r="K30" s="40">
        <f>COUNTIF(Vertices[Betweenness Centrality],"&gt;= "&amp;J30)-COUNTIF(Vertices[Betweenness Centrality],"&gt;="&amp;J31)</f>
        <v>0</v>
      </c>
      <c r="L30" s="39">
        <f t="shared" si="5"/>
        <v>0.6604421176470585</v>
      </c>
      <c r="M30" s="40">
        <f>COUNTIF(Vertices[Closeness Centrality],"&gt;= "&amp;L30)-COUNTIF(Vertices[Closeness Centrality],"&gt;="&amp;L31)</f>
        <v>0</v>
      </c>
      <c r="N30" s="39">
        <f t="shared" si="6"/>
        <v>0.3043520588235296</v>
      </c>
      <c r="O30" s="40">
        <f>COUNTIF(Vertices[Eigenvector Centrality],"&gt;= "&amp;N30)-COUNTIF(Vertices[Eigenvector Centrality],"&gt;="&amp;N31)</f>
        <v>0</v>
      </c>
      <c r="P30" s="39">
        <f t="shared" si="7"/>
        <v>0.1093009411764706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271</v>
      </c>
      <c r="B31" s="36" t="s">
        <v>321</v>
      </c>
      <c r="D31" s="34">
        <f t="shared" si="1"/>
        <v>0</v>
      </c>
      <c r="E31" s="3">
        <f>COUNTIF(Vertices[Degree],"&gt;= "&amp;D31)-COUNTIF(Vertices[Degree],"&gt;="&amp;D32)</f>
        <v>0</v>
      </c>
      <c r="F31" s="41">
        <f t="shared" si="2"/>
        <v>0.8529411764705883</v>
      </c>
      <c r="G31" s="42">
        <f>COUNTIF(Vertices[In-Degree],"&gt;= "&amp;F31)-COUNTIF(Vertices[In-Degree],"&gt;="&amp;F32)</f>
        <v>0</v>
      </c>
      <c r="H31" s="41">
        <f t="shared" si="3"/>
        <v>11.088235294117654</v>
      </c>
      <c r="I31" s="42">
        <f>COUNTIF(Vertices[Out-Degree],"&gt;= "&amp;H31)-COUNTIF(Vertices[Out-Degree],"&gt;="&amp;H32)</f>
        <v>0</v>
      </c>
      <c r="J31" s="41">
        <f t="shared" si="4"/>
        <v>288.2941176470588</v>
      </c>
      <c r="K31" s="42">
        <f>COUNTIF(Vertices[Betweenness Centrality],"&gt;= "&amp;J31)-COUNTIF(Vertices[Betweenness Centrality],"&gt;="&amp;J32)</f>
        <v>0</v>
      </c>
      <c r="L31" s="41">
        <f t="shared" si="5"/>
        <v>0.673825264705882</v>
      </c>
      <c r="M31" s="42">
        <f>COUNTIF(Vertices[Closeness Centrality],"&gt;= "&amp;L31)-COUNTIF(Vertices[Closeness Centrality],"&gt;="&amp;L32)</f>
        <v>0</v>
      </c>
      <c r="N31" s="41">
        <f t="shared" si="6"/>
        <v>0.3142618823529414</v>
      </c>
      <c r="O31" s="42">
        <f>COUNTIF(Vertices[Eigenvector Centrality],"&gt;= "&amp;N31)-COUNTIF(Vertices[Eigenvector Centrality],"&gt;="&amp;N32)</f>
        <v>0</v>
      </c>
      <c r="P31" s="41">
        <f t="shared" si="7"/>
        <v>0.11171161764705884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272</v>
      </c>
      <c r="B32" s="36" t="s">
        <v>322</v>
      </c>
      <c r="D32" s="34">
        <f t="shared" si="1"/>
        <v>0</v>
      </c>
      <c r="E32" s="3">
        <f>COUNTIF(Vertices[Degree],"&gt;= "&amp;D32)-COUNTIF(Vertices[Degree],"&gt;="&amp;D33)</f>
        <v>0</v>
      </c>
      <c r="F32" s="39">
        <f t="shared" si="2"/>
        <v>0.8823529411764707</v>
      </c>
      <c r="G32" s="40">
        <f>COUNTIF(Vertices[In-Degree],"&gt;= "&amp;F32)-COUNTIF(Vertices[In-Degree],"&gt;="&amp;F33)</f>
        <v>0</v>
      </c>
      <c r="H32" s="39">
        <f t="shared" si="3"/>
        <v>11.470588235294125</v>
      </c>
      <c r="I32" s="40">
        <f>COUNTIF(Vertices[Out-Degree],"&gt;= "&amp;H32)-COUNTIF(Vertices[Out-Degree],"&gt;="&amp;H33)</f>
        <v>0</v>
      </c>
      <c r="J32" s="39">
        <f t="shared" si="4"/>
        <v>298.235294117647</v>
      </c>
      <c r="K32" s="40">
        <f>COUNTIF(Vertices[Betweenness Centrality],"&gt;= "&amp;J32)-COUNTIF(Vertices[Betweenness Centrality],"&gt;="&amp;J33)</f>
        <v>0</v>
      </c>
      <c r="L32" s="39">
        <f t="shared" si="5"/>
        <v>0.6872084117647055</v>
      </c>
      <c r="M32" s="40">
        <f>COUNTIF(Vertices[Closeness Centrality],"&gt;= "&amp;L32)-COUNTIF(Vertices[Closeness Centrality],"&gt;="&amp;L33)</f>
        <v>0</v>
      </c>
      <c r="N32" s="39">
        <f t="shared" si="6"/>
        <v>0.32417170588235317</v>
      </c>
      <c r="O32" s="40">
        <f>COUNTIF(Vertices[Eigenvector Centrality],"&gt;= "&amp;N32)-COUNTIF(Vertices[Eigenvector Centrality],"&gt;="&amp;N33)</f>
        <v>0</v>
      </c>
      <c r="P32" s="39">
        <f t="shared" si="7"/>
        <v>0.11412229411764707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35">
      <c r="A33" s="36" t="s">
        <v>273</v>
      </c>
      <c r="B33" s="66" t="s">
        <v>323</v>
      </c>
      <c r="D33" s="34">
        <f t="shared" si="1"/>
        <v>0</v>
      </c>
      <c r="E33" s="3">
        <f>COUNTIF(Vertices[Degree],"&gt;= "&amp;D33)-COUNTIF(Vertices[Degree],"&gt;="&amp;D34)</f>
        <v>0</v>
      </c>
      <c r="F33" s="41">
        <f t="shared" si="2"/>
        <v>0.911764705882353</v>
      </c>
      <c r="G33" s="42">
        <f>COUNTIF(Vertices[In-Degree],"&gt;= "&amp;F33)-COUNTIF(Vertices[In-Degree],"&gt;="&amp;F34)</f>
        <v>0</v>
      </c>
      <c r="H33" s="41">
        <f t="shared" si="3"/>
        <v>11.852941176470596</v>
      </c>
      <c r="I33" s="42">
        <f>COUNTIF(Vertices[Out-Degree],"&gt;= "&amp;H33)-COUNTIF(Vertices[Out-Degree],"&gt;="&amp;H34)</f>
        <v>0</v>
      </c>
      <c r="J33" s="41">
        <f t="shared" si="4"/>
        <v>308.17647058823525</v>
      </c>
      <c r="K33" s="42">
        <f>COUNTIF(Vertices[Betweenness Centrality],"&gt;= "&amp;J33)-COUNTIF(Vertices[Betweenness Centrality],"&gt;="&amp;J34)</f>
        <v>0</v>
      </c>
      <c r="L33" s="41">
        <f t="shared" si="5"/>
        <v>0.700591558823529</v>
      </c>
      <c r="M33" s="42">
        <f>COUNTIF(Vertices[Closeness Centrality],"&gt;= "&amp;L33)-COUNTIF(Vertices[Closeness Centrality],"&gt;="&amp;L34)</f>
        <v>0</v>
      </c>
      <c r="N33" s="41">
        <f t="shared" si="6"/>
        <v>0.33408152941176494</v>
      </c>
      <c r="O33" s="42">
        <f>COUNTIF(Vertices[Eigenvector Centrality],"&gt;= "&amp;N33)-COUNTIF(Vertices[Eigenvector Centrality],"&gt;="&amp;N34)</f>
        <v>0</v>
      </c>
      <c r="P33" s="41">
        <f t="shared" si="7"/>
        <v>0.11653297058823531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274</v>
      </c>
      <c r="B34" s="36" t="s">
        <v>324</v>
      </c>
      <c r="D34" s="34">
        <f t="shared" si="1"/>
        <v>0</v>
      </c>
      <c r="E34" s="3">
        <f>COUNTIF(Vertices[Degree],"&gt;= "&amp;D34)-COUNTIF(Vertices[Degree],"&gt;="&amp;D35)</f>
        <v>0</v>
      </c>
      <c r="F34" s="39">
        <f t="shared" si="2"/>
        <v>0.9411764705882354</v>
      </c>
      <c r="G34" s="40">
        <f>COUNTIF(Vertices[In-Degree],"&gt;= "&amp;F34)-COUNTIF(Vertices[In-Degree],"&gt;="&amp;F35)</f>
        <v>0</v>
      </c>
      <c r="H34" s="39">
        <f t="shared" si="3"/>
        <v>12.235294117647067</v>
      </c>
      <c r="I34" s="40">
        <f>COUNTIF(Vertices[Out-Degree],"&gt;= "&amp;H34)-COUNTIF(Vertices[Out-Degree],"&gt;="&amp;H35)</f>
        <v>0</v>
      </c>
      <c r="J34" s="39">
        <f t="shared" si="4"/>
        <v>318.1176470588235</v>
      </c>
      <c r="K34" s="40">
        <f>COUNTIF(Vertices[Betweenness Centrality],"&gt;= "&amp;J34)-COUNTIF(Vertices[Betweenness Centrality],"&gt;="&amp;J35)</f>
        <v>0</v>
      </c>
      <c r="L34" s="39">
        <f t="shared" si="5"/>
        <v>0.7139747058823525</v>
      </c>
      <c r="M34" s="40">
        <f>COUNTIF(Vertices[Closeness Centrality],"&gt;= "&amp;L34)-COUNTIF(Vertices[Closeness Centrality],"&gt;="&amp;L35)</f>
        <v>0</v>
      </c>
      <c r="N34" s="39">
        <f t="shared" si="6"/>
        <v>0.3439913529411767</v>
      </c>
      <c r="O34" s="40">
        <f>COUNTIF(Vertices[Eigenvector Centrality],"&gt;= "&amp;N34)-COUNTIF(Vertices[Eigenvector Centrality],"&gt;="&amp;N35)</f>
        <v>0</v>
      </c>
      <c r="P34" s="39">
        <f t="shared" si="7"/>
        <v>0.11894364705882354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275</v>
      </c>
      <c r="B35" s="36" t="s">
        <v>325</v>
      </c>
      <c r="D35" s="34">
        <f t="shared" si="1"/>
        <v>0</v>
      </c>
      <c r="E35" s="3">
        <f>COUNTIF(Vertices[Degree],"&gt;= "&amp;D35)-COUNTIF(Vertices[Degree],"&gt;="&amp;D36)</f>
        <v>0</v>
      </c>
      <c r="F35" s="41">
        <f t="shared" si="2"/>
        <v>0.9705882352941178</v>
      </c>
      <c r="G35" s="42">
        <f>COUNTIF(Vertices[In-Degree],"&gt;= "&amp;F35)-COUNTIF(Vertices[In-Degree],"&gt;="&amp;F36)</f>
        <v>0</v>
      </c>
      <c r="H35" s="41">
        <f t="shared" si="3"/>
        <v>12.617647058823538</v>
      </c>
      <c r="I35" s="42">
        <f>COUNTIF(Vertices[Out-Degree],"&gt;= "&amp;H35)-COUNTIF(Vertices[Out-Degree],"&gt;="&amp;H36)</f>
        <v>0</v>
      </c>
      <c r="J35" s="41">
        <f t="shared" si="4"/>
        <v>328.0588235294117</v>
      </c>
      <c r="K35" s="42">
        <f>COUNTIF(Vertices[Betweenness Centrality],"&gt;= "&amp;J35)-COUNTIF(Vertices[Betweenness Centrality],"&gt;="&amp;J36)</f>
        <v>0</v>
      </c>
      <c r="L35" s="41">
        <f t="shared" si="5"/>
        <v>0.7273578529411759</v>
      </c>
      <c r="M35" s="42">
        <f>COUNTIF(Vertices[Closeness Centrality],"&gt;= "&amp;L35)-COUNTIF(Vertices[Closeness Centrality],"&gt;="&amp;L36)</f>
        <v>0</v>
      </c>
      <c r="N35" s="41">
        <f t="shared" si="6"/>
        <v>0.3539011764705885</v>
      </c>
      <c r="O35" s="42">
        <f>COUNTIF(Vertices[Eigenvector Centrality],"&gt;= "&amp;N35)-COUNTIF(Vertices[Eigenvector Centrality],"&gt;="&amp;N36)</f>
        <v>1</v>
      </c>
      <c r="P35" s="41">
        <f t="shared" si="7"/>
        <v>0.12135432352941178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276</v>
      </c>
      <c r="B36" s="36"/>
      <c r="D36" s="34">
        <f>MAX(Vertices[Degree])</f>
        <v>0</v>
      </c>
      <c r="E36" s="3">
        <f>COUNTIF(Vertices[Degree],"&gt;= "&amp;D36)-COUNTIF(Vertices[Degree],"&gt;="&amp;#REF!)</f>
        <v>0</v>
      </c>
      <c r="F36" s="43">
        <f>MAX(Vertices[In-Degree])</f>
        <v>1</v>
      </c>
      <c r="G36" s="44">
        <f>COUNTIF(Vertices[In-Degree],"&gt;= "&amp;F36)-COUNTIF(Vertices[In-Degree],"&gt;="&amp;#REF!)</f>
        <v>20</v>
      </c>
      <c r="H36" s="43">
        <f>MAX(Vertices[Out-Degree])</f>
        <v>13</v>
      </c>
      <c r="I36" s="44">
        <f>COUNTIF(Vertices[Out-Degree],"&gt;= "&amp;H36)-COUNTIF(Vertices[Out-Degree],"&gt;="&amp;#REF!)</f>
        <v>1</v>
      </c>
      <c r="J36" s="43">
        <f>MAX(Vertices[Betweenness Centrality])</f>
        <v>338</v>
      </c>
      <c r="K36" s="44">
        <f>COUNTIF(Vertices[Betweenness Centrality],"&gt;= "&amp;J36)-COUNTIF(Vertices[Betweenness Centrality],"&gt;="&amp;#REF!)</f>
        <v>1</v>
      </c>
      <c r="L36" s="43">
        <f>MAX(Vertices[Closeness Centrality])</f>
        <v>0.740741</v>
      </c>
      <c r="M36" s="44">
        <f>COUNTIF(Vertices[Closeness Centrality],"&gt;= "&amp;L36)-COUNTIF(Vertices[Closeness Centrality],"&gt;="&amp;#REF!)</f>
        <v>1</v>
      </c>
      <c r="N36" s="43">
        <f>MAX(Vertices[Eigenvector Centrality])</f>
        <v>0.363811</v>
      </c>
      <c r="O36" s="44">
        <f>COUNTIF(Vertices[Eigenvector Centrality],"&gt;= "&amp;N36)-COUNTIF(Vertices[Eigenvector Centrality],"&gt;="&amp;#REF!)</f>
        <v>1</v>
      </c>
      <c r="P36" s="43">
        <f>MAX(Vertices[PageRank])</f>
        <v>0.123765</v>
      </c>
      <c r="Q36" s="44">
        <f>COUNTIF(Vertices[PageRank],"&gt;= "&amp;P36)-COUNTIF(Vertices[PageRank],"&gt;="&amp;#REF!)</f>
        <v>1</v>
      </c>
      <c r="R36" s="43">
        <f>MAX(Vertices[Clustering Coefficient])</f>
        <v>0</v>
      </c>
      <c r="S36" s="47">
        <f>COUNTIF(Vertices[Clustering Coefficient],"&gt;= "&amp;R36)-COUNTIF(Vertices[Clustering Coefficient],"&gt;="&amp;#REF!)</f>
        <v>21</v>
      </c>
      <c r="T36" s="43" t="e">
        <f ca="1">MAX(INDIRECT(DynamicFilterSourceColumnRange))</f>
        <v>#REF!</v>
      </c>
      <c r="U36" s="44" t="e">
        <f ca="1">COUNTIF(INDIRECT(DynamicFilterSourceColumnRange),"&gt;= "&amp;T36)-COUNTIF(INDIRECT(DynamicFilterSourceColumnRange),"&gt;="&amp;#REF!)</f>
        <v>#REF!</v>
      </c>
    </row>
    <row r="37" spans="1:2" ht="15">
      <c r="A37" s="36" t="s">
        <v>277</v>
      </c>
      <c r="B37" s="36"/>
    </row>
    <row r="38" spans="1:2" ht="15">
      <c r="A38" s="36" t="s">
        <v>278</v>
      </c>
      <c r="B38" s="36"/>
    </row>
    <row r="39" spans="1:2" ht="15">
      <c r="A39" s="36" t="s">
        <v>279</v>
      </c>
      <c r="B39" s="36"/>
    </row>
    <row r="40" spans="1:2" ht="15">
      <c r="A40" s="36" t="s">
        <v>21</v>
      </c>
      <c r="B40" s="36"/>
    </row>
    <row r="41" spans="1:2" ht="15">
      <c r="A41" s="36" t="s">
        <v>280</v>
      </c>
      <c r="B41" s="36" t="s">
        <v>34</v>
      </c>
    </row>
    <row r="42" spans="1:2" ht="15">
      <c r="A42" s="36" t="s">
        <v>281</v>
      </c>
      <c r="B42" s="36"/>
    </row>
    <row r="43" spans="1:2" ht="15">
      <c r="A43" s="36" t="s">
        <v>282</v>
      </c>
      <c r="B43" s="36"/>
    </row>
    <row r="60" spans="1:2" ht="15">
      <c r="A60" t="s">
        <v>163</v>
      </c>
      <c r="B60" s="81" t="s">
        <v>17</v>
      </c>
    </row>
    <row r="61" spans="1:2" ht="15">
      <c r="A61" s="35"/>
      <c r="B61" s="36"/>
    </row>
    <row r="66" ht="15"/>
    <row r="67" ht="15"/>
    <row r="68" ht="15"/>
    <row r="69" ht="15"/>
    <row r="70" ht="15"/>
    <row r="71" ht="15"/>
    <row r="72" ht="15"/>
    <row r="73" ht="15"/>
    <row r="74" spans="1:2" ht="15">
      <c r="A74" s="35" t="s">
        <v>81</v>
      </c>
      <c r="B74" s="49" t="str">
        <f>IF(COUNT(Vertices[Degree])&gt;0,D2,NoMetricMessage)</f>
        <v>Not Available</v>
      </c>
    </row>
    <row r="75" spans="1:2" ht="15">
      <c r="A75" s="35" t="s">
        <v>82</v>
      </c>
      <c r="B75" s="49" t="str">
        <f>IF(COUNT(Vertices[Degree])&gt;0,D36,NoMetricMessage)</f>
        <v>Not Available</v>
      </c>
    </row>
    <row r="76" spans="1:2" ht="15">
      <c r="A76" s="35" t="s">
        <v>83</v>
      </c>
      <c r="B76" s="50" t="str">
        <f>_xlfn.IFERROR(AVERAGE(Vertices[Degree]),NoMetricMessage)</f>
        <v>Not Available</v>
      </c>
    </row>
    <row r="77" spans="1:2" ht="15">
      <c r="A77" s="35" t="s">
        <v>84</v>
      </c>
      <c r="B77" s="50" t="str">
        <f>_xlfn.IFERROR(MEDIAN(Vertices[Degree]),NoMetricMessage)</f>
        <v>Not Available</v>
      </c>
    </row>
    <row r="80" ht="15"/>
    <row r="81" ht="15"/>
    <row r="82" ht="15"/>
    <row r="83" ht="15"/>
    <row r="84" ht="15"/>
    <row r="85" ht="15"/>
    <row r="86" ht="15"/>
    <row r="87" ht="15"/>
    <row r="88" spans="1:2" ht="15">
      <c r="A88" s="35" t="s">
        <v>88</v>
      </c>
      <c r="B88" s="49">
        <f>IF(COUNT(Vertices[In-Degree])&gt;0,F2,NoMetricMessage)</f>
        <v>0</v>
      </c>
    </row>
    <row r="89" spans="1:2" ht="15">
      <c r="A89" s="35" t="s">
        <v>89</v>
      </c>
      <c r="B89" s="49">
        <f>IF(COUNT(Vertices[In-Degree])&gt;0,F36,NoMetricMessage)</f>
        <v>1</v>
      </c>
    </row>
    <row r="90" spans="1:2" ht="15">
      <c r="A90" s="35" t="s">
        <v>90</v>
      </c>
      <c r="B90" s="50">
        <f>_xlfn.IFERROR(AVERAGE(Vertices[In-Degree]),NoMetricMessage)</f>
        <v>0.9523809523809523</v>
      </c>
    </row>
    <row r="91" spans="1:2" ht="15">
      <c r="A91" s="35" t="s">
        <v>91</v>
      </c>
      <c r="B91" s="50">
        <f>_xlfn.IFERROR(MEDIAN(Vertices[In-Degree]),NoMetricMessage)</f>
        <v>1</v>
      </c>
    </row>
    <row r="94" ht="15"/>
    <row r="95" ht="15"/>
    <row r="96" ht="15"/>
    <row r="97" ht="15"/>
    <row r="98" ht="15"/>
    <row r="99" ht="15"/>
    <row r="100" ht="15"/>
    <row r="101" ht="15"/>
    <row r="102" spans="1:2" ht="15">
      <c r="A102" s="35" t="s">
        <v>94</v>
      </c>
      <c r="B102" s="49">
        <f>IF(COUNT(Vertices[Out-Degree])&gt;0,H2,NoMetricMessage)</f>
        <v>0</v>
      </c>
    </row>
    <row r="103" spans="1:2" ht="15">
      <c r="A103" s="35" t="s">
        <v>95</v>
      </c>
      <c r="B103" s="49">
        <f>IF(COUNT(Vertices[Out-Degree])&gt;0,H36,NoMetricMessage)</f>
        <v>13</v>
      </c>
    </row>
    <row r="104" spans="1:2" ht="15">
      <c r="A104" s="35" t="s">
        <v>96</v>
      </c>
      <c r="B104" s="50">
        <f>_xlfn.IFERROR(AVERAGE(Vertices[Out-Degree]),NoMetricMessage)</f>
        <v>0.9523809523809523</v>
      </c>
    </row>
    <row r="105" spans="1:2" ht="15">
      <c r="A105" s="35" t="s">
        <v>97</v>
      </c>
      <c r="B105" s="50">
        <f>_xlfn.IFERROR(MEDIAN(Vertices[Out-Degree]),NoMetricMessage)</f>
        <v>0</v>
      </c>
    </row>
    <row r="108" ht="15"/>
    <row r="109" ht="15"/>
    <row r="110" ht="15"/>
    <row r="111" ht="15"/>
    <row r="112" ht="15"/>
    <row r="113" ht="15"/>
    <row r="114" ht="15"/>
    <row r="115" ht="15"/>
    <row r="116" spans="1:2" ht="15">
      <c r="A116" s="35" t="s">
        <v>100</v>
      </c>
      <c r="B116" s="50">
        <f>IF(COUNT(Vertices[Betweenness Centrality])&gt;0,J2,NoMetricMessage)</f>
        <v>0</v>
      </c>
    </row>
    <row r="117" spans="1:2" ht="15">
      <c r="A117" s="35" t="s">
        <v>101</v>
      </c>
      <c r="B117" s="50">
        <f>IF(COUNT(Vertices[Betweenness Centrality])&gt;0,J36,NoMetricMessage)</f>
        <v>338</v>
      </c>
    </row>
    <row r="118" spans="1:2" ht="15">
      <c r="A118" s="35" t="s">
        <v>102</v>
      </c>
      <c r="B118" s="50">
        <f>_xlfn.IFERROR(AVERAGE(Vertices[Betweenness Centrality]),NoMetricMessage)</f>
        <v>27.238095238095237</v>
      </c>
    </row>
    <row r="119" spans="1:2" ht="15">
      <c r="A119" s="35" t="s">
        <v>103</v>
      </c>
      <c r="B119" s="50">
        <f>_xlfn.IFERROR(MEDIAN(Vertices[Betweenness Centrality]),NoMetricMessage)</f>
        <v>0</v>
      </c>
    </row>
    <row r="122" ht="15"/>
    <row r="123" ht="15"/>
    <row r="124" ht="15"/>
    <row r="125" ht="15"/>
    <row r="126" ht="15"/>
    <row r="127" ht="15"/>
    <row r="128" ht="15"/>
    <row r="129" ht="15"/>
    <row r="130" spans="1:2" ht="15">
      <c r="A130" s="35" t="s">
        <v>106</v>
      </c>
      <c r="B130" s="50">
        <f>IF(COUNT(Vertices[Closeness Centrality])&gt;0,L2,NoMetricMessage)</f>
        <v>0.285714</v>
      </c>
    </row>
    <row r="131" spans="1:2" ht="15">
      <c r="A131" s="35" t="s">
        <v>107</v>
      </c>
      <c r="B131" s="50">
        <f>IF(COUNT(Vertices[Closeness Centrality])&gt;0,L36,NoMetricMessage)</f>
        <v>0.740741</v>
      </c>
    </row>
    <row r="132" spans="1:2" ht="15">
      <c r="A132" s="35" t="s">
        <v>108</v>
      </c>
      <c r="B132" s="50">
        <f>_xlfn.IFERROR(AVERAGE(Vertices[Closeness Centrality]),NoMetricMessage)</f>
        <v>0.4365932380952381</v>
      </c>
    </row>
    <row r="133" spans="1:2" ht="15">
      <c r="A133" s="35" t="s">
        <v>109</v>
      </c>
      <c r="B133" s="50">
        <f>_xlfn.IFERROR(MEDIAN(Vertices[Closeness Centrality]),NoMetricMessage)</f>
        <v>0.434783</v>
      </c>
    </row>
    <row r="136" ht="15"/>
    <row r="137" ht="15"/>
    <row r="138" ht="15"/>
    <row r="139" ht="15"/>
    <row r="140" ht="15"/>
    <row r="141" ht="15"/>
    <row r="142" ht="15"/>
    <row r="143" ht="15"/>
    <row r="144" spans="1:2" ht="15">
      <c r="A144" s="35" t="s">
        <v>112</v>
      </c>
      <c r="B144" s="50">
        <f>IF(COUNT(Vertices[Eigenvector Centrality])&gt;0,N2,NoMetricMessage)</f>
        <v>0.026877</v>
      </c>
    </row>
    <row r="145" spans="1:2" ht="15">
      <c r="A145" s="35" t="s">
        <v>113</v>
      </c>
      <c r="B145" s="50">
        <f>IF(COUNT(Vertices[Eigenvector Centrality])&gt;0,N36,NoMetricMessage)</f>
        <v>0.363811</v>
      </c>
    </row>
    <row r="146" spans="1:2" ht="15">
      <c r="A146" s="35" t="s">
        <v>114</v>
      </c>
      <c r="B146" s="50">
        <f>_xlfn.IFERROR(AVERAGE(Vertices[Eigenvector Centrality]),NoMetricMessage)</f>
        <v>0.19161595238095241</v>
      </c>
    </row>
    <row r="147" spans="1:2" ht="15">
      <c r="A147" s="35" t="s">
        <v>115</v>
      </c>
      <c r="B147" s="50">
        <f>_xlfn.IFERROR(MEDIAN(Vertices[Eigenvector Centrality]),NoMetricMessage)</f>
        <v>0.236822</v>
      </c>
    </row>
    <row r="150" ht="15"/>
    <row r="151" ht="15"/>
    <row r="152" ht="15"/>
    <row r="153" ht="15"/>
    <row r="154" ht="15"/>
    <row r="155" ht="15"/>
    <row r="156" ht="15"/>
    <row r="157" ht="15"/>
    <row r="158" spans="1:2" ht="15">
      <c r="A158" s="35" t="s">
        <v>140</v>
      </c>
      <c r="B158" s="50">
        <f>IF(COUNT(Vertices[PageRank])&gt;0,P2,NoMetricMessage)</f>
        <v>0.041802</v>
      </c>
    </row>
    <row r="159" spans="1:2" ht="15">
      <c r="A159" s="35" t="s">
        <v>141</v>
      </c>
      <c r="B159" s="50">
        <f>IF(COUNT(Vertices[PageRank])&gt;0,P36,NoMetricMessage)</f>
        <v>0.123765</v>
      </c>
    </row>
    <row r="160" spans="1:2" ht="15">
      <c r="A160" s="35" t="s">
        <v>142</v>
      </c>
      <c r="B160" s="50">
        <f>_xlfn.IFERROR(AVERAGE(Vertices[PageRank]),NoMetricMessage)</f>
        <v>0.04761919047619049</v>
      </c>
    </row>
    <row r="161" spans="1:2" ht="15">
      <c r="A161" s="35" t="s">
        <v>143</v>
      </c>
      <c r="B161" s="50">
        <f>_xlfn.IFERROR(MEDIAN(Vertices[PageRank]),NoMetricMessage)</f>
        <v>0.041802</v>
      </c>
    </row>
    <row r="164" ht="15"/>
    <row r="165" ht="15"/>
    <row r="166" ht="15"/>
    <row r="167" ht="15"/>
    <row r="168" ht="15"/>
    <row r="169" ht="15"/>
    <row r="170" ht="15"/>
    <row r="171" ht="15"/>
    <row r="172" spans="1:2" ht="15">
      <c r="A172" s="35" t="s">
        <v>118</v>
      </c>
      <c r="B172" s="50">
        <f>IF(COUNT(Vertices[Clustering Coefficient])&gt;0,R2,NoMetricMessage)</f>
        <v>0</v>
      </c>
    </row>
    <row r="173" spans="1:2" ht="15">
      <c r="A173" s="35" t="s">
        <v>119</v>
      </c>
      <c r="B173" s="50">
        <f>IF(COUNT(Vertices[Clustering Coefficient])&gt;0,R36,NoMetricMessage)</f>
        <v>0</v>
      </c>
    </row>
    <row r="174" spans="1:2" ht="15">
      <c r="A174" s="35" t="s">
        <v>120</v>
      </c>
      <c r="B174" s="50">
        <f>_xlfn.IFERROR(AVERAGE(Vertices[Clustering Coefficient]),NoMetricMessage)</f>
        <v>0</v>
      </c>
    </row>
    <row r="175" spans="1:2" ht="15">
      <c r="A175" s="35" t="s">
        <v>121</v>
      </c>
      <c r="B175" s="50">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7">
      <selection activeCell="L7" sqref="L7"/>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264</v>
      </c>
    </row>
    <row r="6" spans="1:18" ht="409.5">
      <c r="A6">
        <v>0</v>
      </c>
      <c r="B6" s="1" t="s">
        <v>136</v>
      </c>
      <c r="C6">
        <v>1</v>
      </c>
      <c r="D6" t="s">
        <v>59</v>
      </c>
      <c r="E6" t="s">
        <v>59</v>
      </c>
      <c r="F6">
        <v>0</v>
      </c>
      <c r="H6" t="s">
        <v>71</v>
      </c>
      <c r="J6" t="s">
        <v>173</v>
      </c>
      <c r="K6" s="13" t="s">
        <v>265</v>
      </c>
      <c r="R6" t="s">
        <v>129</v>
      </c>
    </row>
    <row r="7" spans="1:11" ht="409.5">
      <c r="A7">
        <v>2</v>
      </c>
      <c r="B7">
        <v>1</v>
      </c>
      <c r="C7">
        <v>0</v>
      </c>
      <c r="D7" t="s">
        <v>60</v>
      </c>
      <c r="E7" t="s">
        <v>60</v>
      </c>
      <c r="F7">
        <v>2</v>
      </c>
      <c r="H7" t="s">
        <v>72</v>
      </c>
      <c r="J7" t="s">
        <v>174</v>
      </c>
      <c r="K7" s="13" t="s">
        <v>300</v>
      </c>
    </row>
    <row r="8" spans="1:11" ht="409.5">
      <c r="A8"/>
      <c r="B8">
        <v>2</v>
      </c>
      <c r="C8">
        <v>2</v>
      </c>
      <c r="D8" t="s">
        <v>61</v>
      </c>
      <c r="E8" t="s">
        <v>61</v>
      </c>
      <c r="H8" t="s">
        <v>73</v>
      </c>
      <c r="J8" t="s">
        <v>175</v>
      </c>
      <c r="K8" s="13" t="s">
        <v>301</v>
      </c>
    </row>
    <row r="9" spans="1:11" ht="409.5">
      <c r="A9"/>
      <c r="B9">
        <v>3</v>
      </c>
      <c r="C9">
        <v>4</v>
      </c>
      <c r="D9" t="s">
        <v>62</v>
      </c>
      <c r="E9" t="s">
        <v>62</v>
      </c>
      <c r="H9" t="s">
        <v>74</v>
      </c>
      <c r="J9" t="s">
        <v>176</v>
      </c>
      <c r="K9" s="13" t="s">
        <v>302</v>
      </c>
    </row>
    <row r="10" spans="1:11" ht="15">
      <c r="A10"/>
      <c r="B10">
        <v>4</v>
      </c>
      <c r="D10" t="s">
        <v>63</v>
      </c>
      <c r="E10" t="s">
        <v>63</v>
      </c>
      <c r="H10" t="s">
        <v>75</v>
      </c>
      <c r="J10" t="s">
        <v>177</v>
      </c>
      <c r="K10" t="s">
        <v>303</v>
      </c>
    </row>
    <row r="11" spans="1:11" ht="15">
      <c r="A11"/>
      <c r="B11">
        <v>5</v>
      </c>
      <c r="D11" t="s">
        <v>46</v>
      </c>
      <c r="E11">
        <v>1</v>
      </c>
      <c r="H11" t="s">
        <v>76</v>
      </c>
      <c r="J11" t="s">
        <v>178</v>
      </c>
      <c r="K11" t="s">
        <v>304</v>
      </c>
    </row>
    <row r="12" spans="1:11" ht="15">
      <c r="A12"/>
      <c r="B12"/>
      <c r="D12" t="s">
        <v>64</v>
      </c>
      <c r="E12">
        <v>2</v>
      </c>
      <c r="H12">
        <v>0</v>
      </c>
      <c r="J12" t="s">
        <v>179</v>
      </c>
      <c r="K12" t="s">
        <v>305</v>
      </c>
    </row>
    <row r="13" spans="1:11" ht="15">
      <c r="A13"/>
      <c r="B13"/>
      <c r="D13">
        <v>1</v>
      </c>
      <c r="E13">
        <v>3</v>
      </c>
      <c r="H13">
        <v>1</v>
      </c>
      <c r="J13" t="s">
        <v>180</v>
      </c>
      <c r="K13" t="s">
        <v>306</v>
      </c>
    </row>
    <row r="14" spans="4:11" ht="15">
      <c r="D14">
        <v>2</v>
      </c>
      <c r="E14">
        <v>4</v>
      </c>
      <c r="H14">
        <v>2</v>
      </c>
      <c r="J14" t="s">
        <v>181</v>
      </c>
      <c r="K14" t="s">
        <v>307</v>
      </c>
    </row>
    <row r="15" spans="4:11" ht="15">
      <c r="D15">
        <v>3</v>
      </c>
      <c r="E15">
        <v>5</v>
      </c>
      <c r="H15">
        <v>3</v>
      </c>
      <c r="J15" t="s">
        <v>182</v>
      </c>
      <c r="K15" t="s">
        <v>308</v>
      </c>
    </row>
    <row r="16" spans="4:11" ht="15">
      <c r="D16">
        <v>4</v>
      </c>
      <c r="E16">
        <v>6</v>
      </c>
      <c r="H16">
        <v>4</v>
      </c>
      <c r="J16" t="s">
        <v>183</v>
      </c>
      <c r="K16" t="s">
        <v>309</v>
      </c>
    </row>
    <row r="17" spans="4:11" ht="15">
      <c r="D17">
        <v>5</v>
      </c>
      <c r="E17">
        <v>7</v>
      </c>
      <c r="H17">
        <v>5</v>
      </c>
      <c r="J17" t="s">
        <v>184</v>
      </c>
      <c r="K17" t="s">
        <v>310</v>
      </c>
    </row>
    <row r="18" spans="4:11" ht="15">
      <c r="D18">
        <v>6</v>
      </c>
      <c r="E18">
        <v>8</v>
      </c>
      <c r="H18">
        <v>6</v>
      </c>
      <c r="J18" t="s">
        <v>185</v>
      </c>
      <c r="K18" t="s">
        <v>311</v>
      </c>
    </row>
    <row r="19" spans="4:11" ht="15">
      <c r="D19">
        <v>7</v>
      </c>
      <c r="E19">
        <v>9</v>
      </c>
      <c r="H19">
        <v>7</v>
      </c>
      <c r="J19" t="s">
        <v>186</v>
      </c>
      <c r="K19" t="s">
        <v>312</v>
      </c>
    </row>
    <row r="20" spans="4:11" ht="409.5">
      <c r="D20">
        <v>8</v>
      </c>
      <c r="H20">
        <v>8</v>
      </c>
      <c r="J20" t="s">
        <v>187</v>
      </c>
      <c r="K20" s="13" t="s">
        <v>313</v>
      </c>
    </row>
    <row r="21" spans="4:11" ht="409.5">
      <c r="D21">
        <v>9</v>
      </c>
      <c r="H21">
        <v>9</v>
      </c>
      <c r="J21" t="s">
        <v>188</v>
      </c>
      <c r="K21" s="13" t="s">
        <v>314</v>
      </c>
    </row>
    <row r="22" spans="4:11" ht="409.5">
      <c r="D22">
        <v>10</v>
      </c>
      <c r="J22" t="s">
        <v>189</v>
      </c>
      <c r="K22" s="13" t="s">
        <v>315</v>
      </c>
    </row>
    <row r="23" spans="4:11" ht="409.5">
      <c r="D23">
        <v>11</v>
      </c>
      <c r="J23" t="s">
        <v>190</v>
      </c>
      <c r="K23" s="13" t="s">
        <v>328</v>
      </c>
    </row>
    <row r="24" spans="10:11" ht="15">
      <c r="J24" t="s">
        <v>191</v>
      </c>
      <c r="K24">
        <v>19</v>
      </c>
    </row>
    <row r="25" spans="10:11" ht="15">
      <c r="J25" t="s">
        <v>193</v>
      </c>
      <c r="K25" t="s">
        <v>299</v>
      </c>
    </row>
    <row r="26" spans="10:11" ht="409.5">
      <c r="J26" t="s">
        <v>194</v>
      </c>
      <c r="K26" s="13" t="s">
        <v>317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6093E-87C0-43E3-80ED-23307C37B4A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284</v>
      </c>
      <c r="B1" s="13" t="s">
        <v>17</v>
      </c>
    </row>
    <row r="2" spans="1:2" ht="15">
      <c r="A2" s="81" t="s">
        <v>285</v>
      </c>
      <c r="B2" s="81"/>
    </row>
    <row r="3" spans="1:2" ht="15">
      <c r="A3" s="82" t="s">
        <v>286</v>
      </c>
      <c r="B3" s="81"/>
    </row>
    <row r="4" spans="1:2" ht="15">
      <c r="A4" s="82" t="s">
        <v>287</v>
      </c>
      <c r="B4" s="81"/>
    </row>
    <row r="5" spans="1:2" ht="15">
      <c r="A5" s="82" t="s">
        <v>288</v>
      </c>
      <c r="B5" s="81"/>
    </row>
    <row r="6" spans="1:2" ht="15">
      <c r="A6" s="82" t="s">
        <v>289</v>
      </c>
      <c r="B6" s="81"/>
    </row>
    <row r="7" spans="1:2" ht="15">
      <c r="A7" s="82" t="s">
        <v>290</v>
      </c>
      <c r="B7" s="81"/>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48E78-03FD-4C32-8258-D022C2E1857C}">
  <dimension ref="A1:B11"/>
  <sheetViews>
    <sheetView workbookViewId="0" topLeftCell="A1">
      <selection activeCell="E17" sqref="E17"/>
    </sheetView>
  </sheetViews>
  <sheetFormatPr defaultColWidth="9.140625" defaultRowHeight="15"/>
  <cols>
    <col min="1" max="1" width="49.7109375" style="0" bestFit="1" customWidth="1"/>
    <col min="2" max="2" width="24.8515625" style="0" bestFit="1" customWidth="1"/>
  </cols>
  <sheetData>
    <row r="1" spans="1:2" ht="15" customHeight="1">
      <c r="A1" s="13" t="s">
        <v>291</v>
      </c>
      <c r="B1" s="13" t="s">
        <v>34</v>
      </c>
    </row>
    <row r="2" spans="1:2" ht="15">
      <c r="A2" s="110" t="s">
        <v>199</v>
      </c>
      <c r="B2" s="81">
        <v>338</v>
      </c>
    </row>
    <row r="3" spans="1:2" ht="15">
      <c r="A3" s="111" t="s">
        <v>201</v>
      </c>
      <c r="B3" s="81">
        <v>196</v>
      </c>
    </row>
    <row r="4" spans="1:2" ht="15">
      <c r="A4" s="111" t="s">
        <v>200</v>
      </c>
      <c r="B4" s="81">
        <v>38</v>
      </c>
    </row>
    <row r="5" spans="1:2" ht="15">
      <c r="A5" s="111" t="s">
        <v>211</v>
      </c>
      <c r="B5" s="81">
        <v>0</v>
      </c>
    </row>
    <row r="6" spans="1:2" ht="15">
      <c r="A6" s="111" t="s">
        <v>213</v>
      </c>
      <c r="B6" s="81">
        <v>0</v>
      </c>
    </row>
    <row r="7" spans="1:2" ht="15">
      <c r="A7" s="111" t="s">
        <v>212</v>
      </c>
      <c r="B7" s="81">
        <v>0</v>
      </c>
    </row>
    <row r="8" spans="1:2" ht="15">
      <c r="A8" s="111" t="s">
        <v>214</v>
      </c>
      <c r="B8" s="81">
        <v>0</v>
      </c>
    </row>
    <row r="9" spans="1:2" ht="15">
      <c r="A9" s="111" t="s">
        <v>216</v>
      </c>
      <c r="B9" s="81">
        <v>0</v>
      </c>
    </row>
    <row r="10" spans="1:2" ht="15">
      <c r="A10" s="111" t="s">
        <v>217</v>
      </c>
      <c r="B10" s="81">
        <v>0</v>
      </c>
    </row>
    <row r="11" spans="1:2" ht="15">
      <c r="A11" s="111" t="s">
        <v>218</v>
      </c>
      <c r="B11" s="81">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86CE35-C595-4563-A2A9-AFD0E7325A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g-manu2208</dc:creator>
  <cp:keywords/>
  <dc:description/>
  <cp:lastModifiedBy>g-manu2208</cp:lastModifiedBy>
  <dcterms:created xsi:type="dcterms:W3CDTF">2008-01-30T00:41:58Z</dcterms:created>
  <dcterms:modified xsi:type="dcterms:W3CDTF">2024-01-19T13:26:23Z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