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<sst xmlns="http://schemas.openxmlformats.org/spreadsheetml/2006/main" count="1933" uniqueCount="579">
  <si>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</si>
  <si>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</si>
  <si>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</si>
  <si>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</si>
  <si>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</si>
  <si>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</si>
  <si>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</si>
  <si>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</si>
  <si>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</si>
  <si>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</si>
  <si>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</si>
  <si>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</si>
  <si>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</si>
  <si>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</si>
  <si>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</si>
  <si>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</si>
  <si>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</si>
  <si>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</si>
  <si>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</si>
  <si>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</si>
  <si>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</si>
  <si>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</si>
  <si>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</si>
  <si>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</si>
  <si>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</si>
  <si>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</si>
  <si>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</si>
  <si>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</si>
  <si>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</si>
  <si>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</si>
  <si>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</si>
  <si>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</si>
  <si>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</si>
  <si>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</si>
  <si>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</si>
  <si>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</si>
  <si>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</si>
  <si>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</si>
  <si>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</si>
  <si>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</si>
  <si>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</si>
  <si>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</si>
  <si>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</si>
  <si>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</si>
  <si>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</si>
  <si>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</si>
  <si>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</si>
  <si>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</si>
  <si>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</si>
  <si>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</si>
  <si>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</si>
  <si>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</si>
  <si>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</si>
  <si>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</si>
  <si>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</si>
  <si>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</si>
  <si>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</si>
  <si>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</si>
  <si>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</si>
  <si>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</si>
  <si>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</si>
  <si>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</si>
  <si>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</si>
  <si>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</si>
  <si>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</si>
  <si>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</si>
  <si>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</si>
  <si>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</si>
  <si>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</si>
  <si>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</si>
  <si>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</si>
  <si>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</si>
  <si>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</si>
  <si>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</si>
  <si>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</si>
  <si>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</si>
  <si>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</si>
  <si>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</si>
  <si>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</si>
  <si>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</si>
  <si>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</si>
  <si>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</si>
  <si>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</si>
  <si>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</si>
  <si>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</si>
  <si>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</si>
  <si>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</si>
  <si>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</si>
  <si>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</si>
  <si>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</si>
  <si>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</si>
  <si>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</si>
  <si>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</si>
  <si>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</si>
  <si>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</si>
  <si>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</si>
  <si>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</si>
  <si>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</si>
  <si>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</si>
  <si>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</si>
  <si>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</si>
  <si>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</si>
  <si>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</si>
  <si>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</si>
  <si>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</si>
  <si>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</si>
  <si>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</si>
  <si>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</si>
  <si>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</si>
  <si>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</si>
  <si>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</si>
  <si>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</si>
  <si>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</si>
  <si>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</si>
  <si>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</si>
  <si>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</si>
  <si>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</si>
  <si>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</si>
  <si>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</si>
  <si>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</si>
  <si>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</si>
  <si>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</si>
  <si>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</si>
  <si>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</si>
  <si>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</si>
  <si>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</si>
  <si>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</si>
  <si>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</si>
  <si>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</si>
  <si>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</si>
  <si>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</si>
  <si>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</si>
  <si>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</si>
  <si>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</si>
  <si>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</si>
  <si>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</si>
  <si>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</si>
  <si>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</si>
  <si>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</si>
  <si>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</si>
  <si>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</si>
  <si>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</si>
  <si>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</si>
  <si>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</si>
  <si>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</si>
  <si>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</si>
  <si>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</si>
  <si>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</si>
  <si>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</si>
  <si>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</si>
  <si>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</si>
  <si>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</si>
  <si>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</si>
  <si>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</si>
  <si>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</si>
  <si>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</si>
  <si>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</si>
  <si>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</si>
  <si>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</si>
  <si>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</si>
  <si>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</si>
  <si>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</si>
  <si>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</si>
  <si>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</si>
  <si>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</si>
  <si>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</si>
  <si>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</si>
  <si>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</si>
  <si>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</si>
  <si>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</si>
  <si>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</si>
  <si>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</si>
  <si>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</si>
  <si>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</si>
  <si>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</si>
  <si>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</si>
  <si>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</si>
  <si>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</si>
  <si>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</si>
  <si>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</si>
  <si>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</si>
  <si>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</si>
  <si>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</si>
  <si>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</si>
  <si>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</si>
  <si>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</si>
  <si>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</si>
  <si>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</si>
  <si>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</si>
  <si>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</si>
  <si>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</si>
  <si>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</si>
  <si>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</si>
  <si>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</si>
  <si>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</si>
  <si>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</si>
  <si>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</si>
  <si>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</si>
  <si>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</si>
  <si>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UCkbWev9P2Ax5-dBKjJnHsiw</t>
  </si>
  <si>
    <t>UCf3pS-gvIJa_J_uY7D9sf9g</t>
  </si>
  <si>
    <t>UCNr-CbRKFGlXjb4K0rqgSjw</t>
  </si>
  <si>
    <t>UCJ9OBmt5rb2pGzRZeSoYLUA</t>
  </si>
  <si>
    <t>UCENS-pJJ6n-TIWtn3yYTctQ</t>
  </si>
  <si>
    <t>UCCq8NGxzVTVw_PR-ryfNhkQ</t>
  </si>
  <si>
    <t>UC6K5qD2KWFY8saNG0QpEWtQ</t>
  </si>
  <si>
    <t>UC54-wrXsb11XOdqWcSi2_XQ</t>
  </si>
  <si>
    <t>UC1q22y7y2dq2aNfKO_eU6_w</t>
  </si>
  <si>
    <t>UC0U__GzHqCuIPwmmuXjdwtg</t>
  </si>
  <si>
    <t>UC-htisi9TeqdRkTTpNtznrg</t>
  </si>
  <si>
    <t>UCvU4p_w08osQsrNi_I4ZtDA</t>
  </si>
  <si>
    <t>UCPdgh_omw_87X_N6fepuS_w</t>
  </si>
  <si>
    <t>UCyfZleh4w7buTzi0WfY8WqA</t>
  </si>
  <si>
    <t>UCp5HM43r_5wV7kBhxAte4Cg</t>
  </si>
  <si>
    <t>UCUpCShTEkFvbXHCQRiWczjQ</t>
  </si>
  <si>
    <t>UCpSDmUjS6dG0Mg7XPzp51ZQ</t>
  </si>
  <si>
    <t>UCl8QdQ9ZaBT65tF1yOmbMBQ</t>
  </si>
  <si>
    <t>UCeH0P2N5lQyIslp2Z6zFudQ</t>
  </si>
  <si>
    <t>UCYCib--ExaS3Rq2ggRTtWiQ</t>
  </si>
  <si>
    <t>UCWqWkFMzjksaoWGhz6oWctQ</t>
  </si>
  <si>
    <t>UCSdDTUWSBvn5qp6yvKCmsNg</t>
  </si>
  <si>
    <t>UCNcOVyCtaFlM_hpImAcqe7w</t>
  </si>
  <si>
    <t>UCD9tuW9wEA_m5z_rf_mQvCg</t>
  </si>
  <si>
    <t>UC6Bo5Wr8yPUkleeZaaRzhdg</t>
  </si>
  <si>
    <t>UC3nQ-3fd5OqCXdNflO5-IEQ</t>
  </si>
  <si>
    <t>UC0e9WmyLP34TtGF9Rcc3_bQ</t>
  </si>
  <si>
    <t>UC0Z0PhWypjhll0Ma3dK99uA</t>
  </si>
  <si>
    <t>UCX1mra3UNedZg6QIVI54_9A</t>
  </si>
  <si>
    <t>UCMdx4ut9-1K0puAOT4WSq_Q</t>
  </si>
  <si>
    <t>UCI0I3H-z2Wdjb__Ak2J8S8A</t>
  </si>
  <si>
    <t>UC5EVeMGLTLx-2ZlxBL1U-WA</t>
  </si>
  <si>
    <t>UCxHThrSvr-fQFJsFpsKcKpw</t>
  </si>
  <si>
    <t>UCvhco_i3akl_yhKLgsjEcNA</t>
  </si>
  <si>
    <t>UCqDc1sk_nRJsWnJU-icexNA</t>
  </si>
  <si>
    <t>UCZRifFCB0mF6_wat_NO-qjg</t>
  </si>
  <si>
    <t>UCYBQQU7VCu8M6djxI4dvpIg</t>
  </si>
  <si>
    <t>UCY6ozViZ-tNJqctsghUq1bQ</t>
  </si>
  <si>
    <t>UCVPWs0io8LzdXPvBAbLbg1g</t>
  </si>
  <si>
    <t>UCS-cKkzVAtZ4dM4PKUffu5g</t>
  </si>
  <si>
    <t>UCRDSza4YNyaVATrAkQ3EguQ</t>
  </si>
  <si>
    <t>UCLts4HFB_SFy8_55oaKAswg</t>
  </si>
  <si>
    <t>UCLPG_xkgSWeWnOhBsi-jxCA</t>
  </si>
  <si>
    <t>UCKasAEU4v-TWrzQMlIyodKw</t>
  </si>
  <si>
    <t>UCKBBzmtYEoV8Ec56y0K-4Gw</t>
  </si>
  <si>
    <t>UCIGDNQXh830kJSMzo2n9Oiw</t>
  </si>
  <si>
    <t>UCAbX3Dh0uLJ3fewn8o2mf0Q</t>
  </si>
  <si>
    <t>UC9emZ4AlBYk7tp5zeYfjRfg</t>
  </si>
  <si>
    <t>UC8gqtMa1oTeBQmKyoYaZjfA</t>
  </si>
  <si>
    <t>UC40ATpFoPP0MXWm0SPkIYQg</t>
  </si>
  <si>
    <t>UC3jNWAzme-zsL07aYNs11vg</t>
  </si>
  <si>
    <t>UC1WcsP820ey_ZpDvZrFy0JQ</t>
  </si>
  <si>
    <t>UCoPYWV3JuoKq_ohy8OaEEQg</t>
  </si>
  <si>
    <t>UCZzwQDDag5eP4Rs-2d4nX5g</t>
  </si>
  <si>
    <t>UCS8A0H0xlnzUmnIC1LX82AA</t>
  </si>
  <si>
    <t>UCO_4hjDNaOctacgzkTWgJxg</t>
  </si>
  <si>
    <t>UCMPaviJxybo1RTdzvYcU91A</t>
  </si>
  <si>
    <t>UCFUxLT7uKrriWfY5MGmm6AQ</t>
  </si>
  <si>
    <t>UCDic9AVxO1PP1SqoKbHMwrA</t>
  </si>
  <si>
    <t>UCBpZBhY1OFzZMAf3yuC-4kg</t>
  </si>
  <si>
    <t>UC9bLNeemB1FG_k5cep1uukQ</t>
  </si>
  <si>
    <t>UC4MazGEQbiYg6GSka4AxzxQ</t>
  </si>
  <si>
    <t>UC1lhGQ0C_OOlaS1rbxlXM5Q</t>
  </si>
  <si>
    <t>UCvEh7T0-DR2pEw6NyeplMTw</t>
  </si>
  <si>
    <t>UCg6OElsAGYmkuSySkZpaNGw</t>
  </si>
  <si>
    <t>UCW1szeraXeZX1DAdRXKR_Zg</t>
  </si>
  <si>
    <t>UCPp3K2x0fHapiUsFmcaeLzA</t>
  </si>
  <si>
    <t>UCD1jyIWO_oPvSUGw3Y8z-2w</t>
  </si>
  <si>
    <t>UCurewArMDiT_HIfCmJ4ApoA</t>
  </si>
  <si>
    <t>UCiKpjpNDIviTGUMVz0pXvCw</t>
  </si>
  <si>
    <t>UCZ8MbJVbpAdwZ6JU0JK_1BA</t>
  </si>
  <si>
    <t>UCUpPJkgN4p3M0bUiG1ALS3w</t>
  </si>
  <si>
    <t>UCHnBT3Z8yFnYZ1qhY60-wMA</t>
  </si>
  <si>
    <t>UCCzO-Rkos3KuKOfssqcjaqw</t>
  </si>
  <si>
    <t>UCzMltXB_WOh0QEJXWllm23Q</t>
  </si>
  <si>
    <t>UCzGoCGZLaDvMUcmp3o6E-_A</t>
  </si>
  <si>
    <t>UCy9zmO0qTqg-amQ5lNzqRsQ</t>
  </si>
  <si>
    <t>UCtlmIJ5CB70xQzZLJIj0yVw</t>
  </si>
  <si>
    <t>UCsajikr6uZFPixufeDIxQeg</t>
  </si>
  <si>
    <t>UCqp4RB1cMiW7sudGQf8K0_w</t>
  </si>
  <si>
    <t>UCmJITO0oNRCSK0k2pZ_9n9w</t>
  </si>
  <si>
    <t>UCkmL9F1DZxHV96wUkzQ62qA</t>
  </si>
  <si>
    <t>UCk8A3ZEovfeZDKUjiIwRanA</t>
  </si>
  <si>
    <t>UCk5TfXixKIajRiNKc-zxX_Q</t>
  </si>
  <si>
    <t>UCj_L_Gs4VJKa7_aK34aDWRw</t>
  </si>
  <si>
    <t>UCeVOfNwFlrPmxva-OPev1vg</t>
  </si>
  <si>
    <t>UCaPwrq-t48iehHsjuToqJIg</t>
  </si>
  <si>
    <t>UCZhSCovxerBBmgSbjJ6r0GQ</t>
  </si>
  <si>
    <t>UCWPGcD5xAo8DtK7Zp3ToaMg</t>
  </si>
  <si>
    <t>UCUy2yWTY6bMDrMArGThCjbQ</t>
  </si>
  <si>
    <t>UCSi7I2n1HNs43I9qQOcUI-A</t>
  </si>
  <si>
    <t>UCLPUYo-s3HfTTCPCYmOFOmg</t>
  </si>
  <si>
    <t>UCJuyVJ3Bz1lHPFl1ioxSUNQ</t>
  </si>
  <si>
    <t>UCIktWSSCh5mLFKNHCHHDEiw</t>
  </si>
  <si>
    <t>UCH8dh5MKtuA4tLODX41Yw5Q</t>
  </si>
  <si>
    <t>UCFr-0F6Z0GkNS1vlQP7HGLw</t>
  </si>
  <si>
    <t>UCD2lHNC_IaBoUL9vC6ujSUw</t>
  </si>
  <si>
    <t>UCChNumkLxNIAPevv681uJ5Q</t>
  </si>
  <si>
    <t>UCAeA7KyDJyLm_3qFnHjiJ1Q</t>
  </si>
  <si>
    <t>UCAXU1IQMelL6rfbFHYahoKQ</t>
  </si>
  <si>
    <t>UC9bFfadxZvlXy0RcYzhnu_w</t>
  </si>
  <si>
    <t>UC9aRcGf_wZs8GpnPg0Cikmg</t>
  </si>
  <si>
    <t>UC9WNxhxOCEGjh5jqy3DNEkg</t>
  </si>
  <si>
    <t>UC85YynsGpHpMSel88BG2NSQ</t>
  </si>
  <si>
    <t>UC0LPL7ecm2tRNjLekmMvQHw</t>
  </si>
  <si>
    <t>UCw6E9hgCbubPf_IsofVkiqg</t>
  </si>
  <si>
    <t>Subscribed To</t>
  </si>
  <si>
    <t>Custom Menu Item Text</t>
  </si>
  <si>
    <t>Custom Menu Item Action</t>
  </si>
  <si>
    <t>Title</t>
  </si>
  <si>
    <t>Description</t>
  </si>
  <si>
    <t>Open YouTube Page for This Channel</t>
  </si>
  <si>
    <t>European External Action Service (EEAS)</t>
  </si>
  <si>
    <t>European Parliament</t>
  </si>
  <si>
    <t>EPinUK</t>
  </si>
  <si>
    <t>emu new</t>
  </si>
  <si>
    <t>Latest Sightings</t>
  </si>
  <si>
    <t>LIFE SeResto</t>
  </si>
  <si>
    <t>youcafoscari</t>
  </si>
  <si>
    <t>ISPRAVIDEO</t>
  </si>
  <si>
    <t>BirdLife Malta</t>
  </si>
  <si>
    <t>League Against Cruel Sports</t>
  </si>
  <si>
    <t>The RSPB</t>
  </si>
  <si>
    <t>Spring Alive</t>
  </si>
  <si>
    <t>birdring</t>
  </si>
  <si>
    <t>NETnews</t>
  </si>
  <si>
    <t>Chris Packham</t>
  </si>
  <si>
    <t>withNature2020</t>
  </si>
  <si>
    <t>galearay</t>
  </si>
  <si>
    <t>BirdLife International</t>
  </si>
  <si>
    <t>JohnMuirAward</t>
  </si>
  <si>
    <t>BirdLife Europe and Central Asia</t>
  </si>
  <si>
    <t>JohnMuirTrustVideo</t>
  </si>
  <si>
    <t>Life Dop - economia circolare nell'industria casearia d'eccellenza</t>
  </si>
  <si>
    <t>FormaLiberaSL</t>
  </si>
  <si>
    <t>Res Maris</t>
  </si>
  <si>
    <t>Life PonDerat</t>
  </si>
  <si>
    <t>dumenicus</t>
  </si>
  <si>
    <t>Piattaforma delle Conoscenze</t>
  </si>
  <si>
    <t>EU Environment</t>
  </si>
  <si>
    <t>EU International Partnerships</t>
  </si>
  <si>
    <t>EU Growth</t>
  </si>
  <si>
    <t>The WWFEU European Policy Office</t>
  </si>
  <si>
    <t>EUecoinnovation</t>
  </si>
  <si>
    <t>DigitalEU</t>
  </si>
  <si>
    <t>Social Europe</t>
  </si>
  <si>
    <t>EUSecurityandDefence</t>
  </si>
  <si>
    <t>EU Finance</t>
  </si>
  <si>
    <t>European Committee of the Regions</t>
  </si>
  <si>
    <t>European Ombudsman</t>
  </si>
  <si>
    <t>Council of the EU</t>
  </si>
  <si>
    <t>EU Civil Protection &amp; Humanitarian Aid</t>
  </si>
  <si>
    <t>GenerationAwake</t>
  </si>
  <si>
    <t>EU Green Capital</t>
  </si>
  <si>
    <t>Publications Office of the European Union</t>
  </si>
  <si>
    <t>GreensEFA</t>
  </si>
  <si>
    <t>EU Justice and Consumers</t>
  </si>
  <si>
    <t>Barroso</t>
  </si>
  <si>
    <t>CEPFVideo</t>
  </si>
  <si>
    <t>EUROPEAN MOBILITY WEEK</t>
  </si>
  <si>
    <t>EU Energy</t>
  </si>
  <si>
    <t>BUILD UP</t>
  </si>
  <si>
    <t>iterorganization</t>
  </si>
  <si>
    <t>SolarPower Europe</t>
  </si>
  <si>
    <t>EU4BE</t>
  </si>
  <si>
    <t>European Commission</t>
  </si>
  <si>
    <t>EUinmyRegion</t>
  </si>
  <si>
    <t>CINEA - European Commission Executive Agency</t>
  </si>
  <si>
    <t>EU Science Hub - Joint Research Centre</t>
  </si>
  <si>
    <t>Smart Cities Marketplace</t>
  </si>
  <si>
    <t>Energy Community</t>
  </si>
  <si>
    <t>EU Science &amp; Innovation</t>
  </si>
  <si>
    <t>Francesco De Pietro</t>
  </si>
  <si>
    <t>Francesco Donato</t>
  </si>
  <si>
    <t>SEOBirdLife - Sociedad Española de Ornitología</t>
  </si>
  <si>
    <t>Zebaxthian18</t>
  </si>
  <si>
    <t>Scovavento Video Film Production</t>
  </si>
  <si>
    <t>Formazione Ifel</t>
  </si>
  <si>
    <t>Life STO3RE</t>
  </si>
  <si>
    <t>ainiatecnologia</t>
  </si>
  <si>
    <t>Eurofins IPROMA</t>
  </si>
  <si>
    <t>Ministerio de Agricultura, Pesca y Alimentación</t>
  </si>
  <si>
    <t>Facsa España</t>
  </si>
  <si>
    <t>ESAMUR ENTIDAD</t>
  </si>
  <si>
    <t>CSIC Comunicación</t>
  </si>
  <si>
    <t>LIFE programme</t>
  </si>
  <si>
    <t>LIFE DIOXDETECTOR</t>
  </si>
  <si>
    <t>LIFE Multibiosol</t>
  </si>
  <si>
    <t>LIFE PERDIX</t>
  </si>
  <si>
    <t>LIFE LUTREOLA SPAIN</t>
  </si>
  <si>
    <t>iSEAS Project</t>
  </si>
  <si>
    <t>Life ASAP</t>
  </si>
  <si>
    <t>Proyecto Life COMP0live</t>
  </si>
  <si>
    <t>Life Plus</t>
  </si>
  <si>
    <t>CYCLADES LIFE</t>
  </si>
  <si>
    <t>Andros LIFE</t>
  </si>
  <si>
    <t>Exeger</t>
  </si>
  <si>
    <t>Life ECO Courts - Cortili Ecologici</t>
  </si>
  <si>
    <t>LIFE Lynx</t>
  </si>
  <si>
    <t>LIFE The Green Link</t>
  </si>
  <si>
    <t>REEForest - ROCPOP LIFE</t>
  </si>
  <si>
    <t>LIFE ARTEMIS</t>
  </si>
  <si>
    <t>AQUILA a-LIFE</t>
  </si>
  <si>
    <t>LIFE GREEN ADAPT</t>
  </si>
  <si>
    <t>LIFE Resilience</t>
  </si>
  <si>
    <t>EUClimateAction</t>
  </si>
  <si>
    <t>LIFE MIGRATE</t>
  </si>
  <si>
    <t>Life Infocycle</t>
  </si>
  <si>
    <t>Rewilding Apennines</t>
  </si>
  <si>
    <t>LIFE IP Urban Klima 2050</t>
  </si>
  <si>
    <t>LIFEmyBUILDINGisGREEN</t>
  </si>
  <si>
    <t>Life Foster</t>
  </si>
  <si>
    <t>LIFE DEBAG</t>
  </si>
  <si>
    <t>ForBioSensing</t>
  </si>
  <si>
    <t>Zero Cabin Waste</t>
  </si>
  <si>
    <t>ARIONLIFE</t>
  </si>
  <si>
    <t>LIFE DINALP BEAR</t>
  </si>
  <si>
    <t>EUdelegationUK</t>
  </si>
  <si>
    <t>The EEAS is the European Union's diplomatic service. It helps the EU's foreign affairs chief – the High Representative for Foreign Affairs and Security Policy – carry out the Union's Common Foreign and Security Policy.
A key aspect of the work of the EEAS is its ability to work closely with the foreign and defence ministries of the 27 member states of the EU and the other EU institutions such as the European Commission, Council and Parliament. It also has a strong working relationship with the United Nations and other International Organisations. 
Since 1st December 2019 Josep Borrell Fontelles from Spain has assumed the role of EU High Representative/Vice President. As the EU's chief diplomat he is charged with shaping and carrying out the EU's foreign, security and defence policies.</t>
  </si>
  <si>
    <t>The European Parliament represents you, the citizen, and makes decisions which affect you directly. 
It is the only directly-elected EU body, a place where people from 27 member states exchange ideas and compromise.
If you have questions about the Parliament you can contact our Citizens' Enquiries Unit (@ http://ow.ly/L4dej ). For questions on the EU, you may call Europe Direct (a free of charge phone line in 24 languages) - 00 800 67 89 10 11.
Privacy statement: https://www.europarl.europa.eu/website/files/Privacy_statement_Social_media_usage.pdf
Disclaimer:    
The European Parliament recommends users of social networks to be particularly careful about how they disclose their personal information and about how it may be used by third parties and the social networks themselves. The presence of the European Parliament on YouTube does not mean that we endorse or in any way agree with the privacy policy or practices of this professional social network.</t>
  </si>
  <si>
    <t>Official YouTube Channel of the European Parliament Office in the United Kingdom (London). For more information, visit our website: http://www.europarl.europa.eu/unitedkingdom/en/home-page.html</t>
  </si>
  <si>
    <t>All the latest, exciting and authentic wildlife videos coming from around Africa.
We share amazing footage that has never been seen, so come and see them!</t>
  </si>
  <si>
    <t>L'Università Ca' Foscari Venezia, nasce il 6 agosto 1868 come Scuola Superiore di Commercio ed è stata la prima istituzione in Italia ad occuparsi dell'istruzione superiore nel campo del commercio e dell'economia. 
Il Canale Youcafoscari è accessibile a tutti gli iscritti alla piattaforma. E’ gestito dall’Ufficio Comunicazione e Promozione di Ateneo. Tale canale ha lo scopo di promuovere l’immagine e la reputazione di Ca’ Foscari e funge anche da archivio virtuale per la fruizione di video relativi a conferenze stampa, eventi, interviste, servizi radio-televisivi e videomessaggi. I contenuti multimediali pubblicati rispondono ai requisiti tecnici generali della piattaforma di YouTube. È consentito, nel rispetto della normativa in tema di diritto d’autore, l’embedding (la possibilità di essere incorporati) dei video pubblicati su Youcafoscari su siti e blog di terzi. Sono, invece, vietati comportamenti quali, per esempio, il riutilizzo delle immagini e la diffusione non tramite embed.</t>
  </si>
  <si>
    <t>Canale YouTube ufficiale dell'Istituto Superiore per la Protezione e la Ricerca Ambientale (ISPRA).</t>
  </si>
  <si>
    <t>This is where you can find latest footage uploaded by BirdLife Malta.</t>
  </si>
  <si>
    <t>The League Against Cruel Sports is a registered charity that brings together people who care about animals.  Like the majority of the public, we believe that cruelty to animals in the name of sport has no place in modern society.  We have no political bias.  We were established in 1924 and are unique because we focus on cruelty to animals for sport.</t>
  </si>
  <si>
    <t>Nature is amazing. But around the UK and across the world it's in steady, desperate decline. The RSPB is determined to stop this happening. But we need your help. Every step you take for nature, however small, you will take alongside millions of others. You'll be part of something big. A vast movement for nature, giving strength to nature's voice and encouraging governments to make the right decisions.
Nature's in trouble. Let's step up and save it -- together.</t>
  </si>
  <si>
    <t>Spring Alive is an international project organized by BirdLife International, designed to promote children's interest in nature and its conservation through the arrival of spring. The core component of Spring Alive is a mass-participation website that is implemented in more than 30 countries.  Citizens, but specifically children and families, are encouraged to observe and record the arrival of migratory bird species each year on www.springalive.net</t>
  </si>
  <si>
    <t>bird video clips and more from the island of Malta</t>
  </si>
  <si>
    <t>I'm a naturalist, campaigner and TV broadcaster. I have dedicated my life's work to the conservation of the natural world. In a Climate and Biodiversity Crisis we must step up and take bold action.</t>
  </si>
  <si>
    <t>withNature2020 is a global collaborative artwork, in support of biodiversity.
On 22nd May 2021 - the international day for biodiversity - we created a series of giant mosaic images of endangered plant and animals at multiple locations across the world, beginning in Auckland, New Zealand and ending on the west coast of the United States (Lakewold Gardens, Washington State).
The images were aerially recorded - live-streamed where possible - on this YouTube channel, at 17:00 local time in each location, creating a tapestry of species that unfolded across the world  during the course of the day.
You can see highlights of the event under individual playlists on this channel and visit us on social media - Facebook, Twitter, Instagram:  @withNature2020  
Listen to the BBC radio documentary that followed the event: https://www.bbc.co.uk/programmes/w3ct1td5
The fabric of nature; of which we are part, on which we depend.</t>
  </si>
  <si>
    <t>BirdLife Europe &amp; Central Asia works to conserve birds and biodiversity by focusing on species, sites and habitats, ecological sustainability and engagement of people. Based in Brussels, we are supported by Partners from 43 countries, including in all EU Member states. We are the European and Central Asian Division of BirdLife International.
_xD83D__xDC26__xD83E__xDD89_
Find out more about our work in Europe and Central Asia:
https://www.birdlife.org/europe-and-central-asia/
_xD83E__xDD86__xD83E__xDD85_</t>
  </si>
  <si>
    <t>We are the leading wild land conservation charity in the UK. Inspired by the work, spirit and legacy of John Muir, our members care passionately about wild places wherever they may be, and the diversity of life they support.
Charity No. SC002061
Company No. SC081620</t>
  </si>
  <si>
    <t>Il progetto LIFE DOP è stato finanziato dall’Unione Europea nell’ambito del Programma Life 2015.
Le azioni di progetto si realizzeranno  tra il 1° settembre 2016 ed il 1° marzo  2021, data prevista per la conclusione dei lavori.
Obiettivi di progetto
Coniugare produzione intensiva e qualità ambientale
Definire un modello di produzione ambientalmente sostenibile per Parmigiano Reggiano e Grana Padano in provincia di Mantova
Promuovere, lungo l’intera filiera produttiva, un uso efficiente e circolare delle risorse
Testare buone pratiche innovative adatte al territorio e alla filiera dei bovini da latte
Validare il Modello attraverso un’analisi LCA sui dati primari raccolti in tutte le fasi della filiera
Verificare la sostenibilità economica del modello
Dimostrare i numeri della sostenibilità e valorizzarla sul mercato
Promuovere un modello sostenibile in una filiera di qualità che possa diventare un modello replicabile</t>
  </si>
  <si>
    <t>Aprender del pasado, intuir el futuro, identificar los factores de éxito, valorizar los recursos.
La comunicación según Forma Libera.</t>
  </si>
  <si>
    <t>L'obiettivo del progetto Res Maris è la conservazione e il recupero degli ecosistemi marini e terrestri che costituiscono la spiaggia sommersa e quella emersa, in particolare gli habitat presenti nell'Isola dei Cavoli, Serpentara, Punta Molentis e Campulongu.
www.resmaris.eu</t>
  </si>
  <si>
    <t>Life Ponderat  is a project co-financed by the European Union whose objective is the improvement of the state of conservation of species and habitats of the Ponziane Islands.
Life PonDerat è un progetto co-finanziato dall'Unione Europea che ha come obiettivo il miglioramento dello stato di conservazione di specie e habitat delle Isole Ponziane.
Progetto LIFE NAT/IT/000544 PonDerat
www.ponderat.eu</t>
  </si>
  <si>
    <t>Ciao a tutti questo è un canale dove propongo per lo più effetti magici inventati da me cerco di essere molto personale nei miei video e li propongo in modo molto semplice con una semplice telecamera perché credo che la semplicità sia la cosa più bella al mondo ISCRIVETEVI e COMMENTATE per farmi sapere se apprezzate questo mio pensiero (LA MAGIA PIU LA RENDI SEMPLICE PIU DIVENTA MAGICA)</t>
  </si>
  <si>
    <t>La Piattaforma delle Conoscenze è un sito web dinamico, collegato al portale del Ministero dell’Ambiente, che contiene le schede tecniche di dettaglio delle buona pratiche con i relativi risultati raggiunti. Tali schede sono state raggruppate per settore tematico (rifiuti, natura, biodiversità, acqua, ambiente urbano, clima, energia, suolo e uso efficiente delle risorse). Il sito web inoltre, comprende un’area dedicata alla normativa ambientale, nazionale e comunitaria, e una sezione riservata ai programmi di finanziamento che prevedono sovvenzioni di azioni nei settori dell’ambiente e del clima. La Piattaforma consentirà di tenersi al passo sui sistemi e le tecnologie ambientali in determinati settori chiave. Sito web: www.pdc.minambiente.it</t>
  </si>
  <si>
    <t>This is the Official YouTube site for the European Commission's Directorate General for the Environment. 
Our aim is to protect, preserve and improve the environment for present and future generations. To achieve this it proposes policies that ensure a high level of environmental protection in the European Union and that preserve the quality of life of EU citizens.
Please subscribe to our page, enjoy our videos and share your feedback via our Facebook, Instagram or Twitter account.</t>
  </si>
  <si>
    <t>Welcome to the official Youtube Channel of the Department of International Partnerships of the European Commission. 
Human dignity, freedom, democracy, equality, the rule of law and respect for human rights: these are the core values of the EU. Values that we stand for and that we care about. But you will find much more in this channel. Latest EU news and information on what we are doing in the fields of International Cooperation and Development in our efforts to LEAVE NO ONE BEHIND. 
You can read more about our social media and data protection policy here: https://ec.europa.eu/info/social-media-use#introduction
To re-use material free of charge for EU-related information and education purposes go to: https://audiovisual.ec.europa.eu/en/
For any other use, prior clearance must be obtained from the Central Audiovisual Library of the European Commission (mediatheque@ec.europa.eu)</t>
  </si>
  <si>
    <t>The Directorate General for Internal Market, Industry, Entrepreneurship and SMEs (DG GROW) manages the EU’s single market for goods and services. It gives EU companies (including SMEs) access to funding and global markets.  
DG GROW is also leading efforts to digitise and decarbonise European industries and SMEs. It additionally helps to strengthen European industries by making our supply chains more diverse and secure. 
All these policies support the competitiveness, growth and resilience of the EU’s economy. They form a vital pillar in the Commission’s priorities to build an economy that works for people and a Europe fit for the digital age.</t>
  </si>
  <si>
    <t>At WWF, we envision the world where people and nature thrive. But we’ll only get there if we all play a role. We’ll only get there if we work together.
Our mission is to stop the degradation of the planet’s natural environment and to build a future in which humans live in harmony with nature, by:
• conserving the world’s biological diversity
• ensuring that the use of renewable natural resources is sustainable
• promoting the reduction of pollution and wasteful consumption
The European Policy Office helps shape EU policies that impact on the European and global environment.. For our latest news and campaigns, visit http://www.wwf.eu/</t>
  </si>
  <si>
    <t>This is the channel of the EU eco-innovation initiative. The initiative bridges the gap between research and the market. It helps good ideas for innovative products, services and processes that protect the environment become fully-fledged commercial prospects, ready for use by business and industry. In doing so the initiative not only helps the EU meet its environmental objectives but also boosts economic growth.</t>
  </si>
  <si>
    <t>#DigitalEU Join the movement, led by Magrethe Vestager and Thierry Breton to shape Europe's digital future.</t>
  </si>
  <si>
    <t>Official Youtube Channel of Directorate-General for Employment, Social Affairs &amp; Inclusion at the European Commission
We are the European Commission's department working on employment and social issues in the EU and sometimes beyond.
This page also aims to keep you informed about the three flagship initiatives of the Europe 2020 strategy that fall under the areas of employment, social affairs and inclusion. 
This page looks at practical things that the EU is doing to address people's everyday concerns.</t>
  </si>
  <si>
    <t>Under its Common Security and Defence Policy (CSDP), the EU can decide to launch military and/or civilian missions to ensure peace and security in troubled regions. With 27 operations (finished or on-going) deployed on 3 continents since 2003, the EU's role as a security player is rapidly expanding.
Dans le cadre de sa Politique de Sécurité et de Défense Commune (PSDC), l'Union européenne peut lancer des opérations militaires et/où civiles pour assurer la paix et la sécurité dans des régions difficiles. Avec 27 opérations déployées (qui ont eu lieu ou sont en cours) depuis 2003 sur 3 continents, le rôle de l'UE en tant qu'acteur de sécurité est en pleine expansion.</t>
  </si>
  <si>
    <t>Official Youtube Channel of the European Commission - Directorate General Financial Stability, Financial Services and Capital Markets Union.</t>
  </si>
  <si>
    <t>The European Ombudsman investigates complaints about maladministration in the institutions and bodies of the European Union.
Citizens, businesses, associations or other organizations with a registered office in the EU can complain to the Ombudsman.
COMMENTS:
Feel free to comment or ask questions under eotubes' videos - we will do our best to respond to you in your preferred language. 
Comments which are either offensive in themselves or clearly offensive to other users will be deleted (you know what we mean: no racism, no xenophobia, no call to violence, no discrimination based on religion, ethnic origin, gender...). Spam and advertising will also be deleted.
We take no responsibility for content published by other YouTube channels.
This channel is managed by mandated members of the Ombudsman's Communications Team</t>
  </si>
  <si>
    <t>Welcome to the official Council of the EU Youtube Channel!
THE EUROPEAN COUNCIL brings together heads of state or government of every EU country, the President of the European Commission and the President of the European Council, who chairs the meetings. The meetings or summits take place at least four times per year.
THE COUNCIL OF THE EU is the EU institution where ministers from the 27 EU countries sit. There are ten different Council configurations, covering the whole range of EU policies.</t>
  </si>
  <si>
    <t>The European Civil Protection and Humanitarian Aid Operations (DG ECHO). Our mission is to help save lives in crises, emergencies and disasters. 
***
MODERATION POLICY:
Our channel is a space for us to share news and information about the European Commission's work on humanitarian aid and civil protection with you, the people of Europe and the wider world. We are very happy to have a wide range of views represented on this page and encourage debate. Our moderation policy allows this, subject to certain conditions: 
Obscenities &amp; Offensive remarks:
We cannot accept comments which are either offensive in themselves or to other users. We will not allow any form of discrimination or incitement. 
Spamming:
We ask that your comments adhere to the context of the status update. Posting advertisements, promotional messages, incongruous or off-topic comments, as well as copy/paste messaging across posts, will be considered spamming.</t>
  </si>
  <si>
    <t>Generation Awake' was the European Commission awareness raising campaign on resource efficiency, implemented between 2011 and spring 2015. 
For information and material regarding EU policies on environment, please visit:</t>
  </si>
  <si>
    <t>The official #EUGreenCapital and #EUGreenLeaf Awards. Our aim is to improve Europe's urban environment.</t>
  </si>
  <si>
    <t>Welcome to the channel of the Publications Office of the European Union! Among our tasks, we produce and disseminate legal and general publications for the EU institutions, agencies and bodies. We do this via op.europa.eu and specific websites EUR-Lex (EU law), data.europa.eu (open data), EU Publications, TED (Tenders Electronic Daily), CORDIS (EU-funded research information).</t>
  </si>
  <si>
    <t>The Greens/EFA is a political group in the European Parliament, made up of Green, Pirates and Independent MEPs as well as MEPs from parties representing stateless nations and disadvantaged minorities.
We want to protect our climate and environment for the generations to come.
We defend a society where every person has the right to speak up.
We fight for a true democracy where the public and the media are able to control those in power.
We want to build a Europe that reduces poverty because everybody deserves a fair chance.
We want a society with decent paying jobs and warm homes to come home to.
A society where every person should be free to be who they want without discrimination.
Feel free to comment, we love to hear from you. On our social media pages our comment sections are the place for an open and constructive debate. It is ok to disagree, but we want everybody to feel comfortable to join the conversation. 
▶ https://greens.eu/guidelines</t>
  </si>
  <si>
    <t>This is the Official YouTube site of the European Commission's Directorate-General for Justice and Consumers. Here we upload videos, interviews and speeches. This channel is to be seen as a repository for our videos and thus will not provide interactivity, so please engage with these issues on our Facebook and Twitter pages.</t>
  </si>
  <si>
    <t>I have a passion for Europe. 
For me, the European project goes much further than its economic dimension. It is based on the values of peace, freedom, justice and solidarity, and it must mean advancing people's Europe. 
The people's Europe I want is also about the accountability and openness of the EU institutions. This Website is a way to intensify the dialogue between the Commission and the citizens in the different Member States and regions. 
I want a Europe that puts people at the heart of the agenda. Because for me, Europe's raison d'être is to empower Europeans.</t>
  </si>
  <si>
    <t>The Critical Ecosystem Partnership Fund (CEPF) provides grants to nongovernmental and private sector organizations to conserve biodiversity hotspots, some of Earth's most biologically rich yet threatened ecosystems.</t>
  </si>
  <si>
    <t>EUROPEAN MOBILITY WEEK is the European Commission’s flagship awareness-raising campaign on sustainable urban mobility. It promotes behavioural change in favour of active mobility, public transport, and other clean, intelligent transport solutions. About 3,000 townd and cities participate in the campaign each year from 16-22 September.</t>
  </si>
  <si>
    <t>This channel offers easy access to videos and event recordings from European Commission Directorate-General for Energy.</t>
  </si>
  <si>
    <t>Official BUILD UP YouTube Channel. Find the latest video recordings of the BUILD UP Web Seminars and relevant information about energy efficiency in buildings.
Launched in 2009, BUILD UP is a European Commission initiative aiming to reduce the energy consumption of buildings across Europe.
BUILD UP promotes the effective implementation of energy saving measures in buildings and offers free access to a wide range of information on best practices, technologies and legislation for energy reduction.
Via the interactive BUILD UP web portal, building professionals and public authorities across Europe can easily share experiences, knowledge and best practices.</t>
  </si>
  <si>
    <t>ITER ("The Way" in Latin) is one of the most ambitious energy projects in the world today.
In southern France, 35 nations are collaborating to build the world's largest tokamak, a magnetic fusion device that has been designed to prove the feasibility of fusion as a large-scale and carbon-free source of energy based on the same principle that powers our Sun and stars.
The experimental campaign that will be carried out at ITER is crucial to advancing fusion science and preparing the way for the fusion power plants of tomorrow.
ITER will be the first fusion device to produce net energy, maintain fusion for long periods of time, and ITER will be the first fusion device to test the integrated technologies, materials, and physics regimes necessary for the commercial production of fusion-based electricity.
Videos from ITER are generally considered to be in the Creative Commons. Please send an email to the address below for file requests, including the URLs for requested videos.</t>
  </si>
  <si>
    <t>Welcome to the official YouTube channel for SolarPower Europe!
SolarPower Europe is a member-led association representing organisations active along the whole value chain. Our aim is to shape the regulatory environment and enhance business opportunities for solar power in Europe.</t>
  </si>
  <si>
    <t>_xD83C__xDDEA__xD83C__xDDFA_ Welcome at the Representation of the European Commission in Belgium. Here, we inform you about the actions of the European Commission near you. Reconnect with the European project if you're curious about all Europe brings you on a daily basis! 
_xD83C__xDDEB__xD83C__xDDF7_ Bienvenue à la Représentation de la Commission européenne en Belgique. Ici, nous t’informons sur les actions de la Commission européenne près de chez toi. Reconnecte-toi avec le projet européen si tu as envie d'en savoir plus sur tout ce que l’Europe t’apporte au quotidien ! 
_xD83C__xDDF3__xD83C__xDDF1_ Welkom bij de Vertegenwoordiging van de Europese Commissie in België. Hier informeren we je over de acties van de Europese Commissie bij jou in de buurt. Maak opnieuw verbinding met het Europese project als je nieuwsgierig bent naar alles wat Europa je dagelijks brengt!
⚠️ Freedom, equality and respect are some of the core values of the EU. You can read more about our social media and data protection policy here: https://ec.europa.eu/info/social-media-use</t>
  </si>
  <si>
    <t>Welcome to the official European Commission Youtube Channel!
Human dignity, freedom, democracy, equality, the rule of law and respect for human rights: these are the core values of the EU. Values that we stand for and that we care about. But you will find much more in this channel. Latest EU news and information on what we are doing for the general interest of the EU, which EU laws and policies are proposing and working on and how we are monitoring their implementation. 
You can read more about our social media and data protection policy here: https://ec.europa.eu/info/social-media-use 
To re-use material free of charge for EU-related information and education purposes go to: https://audiovisual.ec.europa.eu/en/
For any other use, prior clearance must be obtained from the Central Audiovisual Library of the European Commission (mediatheque@ec.europa.eu)</t>
  </si>
  <si>
    <t>This Youtube channel groups all videos produced by the EU Commission's Directorate General for Regional Policy.
EU Regional Policy is an investment policy, which means it finances projects throughout Europe which support job creation, competitiveness, economic growth, improved quality of life and sustainable development.</t>
  </si>
  <si>
    <t>The European Climate, Environment and Infrastructure Executive Agency (CINEA) is the successor organisation of the Innovation and Networks Executive Agency (INEA). Officially established on 15 February 2021, it has started its activities on 1 April 2021 in order to implement parts of certain EU programmes: 
- #InnovationFund; 
- #ConnectingEurope Facility: #CEFTransport and #CEFEnergy; 
- #HorizonEU Pillar II, cluster 5: #Climate  #energy and #Transport; 
-  #LIFEProgramme: Nature and biodiversity; Circular economy and quality of life; Climate change mitigation and adaptation; Clean energy transition; 
- Renewable Energy Financing Mechanism; 
- Public sector loan facility, under the Just Transition Mechanism; 
- European Maritime, Fisheries and Aquaculture Fund #EMFF #EMFAF
Data protection https://europa.eu/!BQ64BR 
#CINEA_EU</t>
  </si>
  <si>
    <t>The Joint Research Centre (JRC) is the European Commission's science and knowledge service which employs scientists to carry out research in order to provide independent scientific advice and support to EU policy https://ec.europa.eu/jrc/
To re-use material free of charge for EU-related information and education purposes go to: http://ec.europa.eu/avservices
For any other use, prior clearance must be obtained from the JRC social media team (JRC-Social-Media@ec.europa.eu) or the Central Audiovisual Library of the European Commission (mediatheque@ec.europa.eu).</t>
  </si>
  <si>
    <t>The Marketplace of the European Innovation Partnership on Smart Cities and Communities (EIP-SCC) and its data platform EU Smart Cities Information System (SCIS) are major market-changing initiatives supported by the European Commission bringing together cities, industries, SMEs, investors, researchers and other smart city actors.
Since October 1st, the two inititatives were merged under the new name "Smart Cities Marketplace". Under the umbrella of the Smart Cities Marketplace the European Commission aims to gather all  actors in the European Smart City community to help citizens, cities, research institutions and industry delivering more sustainable, resilient and smart urban areas.
The Smart Cities Marketplace is an initiative for those looking for inspiration, knowledge-exchange or investment to deliver Smart City solutions in any of the areas of ICT, Energy or Transport &amp; Mobility. The initiative is supported by the European Commison's DG Energy, DG Move and DG Connect.</t>
  </si>
  <si>
    <t>The Energy Community is an international organisation which brings together the European Union and its neighbours to create an integrated pan-European energy market. The Energy Community extends the EU internal energy market rules and principles to countries in South East Europe, the Black Sea region and beyond on the basis of a legally binding framework.</t>
  </si>
  <si>
    <t>The European Commission's Science and Innovation YouTube channel gives you a chance to learn about and discuss the EU's research and innovation activities.
You can also follow us on Facebook and Twitter.
Cover image (c) European Commission 2021</t>
  </si>
  <si>
    <t>En SEO/BirdLife trabajamos por el medio ambiente, la naturaleza y las aves. Conservación, ecología, ciencia y educación ambiental. De pajareo desde 1954.</t>
  </si>
  <si>
    <t>Hola A Todos!En Este Canal podras encontrar videos: 
de Analisis,Tops,Investigaciones,Curiosidades,Errorers,Teorias &amp; Misterios de tus series y peliculas animadas favoritas!
asi como todo lo relacionado de esta gran rama del Arte de la animación.
Nos vemos y gracias por Haber leido esto.☯◕‿◕☯
Att:►Zebaxthian18™</t>
  </si>
  <si>
    <t>Canale YouTube ufficiale dedicato alla formazione della  Scuola IFEL
Maggiori informazioni su https://elearning.fondazioneifel.it/</t>
  </si>
  <si>
    <t>Proyecto LIFE14 ENV/ES/000150 - Synergic TPAD and O3 process in WWTPs for Resource Efficient waste management
El Proyecto LIFE STO3RE es un proyecto Europeo de investigación, desarrollo e innovación (I+D+i), enmarcado dentro de la convocatoria LIFE 2014, con carácter demostrativo.
El principal objetivo del Proyecto LIFE STO3RE es proteger el medio acuático de la contaminación causada por los nitratos, microorganismos patógenos y microcontaminantes orgánicos procedentes de fangos de estaciones depuradoras de aguas residuales (EDARs) y de residuos ganaderos, así como también desarrollar un modelo de gestión conjunta de lodos producidos en EDARs, de pequeño y mediano tamaños, y purines de granjas.</t>
  </si>
  <si>
    <t>Canal audiovisual de AINIA</t>
  </si>
  <si>
    <t>Eurofins | IPROMA es una empresa de servicios cuya misión principal es el diagnóstico y medición de aspectos medioambientales y de higiene industrial por encargo de la Administración Pública y de las empresas privadas. Las actividades que desarrolla la empresa incluyen la realización de trabajos de estudio, consultoría, análisis y toma de muestras de aguas (potables, residuales, continentales, marinas, etc.), sedimentos, suelos, residuos, biota, elementos de calidad biológicos, análisis de calidad del aire y de higiene industrial, etc. (www.iproma.com) 
Eurofins | IPROMA, laboratorio de referencia en el ámbito del control y análisis medioambiental, forma parte del Grupo EUROFINS SCIENTIFIC, líder mundial en ensayos bioanalíticos que cuenta con más de 50.000 trabajadores en una red de más de 800 laboratorios en más de 50 países, con más de 200.000 métodos analíticos. (www.eurofins.com)</t>
  </si>
  <si>
    <t>Canal oficial del Ministerio de Agricultura, Pesca y Alimentación.</t>
  </si>
  <si>
    <t>FACSA es la empresa privada española con más experiencia en la gestión del ciclo integral del agua. 
Perteneciente a Grupo Gimeno, se fundó en Castellón en el año 1873 con un primer objetivo: dotar a la capital de una moderna red de distribución de agua potable. Desde entonces, ha diversificado sus actividades y consolidado su presencia en varios comunidades autónomas, convirtiéndose en una de las empresas de referencia en el sector del agua. 
FACSA ofrece todos los servicios propios del ciclo integral del agua, desde su captación, potabilización y tratamiento hasta la distribución y posterior recogida y depuración de las aguas residuales. FACSA es también especialista en otras áreas como las aguas industriales, el control de vertidos o los proyectos de ingeniería.
Todas las etapas del ciclo son rigurosamente controladas para limitar el impacto sobre el medio ambiente y garantizar la excelencia en la calidad.</t>
  </si>
  <si>
    <t>Bienvenidos al canal del departamento de Comunicación del Consejo Superior de Investigaciones Científicas (CSIC).</t>
  </si>
  <si>
    <t xml:space="preserve">The European Union's LIFE programme funds nature conservation, circular economy, climate action and clean energy transition projects all over Europe. </t>
  </si>
  <si>
    <t>Proyecto Europeo Life + DIOXDETECTOR
El principal objetivo del proyecto DIOXDETECTOR es la aplicación de una nueva técnica analítica para la cuantificación de dioxinas, realizando un seguimiento de la concentración de Dioxinas y Furanos (PCDDs/PDCFs) en aire, suelo y biota (vegetal) en el entorno de una incineradora de residuos.
La nueva técnica ayudará a evaluar la dispersión y deposición de estos contaminantes en el medio ambiente, y así poder reducir este problema medioambiental.
Esta tecnología propuesta es capaz de detectar vapores por debajo del nivel de partes por cuatrillón (ppq), lo cual facilitaría la detección de estos compuestos.</t>
  </si>
  <si>
    <t>The “Multibiosol” project is part of the European Union´s LIFE program. The general objective of this project is to demonstrate that sustainability and efficiency of agricultural practices can be achieved by introducing an innovative, economically viable and fully biodegradable plastic that eliminates waste completely.
Conventional non-degradable polymers after single-use become plastic waste, creating a serious problem of waste management since it is time-consuming and expensive to recycle. This plastic waste is usually abandoned, incinerated or taken to a landfill. These practices have serious consequences for the environment. 
Over the lifespan of the project we will aim to:
Eliminate waste management
Develop new biodegradable plastics films with a very low carbon footprint impact
Improve soil and crop quality</t>
  </si>
  <si>
    <t>Proyecto LIFE LUTREOLA SPAIN / LIFE13 NAT/ES/001171 “Nuevos enfoques en la conservación del visón europeo en España”
http://lifelutreolaspain.com/</t>
  </si>
  <si>
    <t>iSEAS Project
Knowledge-Based Innovative Solutions to Enhance Adding-Value Mechanisms towards Healthy and Sustainable EU Fisheries
Life Programme
http://www.lifeiseas.eu</t>
  </si>
  <si>
    <t>LIFE COMP0LIVE project (2019-2022) aims to develop a new generation of biocomposites based on olive pruning waste for industrial applications, by boosting the substitution of non-renewable resources through sustainable product design of wood-based fibers.</t>
  </si>
  <si>
    <t>Exeger is a Swedish company with a unique solar cell technology that converts all forms of light into electrical energy. This material, Powerfoyle, is the world’s only fully customizable solar cell. With its superior design properties, it can be integrated seamlessly into any electronic device.
Powerfoyle enhances every product it is integrated into with extended or even unlimited battery life, putting the power of cutting-edge solar cell technology directly in the hands of people. Exeger is leading the way to energy independence through more sustainable and user-friendly products – with the vision to touch the lives of a billion people by 2030.
For more information visit www.exeger.com | www.powerfoyle.com</t>
  </si>
  <si>
    <t>ECO Courts - cortili ecologici - è un progetto nato per aiutare i cittadini a ridurre i consumi di energia e acqua e i rifiuti di casa. Per questo è stato realizzato un portale che contiene un kit di strumenti informativi e interattivi per la gestione ecosostenibile delle abitazioni. Sul portale www.cortiliecologici.it è possibile scoprire se si è consumatori virtuosi o un po' spreconi, accedere ai numerosi eco-consigli della casa virtuale, consultare le proposte collaborative di risparmio per condomini e comunità, dialogare e collaborare con gli altri utenti e molto altro. Iscriviti alla web community ECO Courts!</t>
  </si>
  <si>
    <t>LIFE Lynx project is a collaboration of eleven partners from five European countries, with a comon goal - saving the Dinaric-SE Alpine lynx population from extinction. In the seven years of the project (2017-2024) we will improve the genetic and demographic outlook of this population by directly increasing population viability through reinforcement,  and safeguard the population well into the 21st century. 
https://www.lifelynx.eu/
https://www.facebook.com/LIFELynx.eu
https://www.facebook.com/lifelynx.hr</t>
  </si>
  <si>
    <t>The Green Link aims to demonstrate the environmental and economic benefits of an innovative tree growing method that has the potential to restore desertified areas across the Mediterranean border. Mediterranean societies are increasingly facing floods, water scarcity, heat waves, prolonged droughts, flows variability, temperature rises and decreased rainfall with related impacts on vegetation. The impact of these phenomena is expected to intensify the existing risks of desertification and forest fires, particularly in regions where water scarcity is already a concern. Developing adaptation measures aimed at reducing the vulnerability of these ecosystems and strengthening their resilience is therefore of crucial importance. 
For more information, visit www.thegreenlink.eu</t>
  </si>
  <si>
    <t>REEForest LIFE Project: Restoration of Cystoseira macroalgal FORESTs to enhance biodiversity along Mediterranean rocky REEFs
The project aims to reverse the degradation of the endangered Cystoseira Habitat 1170 by implementing active restoration and setting up monitoring plans in 4 marine protected areas (Italy: Sinis Peninsula, Cilento National Park, Bergeggi Island; Greece: Gyaros island) where the causes of degradation have been addressed.
Macroalgal forests, one of the most productive and valuable habitats in the Mediterranean, are presently rapidly being lost because of direct and indirect human impacts.</t>
  </si>
  <si>
    <t>Green and Nature-Based Solutions for Climate Change-Resilient Waste Infrastructure. The LIFE GREEN ADAPT project has received funding from the LIFE programme of the European Union under the Grant Agreement no. LIFE20 CCA/ES/001795. The Consortium partners are: Aarhus University, AIMEN Centro Tecnológico, Global Factor, Isle Utilities, Limnos Ltd., Universitat Politecnica de Catalunya, Xiloga S.L.
Please subscribe to the  LIFE GREEN ADAPT YouTube channel: https://www.youtube.com/@LIFEGREENADAPT 
Follow the project on LinkedIn: https://www.linkedin.com/company/life-green-adapt
Follow the project on Twitter: https://twitter.com/LIFEGREENADAPT1</t>
  </si>
  <si>
    <t>LIFE project dedicated to the prevention of Xylella Fastidiosa in intensive olive &amp; almond plantations applying productive green farming practices.</t>
  </si>
  <si>
    <t>Welcome to 'EU Climate Action' channel. You can find videos about climate change and climate action in the EU and the world. 
The Directorate General for Climate Action is responsible for the European Commission’s international &amp; domestic activities fighting climate change.</t>
  </si>
  <si>
    <t>Rewilding "il Cuore Selvaggio dell'Italia" - il team rewilding dell'Appennino centrale lavora con Rewilding Europe per rendere l'Italia un posto più selvaggio, con molto più spazio per la natura, la fauna selvatica e per i processi naturali. Incentivando la biodiversità, esploreremo nuovi modi per le persone di godere e guadagnare dalla convivenza con la natura selvatica.
Rewilding the “Wild Heart of Italy” -  Central Apennines rewilding team is working with Rewilding Europe to make Italy a wilder place, with much more space for wild nature, wildlife and natural processes. In bringing back the variety of life, the biodiversity, we will explore new ways for people to enjoy and earn a fair living from the wild.</t>
  </si>
  <si>
    <t>El proyecto LIFE Integrado Urban Klima 2050 es el mayor proyecto de acción climática de Euskadi. Invertirá de manera directa 19,8 millones de euros en acciones climáticas, que serán financiados al 51% por la Unión Europea.
El proyecto transformará el territorio vasco mediante la coordinación de un total de 40 acciones en los seis años de duración del mismo, hasta 2025.
Además, facilitará el despliegue efectivo de la Estrategia de Cambio Climático del País Vasco, KLIMA 2050.</t>
  </si>
  <si>
    <t>Co-financed by the EU Commission LIFE Programme and led by the Italian network for VET, ENAIP NET, the LIFE FOSTER project aims at reducing waste in the restaurant industry.
The project focuses on these main fields: TRAINING AND EDUCATION, PREVENTION AND COMMUNICATION.
The interconnection between environmental, social and economic dynamics identifies training and education as key instruments to implement the 2030 Agenda for Sustainable Development by the UN.
The project is implemented in the following countries: France, Italy, Malta, Spain.
LIFE FOSTER consists entirely of direct and indirect actions aimed at raising awareness about the problem of food waste and optimal food storage.
www.lifefoster.eu</t>
  </si>
  <si>
    <t>LIFE DEBAG (LIFE14 GIE/GR/001127)
Integrated information and awareness campaign for the reduction of plastic bags in the marine environment
Ολοκληρωμένη εκστρατεία ενημέρωσης και ευαισθητοποίησης για τη μείωση της πλαστικής σακούλας στο θαλάσσιο περιβάλλον</t>
  </si>
  <si>
    <t>TACKLING INTERNATIONAL AIRLINE CATERING WASTE BY DEMONSTRATING INTEGRAL AND SAFE RECOLLECTION, SEPARATION &amp; TREATMENT
LIFE+ Zero Cabin Waste aims to create a sustainable model to reduce, re-use and recycle waste recollected in airplanes cabins and set the basis for replication in the future by other airlines and related stakeholders.</t>
  </si>
  <si>
    <t>Dedicato ai video realizzati nell'ambito del Progetto LIFE+ (09 NAT/IT/000190) finanziato dalla Comunità Europea il cui fulcro è l'implementazione di sistemi subacquei di rilevazione dei tursiopi in grado di identificare le minacce sugli stessi, prevenire collisioni ed altri rischi, diffondendo in tempo reale informazioni sulla presenza dei delfini.
L'area scelta è l'AMP Portofino quale corridoio ecologico ideale per la concomitante presenza di una popolazione residente di tursiopi e di una forte attività antropica.</t>
  </si>
  <si>
    <t>EU Delegation to the UK's official YouTube channel.
The European Union is represented in the United Kingdom by the Delegation of the EU in London. In close coordination with the Embassies and Consulates of the 27 EU Member States throughout the UK, the Delegation actively promotes EU interests &amp; policies.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</si>
  <si>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</si>
  <si>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</si>
  <si>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</si>
  <si>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</si>
  <si>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</si>
  <si>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</si>
  <si>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</si>
  <si>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</si>
  <si>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</si>
  <si>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</si>
  <si>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</si>
  <si>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</si>
  <si>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</si>
  <si>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</si>
  <si>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</si>
  <si>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</si>
  <si>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</si>
  <si>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</si>
  <si>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</si>
  <si>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</si>
  <si>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</si>
  <si>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</si>
  <si>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</si>
  <si>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</si>
  <si>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</si>
  <si>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</si>
  <si>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</si>
  <si>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</si>
  <si>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 xml:space="preserve">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</si>
  <si>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
  </si>
  <si>
    <t>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t>
  </si>
  <si>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t>
  </si>
  <si>
    <t xml:space="preserv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t>
  </si>
  <si>
    <t xml:space="preserve">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t>
  </si>
  <si>
    <t>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t>
  </si>
  <si>
    <t>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t>
  </si>
  <si>
    <t>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t>
  </si>
  <si>
    <t>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t>
  </si>
  <si>
    <t>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t>
  </si>
  <si>
    <t>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t>
  </si>
  <si>
    <t>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t>
  </si>
  <si>
    <t>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t>
  </si>
  <si>
    <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t>
  </si>
  <si>
    <t xml:space="preserve">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</si>
  <si>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</si>
  <si>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</si>
  <si>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</si>
  <si>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</si>
  <si>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</si>
  <si>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</si>
  <si>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</si>
  <si>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</si>
  <si>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</si>
  <si>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</si>
  <si>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</si>
  <si>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</si>
  <si>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</si>
  <si>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</si>
  <si>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</si>
  <si>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</si>
  <si>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</si>
  <si>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</si>
  <si>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</si>
  <si>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</si>
  <si>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</si>
  <si>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</si>
  <si>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</si>
  <si>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</si>
  <si>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</si>
  <si>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touveChannel</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</si>
  <si>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</si>
  <si>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graph's vertices were grouped by cluster using the Clauset-Newman-Moore cluster algorithm.</t>
  </si>
  <si>
    <t>192, 192, 192</t>
  </si>
  <si>
    <t>Edge Weight▓1▓1▓0▓True▓Silver▓Red▓▓Edge Weight▓1▓1▓0▓3▓10▓False▓Edge Weight▓1▓1▓0▓40▓15▓False▓▓0▓0▓0▓True▓Black▓Black▓▓In-Degree▓1▓1▓0▓70▓1000▓False▓▓0▓0▓0▓0▓0▓False▓▓0▓0▓0▓0▓0▓False▓▓0▓0▓0▓0▓0▓False</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</si>
  <si>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</si>
  <si>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</si>
  <si>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https://nodexlgraphgallery.org/Pages/Graph.aspx?graphID=294360</t>
  </si>
  <si>
    <t>https://nodexlgraphgallery.org/Images/Image.ashx?graphID=294360&amp;type=f</t>
  </si>
  <si>
    <t>&lt;setting name="EdgeBundlerStraightening" serializeAs="String"&gt;
        &lt;value&gt;0.15&lt;/value&gt;
      &lt;/setting&gt;
    &lt;/GeneralUserSettings4&gt;
    &lt;GraphZoomAndScaleUserSettings&gt;
      &lt;setting name="GraphScale" serializeAs="String"&gt;
        &lt;value&gt;0.81&lt;/value&gt;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</si>
</sst>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2"/>
      <tableStyleElement type="headerRow" dxfId="121"/>
    </tableStyle>
    <tableStyle name="NodeXL Table" pivot="0" count="1">
      <tableStyleElement type="headerRow" dxfId="1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447354"/>
        <c:axId val="26917323"/>
      </c:barChart>
      <c:catAx>
        <c:axId val="10447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17323"/>
        <c:crosses val="autoZero"/>
        <c:auto val="1"/>
        <c:lblOffset val="100"/>
        <c:noMultiLvlLbl val="0"/>
      </c:catAx>
      <c:valAx>
        <c:axId val="2691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929316"/>
        <c:axId val="32819525"/>
      </c:barChart>
      <c:catAx>
        <c:axId val="40929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19525"/>
        <c:crosses val="autoZero"/>
        <c:auto val="1"/>
        <c:lblOffset val="100"/>
        <c:noMultiLvlLbl val="0"/>
      </c:catAx>
      <c:valAx>
        <c:axId val="32819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9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40270"/>
        <c:axId val="41135839"/>
      </c:barChart>
      <c:catAx>
        <c:axId val="26940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35839"/>
        <c:crosses val="autoZero"/>
        <c:auto val="1"/>
        <c:lblOffset val="100"/>
        <c:noMultiLvlLbl val="0"/>
      </c:catAx>
      <c:valAx>
        <c:axId val="4113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0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78232"/>
        <c:axId val="43668633"/>
      </c:barChart>
      <c:catAx>
        <c:axId val="346782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68633"/>
        <c:crosses val="autoZero"/>
        <c:auto val="1"/>
        <c:lblOffset val="100"/>
        <c:noMultiLvlLbl val="0"/>
      </c:catAx>
      <c:valAx>
        <c:axId val="43668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8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73378"/>
        <c:axId val="47498355"/>
      </c:barChart>
      <c:catAx>
        <c:axId val="574733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98355"/>
        <c:crosses val="autoZero"/>
        <c:auto val="1"/>
        <c:lblOffset val="100"/>
        <c:noMultiLvlLbl val="0"/>
      </c:catAx>
      <c:valAx>
        <c:axId val="47498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32012"/>
        <c:axId val="22161517"/>
      </c:barChart>
      <c:catAx>
        <c:axId val="248320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61517"/>
        <c:crosses val="autoZero"/>
        <c:auto val="1"/>
        <c:lblOffset val="100"/>
        <c:noMultiLvlLbl val="0"/>
      </c:catAx>
      <c:valAx>
        <c:axId val="2216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35926"/>
        <c:axId val="50252423"/>
      </c:barChart>
      <c:catAx>
        <c:axId val="652359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52423"/>
        <c:crosses val="autoZero"/>
        <c:auto val="1"/>
        <c:lblOffset val="100"/>
        <c:noMultiLvlLbl val="0"/>
      </c:catAx>
      <c:valAx>
        <c:axId val="5025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3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18624"/>
        <c:axId val="43914433"/>
      </c:barChart>
      <c:catAx>
        <c:axId val="496186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14433"/>
        <c:crosses val="autoZero"/>
        <c:auto val="1"/>
        <c:lblOffset val="100"/>
        <c:noMultiLvlLbl val="0"/>
      </c:catAx>
      <c:valAx>
        <c:axId val="4391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8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685578"/>
        <c:axId val="299291"/>
      </c:barChart>
      <c:catAx>
        <c:axId val="59685578"/>
        <c:scaling>
          <c:orientation val="minMax"/>
        </c:scaling>
        <c:axPos val="b"/>
        <c:delete val="1"/>
        <c:majorTickMark val="out"/>
        <c:minorTickMark val="none"/>
        <c:tickLblPos val="none"/>
        <c:crossAx val="299291"/>
        <c:crosses val="autoZero"/>
        <c:auto val="1"/>
        <c:lblOffset val="100"/>
        <c:noMultiLvlLbl val="0"/>
      </c:catAx>
      <c:valAx>
        <c:axId val="299291"/>
        <c:scaling>
          <c:orientation val="minMax"/>
        </c:scaling>
        <c:axPos val="l"/>
        <c:delete val="1"/>
        <c:majorTickMark val="out"/>
        <c:minorTickMark val="none"/>
        <c:tickLblPos val="none"/>
        <c:crossAx val="596855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118" totalsRowShown="0" headerRowDxfId="119" dataDxfId="83">
  <autoFilter ref="A2:U118"/>
  <tableColumns count="21">
    <tableColumn id="1" name="Vertex 1" dataDxfId="68"/>
    <tableColumn id="2" name="Vertex 2" dataDxfId="66"/>
    <tableColumn id="3" name="Color" dataDxfId="67"/>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22"/>
    <tableColumn id="7" name="ID" dataDxfId="85"/>
    <tableColumn id="9" name="Dynamic Filter" dataDxfId="84"/>
    <tableColumn id="8" name="Add Your Own Columns Here" dataDxfId="65"/>
    <tableColumn id="15" name="Relationship" dataDxfId="64"/>
    <tableColumn id="16" name="Subscribed At" dataDxfId="63"/>
    <tableColumn id="17" name="Total Items Count" dataDxfId="62"/>
    <tableColumn id="18" name="New Items Count" dataDxfId="61"/>
    <tableColumn id="19" name="Edge Weight"/>
    <tableColumn id="20" name="Vertex 1 Group" dataDxfId="39">
      <calculatedColumnFormula>REPLACE(INDEX(GroupVertices[Group], MATCH("~"&amp;Edges[[#This Row],[Vertex 1]],GroupVertices[Vertex],0)),1,1,"")</calculatedColumnFormula>
    </tableColumn>
    <tableColumn id="21" name="Vertex 2 Group" dataDxfId="38">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0" dataDxfId="49">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21" dataDxfId="20">
  <autoFilter ref="A2:C2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108" totalsRowShown="0" headerRowDxfId="118" dataDxfId="69">
  <autoFilter ref="A2:AH108"/>
  <sortState ref="A3:AH108">
    <sortCondition descending="1" sortBy="value" ref="U3:U108"/>
  </sortState>
  <tableColumns count="34">
    <tableColumn id="1" name="Vertex" dataDxfId="82"/>
    <tableColumn id="2" name="Color" dataDxfId="81"/>
    <tableColumn id="5" name="Shape" dataDxfId="80"/>
    <tableColumn id="6" name="Size" dataDxfId="79"/>
    <tableColumn id="4" name="Opacity" dataDxfId="58"/>
    <tableColumn id="7" name="Image File" dataDxfId="56"/>
    <tableColumn id="3" name="Visibility" dataDxfId="57"/>
    <tableColumn id="10" name="Label" dataDxfId="78"/>
    <tableColumn id="16" name="Label Fill Color" dataDxfId="77"/>
    <tableColumn id="9" name="Label Position" dataDxfId="53"/>
    <tableColumn id="8" name="Tooltip" dataDxfId="51"/>
    <tableColumn id="18" name="Layout Order" dataDxfId="52"/>
    <tableColumn id="13" name="X" dataDxfId="76"/>
    <tableColumn id="14" name="Y" dataDxfId="75"/>
    <tableColumn id="12" name="Locked?" dataDxfId="74"/>
    <tableColumn id="19" name="Polar R" dataDxfId="73"/>
    <tableColumn id="20" name="Polar Angle" dataDxfId="7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71"/>
    <tableColumn id="28" name="Dynamic Filter" dataDxfId="70"/>
    <tableColumn id="17" name="Add Your Own Columns Here" dataDxfId="60"/>
    <tableColumn id="30" name="Custom Menu Item Text" dataDxfId="59"/>
    <tableColumn id="31" name="Custom Menu Item Action" dataDxfId="55"/>
    <tableColumn id="32" name="Title" dataDxfId="54"/>
    <tableColumn id="33" name="Description" dataDxfId="41"/>
    <tableColumn id="34" name="Vertex Group" dataDxfId="40">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1" totalsRowShown="0" headerRowDxfId="117">
  <autoFilter ref="A2:X11"/>
  <tableColumns count="24">
    <tableColumn id="1" name="Group" dataDxfId="48"/>
    <tableColumn id="2" name="Vertex Color" dataDxfId="47"/>
    <tableColumn id="3" name="Vertex Shape" dataDxfId="45"/>
    <tableColumn id="22" name="Visibility" dataDxfId="46"/>
    <tableColumn id="4" name="Collapsed?"/>
    <tableColumn id="18" name="Label" dataDxfId="116"/>
    <tableColumn id="20" name="Collapsed X"/>
    <tableColumn id="21" name="Collapsed Y"/>
    <tableColumn id="6" name="ID" dataDxfId="115"/>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114" dataDxfId="113">
  <autoFilter ref="A1:C107"/>
  <tableColumns count="3">
    <tableColumn id="1" name="Group" dataDxfId="44"/>
    <tableColumn id="2" name="Vertex" dataDxfId="43"/>
    <tableColumn id="3" name="Vertex ID" dataDxfId="42">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12"/>
    <tableColumn id="2" name="Degree Frequency" dataDxfId="111">
      <calculatedColumnFormula>COUNTIF(Vertices[Degree], "&gt;= " &amp; D2) - COUNTIF(Vertices[Degree], "&gt;=" &amp; D3)</calculatedColumnFormula>
    </tableColumn>
    <tableColumn id="3" name="In-Degree Bin" dataDxfId="110"/>
    <tableColumn id="4" name="In-Degree Frequency" dataDxfId="109">
      <calculatedColumnFormula>COUNTIF(Vertices[In-Degree], "&gt;= " &amp; F2) - COUNTIF(Vertices[In-Degree], "&gt;=" &amp; F3)</calculatedColumnFormula>
    </tableColumn>
    <tableColumn id="5" name="Out-Degree Bin" dataDxfId="108"/>
    <tableColumn id="6" name="Out-Degree Frequency" dataDxfId="107">
      <calculatedColumnFormula>COUNTIF(Vertices[Out-Degree], "&gt;= " &amp; H2) - COUNTIF(Vertices[Out-Degree], "&gt;=" &amp; H3)</calculatedColumnFormula>
    </tableColumn>
    <tableColumn id="7" name="Betweenness Centrality Bin" dataDxfId="106"/>
    <tableColumn id="8" name="Betweenness Centrality Frequency" dataDxfId="105">
      <calculatedColumnFormula>COUNTIF(Vertices[Betweenness Centrality], "&gt;= " &amp; J2) - COUNTIF(Vertices[Betweenness Centrality], "&gt;=" &amp; J3)</calculatedColumnFormula>
    </tableColumn>
    <tableColumn id="9" name="Closeness Centrality Bin" dataDxfId="104"/>
    <tableColumn id="10" name="Closeness Centrality Frequency" dataDxfId="103">
      <calculatedColumnFormula>COUNTIF(Vertices[Closeness Centrality], "&gt;= " &amp; L2) - COUNTIF(Vertices[Closeness Centrality], "&gt;=" &amp; L3)</calculatedColumnFormula>
    </tableColumn>
    <tableColumn id="11" name="Eigenvector Centrality Bin" dataDxfId="102"/>
    <tableColumn id="12" name="Eigenvector Centrality Frequency" dataDxfId="101">
      <calculatedColumnFormula>COUNTIF(Vertices[Eigenvector Centrality], "&gt;= " &amp; N2) - COUNTIF(Vertices[Eigenvector Centrality], "&gt;=" &amp; N3)</calculatedColumnFormula>
    </tableColumn>
    <tableColumn id="18" name="PageRank Bin" dataDxfId="100"/>
    <tableColumn id="17" name="PageRank Frequency" dataDxfId="99">
      <calculatedColumnFormula>COUNTIF(Vertices[Eigenvector Centrality], "&gt;= " &amp; P2) - COUNTIF(Vertices[Eigenvector Centrality], "&gt;=" &amp; P3)</calculatedColumnFormula>
    </tableColumn>
    <tableColumn id="13" name="Clustering Coefficient Bin" dataDxfId="98"/>
    <tableColumn id="14" name="Clustering Coefficient Frequency" dataDxfId="97">
      <calculatedColumnFormula>COUNTIF(Vertices[Clustering Coefficient], "&gt;= " &amp; R2) - COUNTIF(Vertices[Clustering Coefficient], "&gt;=" &amp; R3)</calculatedColumnFormula>
    </tableColumn>
    <tableColumn id="15" name="Dynamic Filter Bin" dataDxfId="96"/>
    <tableColumn id="16" name="Dynamic Filter Frequency" dataDxfId="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19" width="14.421875" style="0" customWidth="1"/>
    <col min="20" max="21" width="11.140625" style="0" bestFit="1" customWidth="1"/>
  </cols>
  <sheetData>
    <row r="1" spans="3:14" ht="15">
      <c r="C1" s="17" t="s">
        <v>39</v>
      </c>
      <c r="D1" s="18"/>
      <c r="E1" s="18"/>
      <c r="F1" s="18"/>
      <c r="G1" s="17"/>
      <c r="H1" s="15" t="s">
        <v>43</v>
      </c>
      <c r="I1" s="52"/>
      <c r="J1" s="52"/>
      <c r="K1" s="34" t="s">
        <v>42</v>
      </c>
      <c r="L1" s="19" t="s">
        <v>40</v>
      </c>
      <c r="M1" s="19"/>
      <c r="N1" s="16"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t="s">
        <v>544</v>
      </c>
      <c r="T2" s="13" t="s">
        <v>564</v>
      </c>
      <c r="U2" s="13" t="s">
        <v>565</v>
      </c>
    </row>
    <row r="3" spans="1:21" ht="15" customHeight="1">
      <c r="A3" s="65" t="s">
        <v>199</v>
      </c>
      <c r="B3" s="65" t="s">
        <v>304</v>
      </c>
      <c r="C3" s="66" t="s">
        <v>572</v>
      </c>
      <c r="D3" s="67">
        <v>3</v>
      </c>
      <c r="E3" s="68"/>
      <c r="F3" s="69">
        <v>40</v>
      </c>
      <c r="G3" s="66"/>
      <c r="H3" s="70"/>
      <c r="I3" s="71"/>
      <c r="J3" s="71"/>
      <c r="K3" s="35" t="s">
        <v>65</v>
      </c>
      <c r="L3" s="72">
        <v>3</v>
      </c>
      <c r="M3" s="72"/>
      <c r="N3" s="73"/>
      <c r="O3" s="80" t="s">
        <v>305</v>
      </c>
      <c r="P3" s="82">
        <v>44964.622395833336</v>
      </c>
      <c r="Q3" s="80">
        <v>1755</v>
      </c>
      <c r="R3" s="80">
        <v>0</v>
      </c>
      <c r="S3">
        <v>1</v>
      </c>
      <c r="T3" s="80" t="str">
        <f>REPLACE(INDEX(GroupVertices[Group],MATCH("~"&amp;Edges[[#This Row],[Vertex 1]],GroupVertices[Vertex],0)),1,1,"")</f>
        <v>7</v>
      </c>
      <c r="U3" s="80" t="str">
        <f>REPLACE(INDEX(GroupVertices[Group],MATCH("~"&amp;Edges[[#This Row],[Vertex 2]],GroupVertices[Vertex],0)),1,1,"")</f>
        <v>7</v>
      </c>
    </row>
    <row r="4" spans="1:21" ht="15" customHeight="1">
      <c r="A4" s="65" t="s">
        <v>199</v>
      </c>
      <c r="B4" s="65" t="s">
        <v>210</v>
      </c>
      <c r="C4" s="66" t="s">
        <v>572</v>
      </c>
      <c r="D4" s="67">
        <v>3</v>
      </c>
      <c r="E4" s="68"/>
      <c r="F4" s="69">
        <v>40</v>
      </c>
      <c r="G4" s="66"/>
      <c r="H4" s="70"/>
      <c r="I4" s="71"/>
      <c r="J4" s="71"/>
      <c r="K4" s="35" t="s">
        <v>65</v>
      </c>
      <c r="L4" s="79">
        <v>4</v>
      </c>
      <c r="M4" s="79"/>
      <c r="N4" s="73"/>
      <c r="O4" s="81" t="s">
        <v>305</v>
      </c>
      <c r="P4" s="83">
        <v>44835.86583333334</v>
      </c>
      <c r="Q4" s="81">
        <v>4074</v>
      </c>
      <c r="R4" s="81">
        <v>0</v>
      </c>
      <c r="S4">
        <v>1</v>
      </c>
      <c r="T4" s="80" t="str">
        <f>REPLACE(INDEX(GroupVertices[Group],MATCH("~"&amp;Edges[[#This Row],[Vertex 1]],GroupVertices[Vertex],0)),1,1,"")</f>
        <v>7</v>
      </c>
      <c r="U4" s="80" t="str">
        <f>REPLACE(INDEX(GroupVertices[Group],MATCH("~"&amp;Edges[[#This Row],[Vertex 2]],GroupVertices[Vertex],0)),1,1,"")</f>
        <v>7</v>
      </c>
    </row>
    <row r="5" spans="1:21" ht="15">
      <c r="A5" s="65" t="s">
        <v>199</v>
      </c>
      <c r="B5" s="65" t="s">
        <v>211</v>
      </c>
      <c r="C5" s="66" t="s">
        <v>572</v>
      </c>
      <c r="D5" s="67">
        <v>3</v>
      </c>
      <c r="E5" s="68"/>
      <c r="F5" s="69">
        <v>40</v>
      </c>
      <c r="G5" s="66"/>
      <c r="H5" s="70"/>
      <c r="I5" s="71"/>
      <c r="J5" s="71"/>
      <c r="K5" s="35" t="s">
        <v>65</v>
      </c>
      <c r="L5" s="79">
        <v>5</v>
      </c>
      <c r="M5" s="79"/>
      <c r="N5" s="73"/>
      <c r="O5" s="81" t="s">
        <v>305</v>
      </c>
      <c r="P5" s="83">
        <v>44835.85084490741</v>
      </c>
      <c r="Q5" s="81">
        <v>353</v>
      </c>
      <c r="R5" s="81">
        <v>0</v>
      </c>
      <c r="S5">
        <v>1</v>
      </c>
      <c r="T5" s="80" t="str">
        <f>REPLACE(INDEX(GroupVertices[Group],MATCH("~"&amp;Edges[[#This Row],[Vertex 1]],GroupVertices[Vertex],0)),1,1,"")</f>
        <v>7</v>
      </c>
      <c r="U5" s="80" t="str">
        <f>REPLACE(INDEX(GroupVertices[Group],MATCH("~"&amp;Edges[[#This Row],[Vertex 2]],GroupVertices[Vertex],0)),1,1,"")</f>
        <v>7</v>
      </c>
    </row>
    <row r="6" spans="1:21" ht="15">
      <c r="A6" s="65" t="s">
        <v>200</v>
      </c>
      <c r="B6" s="65" t="s">
        <v>212</v>
      </c>
      <c r="C6" s="66" t="s">
        <v>572</v>
      </c>
      <c r="D6" s="67">
        <v>3</v>
      </c>
      <c r="E6" s="68"/>
      <c r="F6" s="69">
        <v>40</v>
      </c>
      <c r="G6" s="66"/>
      <c r="H6" s="70"/>
      <c r="I6" s="71"/>
      <c r="J6" s="71"/>
      <c r="K6" s="35" t="s">
        <v>65</v>
      </c>
      <c r="L6" s="79">
        <v>6</v>
      </c>
      <c r="M6" s="79"/>
      <c r="N6" s="73"/>
      <c r="O6" s="81" t="s">
        <v>305</v>
      </c>
      <c r="P6" s="83">
        <v>42842.71954861111</v>
      </c>
      <c r="Q6" s="81">
        <v>798</v>
      </c>
      <c r="R6" s="81">
        <v>0</v>
      </c>
      <c r="S6">
        <v>1</v>
      </c>
      <c r="T6" s="80" t="str">
        <f>REPLACE(INDEX(GroupVertices[Group],MATCH("~"&amp;Edges[[#This Row],[Vertex 1]],GroupVertices[Vertex],0)),1,1,"")</f>
        <v>1</v>
      </c>
      <c r="U6" s="80" t="str">
        <f>REPLACE(INDEX(GroupVertices[Group],MATCH("~"&amp;Edges[[#This Row],[Vertex 2]],GroupVertices[Vertex],0)),1,1,"")</f>
        <v>1</v>
      </c>
    </row>
    <row r="7" spans="1:21" ht="15">
      <c r="A7" s="65" t="s">
        <v>201</v>
      </c>
      <c r="B7" s="65" t="s">
        <v>213</v>
      </c>
      <c r="C7" s="66" t="s">
        <v>572</v>
      </c>
      <c r="D7" s="67">
        <v>3</v>
      </c>
      <c r="E7" s="68"/>
      <c r="F7" s="69">
        <v>40</v>
      </c>
      <c r="G7" s="66"/>
      <c r="H7" s="70"/>
      <c r="I7" s="71"/>
      <c r="J7" s="71"/>
      <c r="K7" s="35" t="s">
        <v>65</v>
      </c>
      <c r="L7" s="79">
        <v>7</v>
      </c>
      <c r="M7" s="79"/>
      <c r="N7" s="73"/>
      <c r="O7" s="81" t="s">
        <v>305</v>
      </c>
      <c r="P7" s="83">
        <v>42431.78104166667</v>
      </c>
      <c r="Q7" s="81">
        <v>2473</v>
      </c>
      <c r="R7" s="81">
        <v>0</v>
      </c>
      <c r="S7">
        <v>1</v>
      </c>
      <c r="T7" s="80" t="str">
        <f>REPLACE(INDEX(GroupVertices[Group],MATCH("~"&amp;Edges[[#This Row],[Vertex 1]],GroupVertices[Vertex],0)),1,1,"")</f>
        <v>9</v>
      </c>
      <c r="U7" s="80" t="str">
        <f>REPLACE(INDEX(GroupVertices[Group],MATCH("~"&amp;Edges[[#This Row],[Vertex 2]],GroupVertices[Vertex],0)),1,1,"")</f>
        <v>9</v>
      </c>
    </row>
    <row r="8" spans="1:21" ht="15">
      <c r="A8" s="65" t="s">
        <v>201</v>
      </c>
      <c r="B8" s="65" t="s">
        <v>214</v>
      </c>
      <c r="C8" s="66" t="s">
        <v>572</v>
      </c>
      <c r="D8" s="67">
        <v>3</v>
      </c>
      <c r="E8" s="68"/>
      <c r="F8" s="69">
        <v>40</v>
      </c>
      <c r="G8" s="66"/>
      <c r="H8" s="70"/>
      <c r="I8" s="71"/>
      <c r="J8" s="71"/>
      <c r="K8" s="35" t="s">
        <v>65</v>
      </c>
      <c r="L8" s="79">
        <v>8</v>
      </c>
      <c r="M8" s="79"/>
      <c r="N8" s="73"/>
      <c r="O8" s="81" t="s">
        <v>305</v>
      </c>
      <c r="P8" s="83">
        <v>42431.79806712963</v>
      </c>
      <c r="Q8" s="81">
        <v>1115</v>
      </c>
      <c r="R8" s="81">
        <v>0</v>
      </c>
      <c r="S8">
        <v>1</v>
      </c>
      <c r="T8" s="80" t="str">
        <f>REPLACE(INDEX(GroupVertices[Group],MATCH("~"&amp;Edges[[#This Row],[Vertex 1]],GroupVertices[Vertex],0)),1,1,"")</f>
        <v>9</v>
      </c>
      <c r="U8" s="80" t="str">
        <f>REPLACE(INDEX(GroupVertices[Group],MATCH("~"&amp;Edges[[#This Row],[Vertex 2]],GroupVertices[Vertex],0)),1,1,"")</f>
        <v>9</v>
      </c>
    </row>
    <row r="9" spans="1:21" ht="15">
      <c r="A9" s="65" t="s">
        <v>202</v>
      </c>
      <c r="B9" s="65" t="s">
        <v>215</v>
      </c>
      <c r="C9" s="66" t="s">
        <v>572</v>
      </c>
      <c r="D9" s="67">
        <v>3</v>
      </c>
      <c r="E9" s="68"/>
      <c r="F9" s="69">
        <v>40</v>
      </c>
      <c r="G9" s="66"/>
      <c r="H9" s="70"/>
      <c r="I9" s="71"/>
      <c r="J9" s="71"/>
      <c r="K9" s="35" t="s">
        <v>65</v>
      </c>
      <c r="L9" s="79">
        <v>9</v>
      </c>
      <c r="M9" s="79"/>
      <c r="N9" s="73"/>
      <c r="O9" s="81" t="s">
        <v>305</v>
      </c>
      <c r="P9" s="83">
        <v>41749.765752314815</v>
      </c>
      <c r="Q9" s="81">
        <v>154</v>
      </c>
      <c r="R9" s="81">
        <v>0</v>
      </c>
      <c r="S9">
        <v>1</v>
      </c>
      <c r="T9" s="80" t="str">
        <f>REPLACE(INDEX(GroupVertices[Group],MATCH("~"&amp;Edges[[#This Row],[Vertex 1]],GroupVertices[Vertex],0)),1,1,"")</f>
        <v>3</v>
      </c>
      <c r="U9" s="80" t="str">
        <f>REPLACE(INDEX(GroupVertices[Group],MATCH("~"&amp;Edges[[#This Row],[Vertex 2]],GroupVertices[Vertex],0)),1,1,"")</f>
        <v>3</v>
      </c>
    </row>
    <row r="10" spans="1:21" ht="15">
      <c r="A10" s="65" t="s">
        <v>202</v>
      </c>
      <c r="B10" s="65" t="s">
        <v>216</v>
      </c>
      <c r="C10" s="66" t="s">
        <v>572</v>
      </c>
      <c r="D10" s="67">
        <v>3</v>
      </c>
      <c r="E10" s="68"/>
      <c r="F10" s="69">
        <v>40</v>
      </c>
      <c r="G10" s="66"/>
      <c r="H10" s="70"/>
      <c r="I10" s="71"/>
      <c r="J10" s="71"/>
      <c r="K10" s="35" t="s">
        <v>65</v>
      </c>
      <c r="L10" s="79">
        <v>10</v>
      </c>
      <c r="M10" s="79"/>
      <c r="N10" s="73"/>
      <c r="O10" s="81" t="s">
        <v>305</v>
      </c>
      <c r="P10" s="83">
        <v>40822.71704861111</v>
      </c>
      <c r="Q10" s="81">
        <v>867</v>
      </c>
      <c r="R10" s="81">
        <v>0</v>
      </c>
      <c r="S10">
        <v>1</v>
      </c>
      <c r="T10" s="80" t="str">
        <f>REPLACE(INDEX(GroupVertices[Group],MATCH("~"&amp;Edges[[#This Row],[Vertex 1]],GroupVertices[Vertex],0)),1,1,"")</f>
        <v>3</v>
      </c>
      <c r="U10" s="80" t="str">
        <f>REPLACE(INDEX(GroupVertices[Group],MATCH("~"&amp;Edges[[#This Row],[Vertex 2]],GroupVertices[Vertex],0)),1,1,"")</f>
        <v>3</v>
      </c>
    </row>
    <row r="11" spans="1:21" ht="15">
      <c r="A11" s="65" t="s">
        <v>202</v>
      </c>
      <c r="B11" s="65" t="s">
        <v>217</v>
      </c>
      <c r="C11" s="66" t="s">
        <v>572</v>
      </c>
      <c r="D11" s="67">
        <v>3</v>
      </c>
      <c r="E11" s="68"/>
      <c r="F11" s="69">
        <v>40</v>
      </c>
      <c r="G11" s="66"/>
      <c r="H11" s="70"/>
      <c r="I11" s="71"/>
      <c r="J11" s="71"/>
      <c r="K11" s="35" t="s">
        <v>65</v>
      </c>
      <c r="L11" s="79">
        <v>11</v>
      </c>
      <c r="M11" s="79"/>
      <c r="N11" s="73"/>
      <c r="O11" s="81" t="s">
        <v>305</v>
      </c>
      <c r="P11" s="83">
        <v>42142.81623842593</v>
      </c>
      <c r="Q11" s="81">
        <v>101</v>
      </c>
      <c r="R11" s="81">
        <v>0</v>
      </c>
      <c r="S11">
        <v>1</v>
      </c>
      <c r="T11" s="80" t="str">
        <f>REPLACE(INDEX(GroupVertices[Group],MATCH("~"&amp;Edges[[#This Row],[Vertex 1]],GroupVertices[Vertex],0)),1,1,"")</f>
        <v>3</v>
      </c>
      <c r="U11" s="80" t="str">
        <f>REPLACE(INDEX(GroupVertices[Group],MATCH("~"&amp;Edges[[#This Row],[Vertex 2]],GroupVertices[Vertex],0)),1,1,"")</f>
        <v>3</v>
      </c>
    </row>
    <row r="12" spans="1:21" ht="15">
      <c r="A12" s="65" t="s">
        <v>202</v>
      </c>
      <c r="B12" s="65" t="s">
        <v>218</v>
      </c>
      <c r="C12" s="66" t="s">
        <v>572</v>
      </c>
      <c r="D12" s="67">
        <v>3</v>
      </c>
      <c r="E12" s="68"/>
      <c r="F12" s="69">
        <v>40</v>
      </c>
      <c r="G12" s="66"/>
      <c r="H12" s="70"/>
      <c r="I12" s="71"/>
      <c r="J12" s="71"/>
      <c r="K12" s="35" t="s">
        <v>65</v>
      </c>
      <c r="L12" s="79">
        <v>12</v>
      </c>
      <c r="M12" s="79"/>
      <c r="N12" s="73"/>
      <c r="O12" s="81" t="s">
        <v>305</v>
      </c>
      <c r="P12" s="83">
        <v>41304.01467592592</v>
      </c>
      <c r="Q12" s="81">
        <v>48</v>
      </c>
      <c r="R12" s="81">
        <v>0</v>
      </c>
      <c r="S12">
        <v>1</v>
      </c>
      <c r="T12" s="80" t="str">
        <f>REPLACE(INDEX(GroupVertices[Group],MATCH("~"&amp;Edges[[#This Row],[Vertex 1]],GroupVertices[Vertex],0)),1,1,"")</f>
        <v>3</v>
      </c>
      <c r="U12" s="80" t="str">
        <f>REPLACE(INDEX(GroupVertices[Group],MATCH("~"&amp;Edges[[#This Row],[Vertex 2]],GroupVertices[Vertex],0)),1,1,"")</f>
        <v>3</v>
      </c>
    </row>
    <row r="13" spans="1:21" ht="15">
      <c r="A13" s="65" t="s">
        <v>202</v>
      </c>
      <c r="B13" s="65" t="s">
        <v>219</v>
      </c>
      <c r="C13" s="66" t="s">
        <v>572</v>
      </c>
      <c r="D13" s="67">
        <v>3</v>
      </c>
      <c r="E13" s="68"/>
      <c r="F13" s="69">
        <v>40</v>
      </c>
      <c r="G13" s="66"/>
      <c r="H13" s="70"/>
      <c r="I13" s="71"/>
      <c r="J13" s="71"/>
      <c r="K13" s="35" t="s">
        <v>65</v>
      </c>
      <c r="L13" s="79">
        <v>13</v>
      </c>
      <c r="M13" s="79"/>
      <c r="N13" s="73"/>
      <c r="O13" s="81" t="s">
        <v>305</v>
      </c>
      <c r="P13" s="83">
        <v>42740.84103009259</v>
      </c>
      <c r="Q13" s="81">
        <v>24697</v>
      </c>
      <c r="R13" s="81">
        <v>0</v>
      </c>
      <c r="S13">
        <v>1</v>
      </c>
      <c r="T13" s="80" t="str">
        <f>REPLACE(INDEX(GroupVertices[Group],MATCH("~"&amp;Edges[[#This Row],[Vertex 1]],GroupVertices[Vertex],0)),1,1,"")</f>
        <v>3</v>
      </c>
      <c r="U13" s="80" t="str">
        <f>REPLACE(INDEX(GroupVertices[Group],MATCH("~"&amp;Edges[[#This Row],[Vertex 2]],GroupVertices[Vertex],0)),1,1,"")</f>
        <v>3</v>
      </c>
    </row>
    <row r="14" spans="1:21" ht="15">
      <c r="A14" s="65" t="s">
        <v>202</v>
      </c>
      <c r="B14" s="65" t="s">
        <v>220</v>
      </c>
      <c r="C14" s="66" t="s">
        <v>572</v>
      </c>
      <c r="D14" s="67">
        <v>3</v>
      </c>
      <c r="E14" s="68"/>
      <c r="F14" s="69">
        <v>40</v>
      </c>
      <c r="G14" s="66"/>
      <c r="H14" s="70"/>
      <c r="I14" s="71"/>
      <c r="J14" s="71"/>
      <c r="K14" s="35" t="s">
        <v>65</v>
      </c>
      <c r="L14" s="79">
        <v>14</v>
      </c>
      <c r="M14" s="79"/>
      <c r="N14" s="73"/>
      <c r="O14" s="81" t="s">
        <v>305</v>
      </c>
      <c r="P14" s="83">
        <v>42845.838900462964</v>
      </c>
      <c r="Q14" s="81">
        <v>238</v>
      </c>
      <c r="R14" s="81">
        <v>0</v>
      </c>
      <c r="S14">
        <v>1</v>
      </c>
      <c r="T14" s="80" t="str">
        <f>REPLACE(INDEX(GroupVertices[Group],MATCH("~"&amp;Edges[[#This Row],[Vertex 1]],GroupVertices[Vertex],0)),1,1,"")</f>
        <v>3</v>
      </c>
      <c r="U14" s="80" t="str">
        <f>REPLACE(INDEX(GroupVertices[Group],MATCH("~"&amp;Edges[[#This Row],[Vertex 2]],GroupVertices[Vertex],0)),1,1,"")</f>
        <v>3</v>
      </c>
    </row>
    <row r="15" spans="1:21" ht="15">
      <c r="A15" s="65" t="s">
        <v>202</v>
      </c>
      <c r="B15" s="65" t="s">
        <v>221</v>
      </c>
      <c r="C15" s="66" t="s">
        <v>572</v>
      </c>
      <c r="D15" s="67">
        <v>3</v>
      </c>
      <c r="E15" s="68"/>
      <c r="F15" s="69">
        <v>40</v>
      </c>
      <c r="G15" s="66"/>
      <c r="H15" s="70"/>
      <c r="I15" s="71"/>
      <c r="J15" s="71"/>
      <c r="K15" s="35" t="s">
        <v>65</v>
      </c>
      <c r="L15" s="79">
        <v>15</v>
      </c>
      <c r="M15" s="79"/>
      <c r="N15" s="73"/>
      <c r="O15" s="81" t="s">
        <v>305</v>
      </c>
      <c r="P15" s="83">
        <v>44343.650671296295</v>
      </c>
      <c r="Q15" s="81">
        <v>61</v>
      </c>
      <c r="R15" s="81">
        <v>0</v>
      </c>
      <c r="S15">
        <v>1</v>
      </c>
      <c r="T15" s="80" t="str">
        <f>REPLACE(INDEX(GroupVertices[Group],MATCH("~"&amp;Edges[[#This Row],[Vertex 1]],GroupVertices[Vertex],0)),1,1,"")</f>
        <v>3</v>
      </c>
      <c r="U15" s="80" t="str">
        <f>REPLACE(INDEX(GroupVertices[Group],MATCH("~"&amp;Edges[[#This Row],[Vertex 2]],GroupVertices[Vertex],0)),1,1,"")</f>
        <v>3</v>
      </c>
    </row>
    <row r="16" spans="1:21" ht="15">
      <c r="A16" s="65" t="s">
        <v>202</v>
      </c>
      <c r="B16" s="65" t="s">
        <v>222</v>
      </c>
      <c r="C16" s="66" t="s">
        <v>572</v>
      </c>
      <c r="D16" s="67">
        <v>3</v>
      </c>
      <c r="E16" s="68"/>
      <c r="F16" s="69">
        <v>40</v>
      </c>
      <c r="G16" s="66"/>
      <c r="H16" s="70"/>
      <c r="I16" s="71"/>
      <c r="J16" s="71"/>
      <c r="K16" s="35" t="s">
        <v>65</v>
      </c>
      <c r="L16" s="79">
        <v>16</v>
      </c>
      <c r="M16" s="79"/>
      <c r="N16" s="73"/>
      <c r="O16" s="81" t="s">
        <v>305</v>
      </c>
      <c r="P16" s="83">
        <v>40060.60395833333</v>
      </c>
      <c r="Q16" s="81">
        <v>20</v>
      </c>
      <c r="R16" s="81">
        <v>0</v>
      </c>
      <c r="S16">
        <v>1</v>
      </c>
      <c r="T16" s="80" t="str">
        <f>REPLACE(INDEX(GroupVertices[Group],MATCH("~"&amp;Edges[[#This Row],[Vertex 1]],GroupVertices[Vertex],0)),1,1,"")</f>
        <v>3</v>
      </c>
      <c r="U16" s="80" t="str">
        <f>REPLACE(INDEX(GroupVertices[Group],MATCH("~"&amp;Edges[[#This Row],[Vertex 2]],GroupVertices[Vertex],0)),1,1,"")</f>
        <v>3</v>
      </c>
    </row>
    <row r="17" spans="1:21" ht="15">
      <c r="A17" s="65" t="s">
        <v>202</v>
      </c>
      <c r="B17" s="65" t="s">
        <v>223</v>
      </c>
      <c r="C17" s="66" t="s">
        <v>572</v>
      </c>
      <c r="D17" s="67">
        <v>3</v>
      </c>
      <c r="E17" s="68"/>
      <c r="F17" s="69">
        <v>40</v>
      </c>
      <c r="G17" s="66"/>
      <c r="H17" s="70"/>
      <c r="I17" s="71"/>
      <c r="J17" s="71"/>
      <c r="K17" s="35" t="s">
        <v>65</v>
      </c>
      <c r="L17" s="79">
        <v>17</v>
      </c>
      <c r="M17" s="79"/>
      <c r="N17" s="73"/>
      <c r="O17" s="81" t="s">
        <v>305</v>
      </c>
      <c r="P17" s="83">
        <v>40822.745150462964</v>
      </c>
      <c r="Q17" s="81">
        <v>212</v>
      </c>
      <c r="R17" s="81">
        <v>0</v>
      </c>
      <c r="S17">
        <v>1</v>
      </c>
      <c r="T17" s="80" t="str">
        <f>REPLACE(INDEX(GroupVertices[Group],MATCH("~"&amp;Edges[[#This Row],[Vertex 1]],GroupVertices[Vertex],0)),1,1,"")</f>
        <v>3</v>
      </c>
      <c r="U17" s="80" t="str">
        <f>REPLACE(INDEX(GroupVertices[Group],MATCH("~"&amp;Edges[[#This Row],[Vertex 2]],GroupVertices[Vertex],0)),1,1,"")</f>
        <v>3</v>
      </c>
    </row>
    <row r="18" spans="1:21" ht="15">
      <c r="A18" s="65" t="s">
        <v>202</v>
      </c>
      <c r="B18" s="65" t="s">
        <v>224</v>
      </c>
      <c r="C18" s="66" t="s">
        <v>572</v>
      </c>
      <c r="D18" s="67">
        <v>3</v>
      </c>
      <c r="E18" s="68"/>
      <c r="F18" s="69">
        <v>40</v>
      </c>
      <c r="G18" s="66"/>
      <c r="H18" s="70"/>
      <c r="I18" s="71"/>
      <c r="J18" s="71"/>
      <c r="K18" s="35" t="s">
        <v>65</v>
      </c>
      <c r="L18" s="79">
        <v>18</v>
      </c>
      <c r="M18" s="79"/>
      <c r="N18" s="73"/>
      <c r="O18" s="81" t="s">
        <v>305</v>
      </c>
      <c r="P18" s="83">
        <v>42142.83354166667</v>
      </c>
      <c r="Q18" s="81">
        <v>31</v>
      </c>
      <c r="R18" s="81">
        <v>0</v>
      </c>
      <c r="S18">
        <v>1</v>
      </c>
      <c r="T18" s="80" t="str">
        <f>REPLACE(INDEX(GroupVertices[Group],MATCH("~"&amp;Edges[[#This Row],[Vertex 1]],GroupVertices[Vertex],0)),1,1,"")</f>
        <v>3</v>
      </c>
      <c r="U18" s="80" t="str">
        <f>REPLACE(INDEX(GroupVertices[Group],MATCH("~"&amp;Edges[[#This Row],[Vertex 2]],GroupVertices[Vertex],0)),1,1,"")</f>
        <v>3</v>
      </c>
    </row>
    <row r="19" spans="1:21" ht="15">
      <c r="A19" s="65" t="s">
        <v>202</v>
      </c>
      <c r="B19" s="65" t="s">
        <v>225</v>
      </c>
      <c r="C19" s="66" t="s">
        <v>572</v>
      </c>
      <c r="D19" s="67">
        <v>3</v>
      </c>
      <c r="E19" s="68"/>
      <c r="F19" s="69">
        <v>40</v>
      </c>
      <c r="G19" s="66"/>
      <c r="H19" s="70"/>
      <c r="I19" s="71"/>
      <c r="J19" s="71"/>
      <c r="K19" s="35" t="s">
        <v>65</v>
      </c>
      <c r="L19" s="79">
        <v>19</v>
      </c>
      <c r="M19" s="79"/>
      <c r="N19" s="73"/>
      <c r="O19" s="81" t="s">
        <v>305</v>
      </c>
      <c r="P19" s="83">
        <v>42142.81584490741</v>
      </c>
      <c r="Q19" s="81">
        <v>120</v>
      </c>
      <c r="R19" s="81">
        <v>0</v>
      </c>
      <c r="S19">
        <v>1</v>
      </c>
      <c r="T19" s="80" t="str">
        <f>REPLACE(INDEX(GroupVertices[Group],MATCH("~"&amp;Edges[[#This Row],[Vertex 1]],GroupVertices[Vertex],0)),1,1,"")</f>
        <v>3</v>
      </c>
      <c r="U19" s="80" t="str">
        <f>REPLACE(INDEX(GroupVertices[Group],MATCH("~"&amp;Edges[[#This Row],[Vertex 2]],GroupVertices[Vertex],0)),1,1,"")</f>
        <v>3</v>
      </c>
    </row>
    <row r="20" spans="1:21" ht="15">
      <c r="A20" s="65" t="s">
        <v>202</v>
      </c>
      <c r="B20" s="65" t="s">
        <v>226</v>
      </c>
      <c r="C20" s="66" t="s">
        <v>572</v>
      </c>
      <c r="D20" s="67">
        <v>3</v>
      </c>
      <c r="E20" s="68"/>
      <c r="F20" s="69">
        <v>40</v>
      </c>
      <c r="G20" s="66"/>
      <c r="H20" s="70"/>
      <c r="I20" s="71"/>
      <c r="J20" s="71"/>
      <c r="K20" s="35" t="s">
        <v>65</v>
      </c>
      <c r="L20" s="79">
        <v>20</v>
      </c>
      <c r="M20" s="79"/>
      <c r="N20" s="73"/>
      <c r="O20" s="81" t="s">
        <v>305</v>
      </c>
      <c r="P20" s="83">
        <v>42142.833344907405</v>
      </c>
      <c r="Q20" s="81">
        <v>15</v>
      </c>
      <c r="R20" s="81">
        <v>0</v>
      </c>
      <c r="S20">
        <v>1</v>
      </c>
      <c r="T20" s="80" t="str">
        <f>REPLACE(INDEX(GroupVertices[Group],MATCH("~"&amp;Edges[[#This Row],[Vertex 1]],GroupVertices[Vertex],0)),1,1,"")</f>
        <v>3</v>
      </c>
      <c r="U20" s="80" t="str">
        <f>REPLACE(INDEX(GroupVertices[Group],MATCH("~"&amp;Edges[[#This Row],[Vertex 2]],GroupVertices[Vertex],0)),1,1,"")</f>
        <v>3</v>
      </c>
    </row>
    <row r="21" spans="1:21" ht="15">
      <c r="A21" s="65" t="s">
        <v>203</v>
      </c>
      <c r="B21" s="65" t="s">
        <v>227</v>
      </c>
      <c r="C21" s="66" t="s">
        <v>572</v>
      </c>
      <c r="D21" s="67">
        <v>3</v>
      </c>
      <c r="E21" s="68"/>
      <c r="F21" s="69">
        <v>40</v>
      </c>
      <c r="G21" s="66"/>
      <c r="H21" s="70"/>
      <c r="I21" s="71"/>
      <c r="J21" s="71"/>
      <c r="K21" s="35" t="s">
        <v>65</v>
      </c>
      <c r="L21" s="79">
        <v>21</v>
      </c>
      <c r="M21" s="79"/>
      <c r="N21" s="73"/>
      <c r="O21" s="81" t="s">
        <v>305</v>
      </c>
      <c r="P21" s="83">
        <v>43006.01574074074</v>
      </c>
      <c r="Q21" s="81">
        <v>20</v>
      </c>
      <c r="R21" s="81">
        <v>0</v>
      </c>
      <c r="S21">
        <v>1</v>
      </c>
      <c r="T21" s="80" t="str">
        <f>REPLACE(INDEX(GroupVertices[Group],MATCH("~"&amp;Edges[[#This Row],[Vertex 1]],GroupVertices[Vertex],0)),1,1,"")</f>
        <v>1</v>
      </c>
      <c r="U21" s="80" t="str">
        <f>REPLACE(INDEX(GroupVertices[Group],MATCH("~"&amp;Edges[[#This Row],[Vertex 2]],GroupVertices[Vertex],0)),1,1,"")</f>
        <v>1</v>
      </c>
    </row>
    <row r="22" spans="1:21" ht="15">
      <c r="A22" s="65" t="s">
        <v>204</v>
      </c>
      <c r="B22" s="65" t="s">
        <v>228</v>
      </c>
      <c r="C22" s="66" t="s">
        <v>572</v>
      </c>
      <c r="D22" s="67">
        <v>3</v>
      </c>
      <c r="E22" s="68"/>
      <c r="F22" s="69">
        <v>40</v>
      </c>
      <c r="G22" s="66"/>
      <c r="H22" s="70"/>
      <c r="I22" s="71"/>
      <c r="J22" s="71"/>
      <c r="K22" s="35" t="s">
        <v>65</v>
      </c>
      <c r="L22" s="79">
        <v>22</v>
      </c>
      <c r="M22" s="79"/>
      <c r="N22" s="73"/>
      <c r="O22" s="81" t="s">
        <v>305</v>
      </c>
      <c r="P22" s="83">
        <v>43297.975752314815</v>
      </c>
      <c r="Q22" s="81">
        <v>57</v>
      </c>
      <c r="R22" s="81">
        <v>0</v>
      </c>
      <c r="S22">
        <v>1</v>
      </c>
      <c r="T22" s="80" t="str">
        <f>REPLACE(INDEX(GroupVertices[Group],MATCH("~"&amp;Edges[[#This Row],[Vertex 1]],GroupVertices[Vertex],0)),1,1,"")</f>
        <v>8</v>
      </c>
      <c r="U22" s="80" t="str">
        <f>REPLACE(INDEX(GroupVertices[Group],MATCH("~"&amp;Edges[[#This Row],[Vertex 2]],GroupVertices[Vertex],0)),1,1,"")</f>
        <v>8</v>
      </c>
    </row>
    <row r="23" spans="1:21" ht="15">
      <c r="A23" s="65" t="s">
        <v>204</v>
      </c>
      <c r="B23" s="65" t="s">
        <v>229</v>
      </c>
      <c r="C23" s="66" t="s">
        <v>572</v>
      </c>
      <c r="D23" s="67">
        <v>3</v>
      </c>
      <c r="E23" s="68"/>
      <c r="F23" s="69">
        <v>40</v>
      </c>
      <c r="G23" s="66"/>
      <c r="H23" s="70"/>
      <c r="I23" s="71"/>
      <c r="J23" s="71"/>
      <c r="K23" s="35" t="s">
        <v>65</v>
      </c>
      <c r="L23" s="79">
        <v>23</v>
      </c>
      <c r="M23" s="79"/>
      <c r="N23" s="73"/>
      <c r="O23" s="81" t="s">
        <v>305</v>
      </c>
      <c r="P23" s="83">
        <v>43396.625914351855</v>
      </c>
      <c r="Q23" s="81">
        <v>918</v>
      </c>
      <c r="R23" s="81">
        <v>0</v>
      </c>
      <c r="S23">
        <v>1</v>
      </c>
      <c r="T23" s="80" t="str">
        <f>REPLACE(INDEX(GroupVertices[Group],MATCH("~"&amp;Edges[[#This Row],[Vertex 1]],GroupVertices[Vertex],0)),1,1,"")</f>
        <v>8</v>
      </c>
      <c r="U23" s="80" t="str">
        <f>REPLACE(INDEX(GroupVertices[Group],MATCH("~"&amp;Edges[[#This Row],[Vertex 2]],GroupVertices[Vertex],0)),1,1,"")</f>
        <v>8</v>
      </c>
    </row>
    <row r="24" spans="1:21" ht="15">
      <c r="A24" s="65" t="s">
        <v>204</v>
      </c>
      <c r="B24" s="65" t="s">
        <v>230</v>
      </c>
      <c r="C24" s="66" t="s">
        <v>572</v>
      </c>
      <c r="D24" s="67">
        <v>3</v>
      </c>
      <c r="E24" s="68"/>
      <c r="F24" s="69">
        <v>40</v>
      </c>
      <c r="G24" s="66"/>
      <c r="H24" s="70"/>
      <c r="I24" s="71"/>
      <c r="J24" s="71"/>
      <c r="K24" s="35" t="s">
        <v>65</v>
      </c>
      <c r="L24" s="79">
        <v>24</v>
      </c>
      <c r="M24" s="79"/>
      <c r="N24" s="73"/>
      <c r="O24" s="81" t="s">
        <v>305</v>
      </c>
      <c r="P24" s="83">
        <v>42536.858310185184</v>
      </c>
      <c r="Q24" s="81">
        <v>37</v>
      </c>
      <c r="R24" s="81">
        <v>0</v>
      </c>
      <c r="S24">
        <v>1</v>
      </c>
      <c r="T24" s="80" t="str">
        <f>REPLACE(INDEX(GroupVertices[Group],MATCH("~"&amp;Edges[[#This Row],[Vertex 1]],GroupVertices[Vertex],0)),1,1,"")</f>
        <v>8</v>
      </c>
      <c r="U24" s="80" t="str">
        <f>REPLACE(INDEX(GroupVertices[Group],MATCH("~"&amp;Edges[[#This Row],[Vertex 2]],GroupVertices[Vertex],0)),1,1,"")</f>
        <v>8</v>
      </c>
    </row>
    <row r="25" spans="1:21" ht="15">
      <c r="A25" s="65" t="s">
        <v>205</v>
      </c>
      <c r="B25" s="65" t="s">
        <v>231</v>
      </c>
      <c r="C25" s="66" t="s">
        <v>572</v>
      </c>
      <c r="D25" s="67">
        <v>3</v>
      </c>
      <c r="E25" s="68"/>
      <c r="F25" s="69">
        <v>40</v>
      </c>
      <c r="G25" s="66"/>
      <c r="H25" s="70"/>
      <c r="I25" s="71"/>
      <c r="J25" s="71"/>
      <c r="K25" s="35" t="s">
        <v>65</v>
      </c>
      <c r="L25" s="79">
        <v>25</v>
      </c>
      <c r="M25" s="79"/>
      <c r="N25" s="73"/>
      <c r="O25" s="81" t="s">
        <v>305</v>
      </c>
      <c r="P25" s="83">
        <v>41662.64702546296</v>
      </c>
      <c r="Q25" s="81">
        <v>1077</v>
      </c>
      <c r="R25" s="81">
        <v>0</v>
      </c>
      <c r="S25">
        <v>1</v>
      </c>
      <c r="T25" s="80" t="str">
        <f>REPLACE(INDEX(GroupVertices[Group],MATCH("~"&amp;Edges[[#This Row],[Vertex 1]],GroupVertices[Vertex],0)),1,1,"")</f>
        <v>2</v>
      </c>
      <c r="U25" s="80" t="str">
        <f>REPLACE(INDEX(GroupVertices[Group],MATCH("~"&amp;Edges[[#This Row],[Vertex 2]],GroupVertices[Vertex],0)),1,1,"")</f>
        <v>2</v>
      </c>
    </row>
    <row r="26" spans="1:21" ht="15">
      <c r="A26" s="65" t="s">
        <v>205</v>
      </c>
      <c r="B26" s="65" t="s">
        <v>232</v>
      </c>
      <c r="C26" s="66" t="s">
        <v>572</v>
      </c>
      <c r="D26" s="67">
        <v>3</v>
      </c>
      <c r="E26" s="68"/>
      <c r="F26" s="69">
        <v>40</v>
      </c>
      <c r="G26" s="66"/>
      <c r="H26" s="70"/>
      <c r="I26" s="71"/>
      <c r="J26" s="71"/>
      <c r="K26" s="35" t="s">
        <v>65</v>
      </c>
      <c r="L26" s="79">
        <v>26</v>
      </c>
      <c r="M26" s="79"/>
      <c r="N26" s="73"/>
      <c r="O26" s="81" t="s">
        <v>305</v>
      </c>
      <c r="P26" s="83">
        <v>41662.65037037037</v>
      </c>
      <c r="Q26" s="81">
        <v>398</v>
      </c>
      <c r="R26" s="81">
        <v>0</v>
      </c>
      <c r="S26">
        <v>1</v>
      </c>
      <c r="T26" s="80" t="str">
        <f>REPLACE(INDEX(GroupVertices[Group],MATCH("~"&amp;Edges[[#This Row],[Vertex 1]],GroupVertices[Vertex],0)),1,1,"")</f>
        <v>2</v>
      </c>
      <c r="U26" s="80" t="str">
        <f>REPLACE(INDEX(GroupVertices[Group],MATCH("~"&amp;Edges[[#This Row],[Vertex 2]],GroupVertices[Vertex],0)),1,1,"")</f>
        <v>2</v>
      </c>
    </row>
    <row r="27" spans="1:21" ht="15">
      <c r="A27" s="65" t="s">
        <v>202</v>
      </c>
      <c r="B27" s="65" t="s">
        <v>233</v>
      </c>
      <c r="C27" s="66" t="s">
        <v>572</v>
      </c>
      <c r="D27" s="67">
        <v>3</v>
      </c>
      <c r="E27" s="68"/>
      <c r="F27" s="69">
        <v>40</v>
      </c>
      <c r="G27" s="66"/>
      <c r="H27" s="70"/>
      <c r="I27" s="71"/>
      <c r="J27" s="71"/>
      <c r="K27" s="35" t="s">
        <v>65</v>
      </c>
      <c r="L27" s="79">
        <v>27</v>
      </c>
      <c r="M27" s="79"/>
      <c r="N27" s="73"/>
      <c r="O27" s="81" t="s">
        <v>305</v>
      </c>
      <c r="P27" s="83">
        <v>42142.81606481481</v>
      </c>
      <c r="Q27" s="81">
        <v>184</v>
      </c>
      <c r="R27" s="81">
        <v>0</v>
      </c>
      <c r="S27">
        <v>1</v>
      </c>
      <c r="T27" s="80" t="str">
        <f>REPLACE(INDEX(GroupVertices[Group],MATCH("~"&amp;Edges[[#This Row],[Vertex 1]],GroupVertices[Vertex],0)),1,1,"")</f>
        <v>3</v>
      </c>
      <c r="U27" s="80" t="str">
        <f>REPLACE(INDEX(GroupVertices[Group],MATCH("~"&amp;Edges[[#This Row],[Vertex 2]],GroupVertices[Vertex],0)),1,1,"")</f>
        <v>3</v>
      </c>
    </row>
    <row r="28" spans="1:21" ht="15">
      <c r="A28" s="65" t="s">
        <v>205</v>
      </c>
      <c r="B28" s="65" t="s">
        <v>233</v>
      </c>
      <c r="C28" s="66" t="s">
        <v>572</v>
      </c>
      <c r="D28" s="67">
        <v>3</v>
      </c>
      <c r="E28" s="68"/>
      <c r="F28" s="69">
        <v>40</v>
      </c>
      <c r="G28" s="66"/>
      <c r="H28" s="70"/>
      <c r="I28" s="71"/>
      <c r="J28" s="71"/>
      <c r="K28" s="35" t="s">
        <v>65</v>
      </c>
      <c r="L28" s="79">
        <v>28</v>
      </c>
      <c r="M28" s="79"/>
      <c r="N28" s="73"/>
      <c r="O28" s="81" t="s">
        <v>305</v>
      </c>
      <c r="P28" s="83">
        <v>41662.65840277778</v>
      </c>
      <c r="Q28" s="81">
        <v>184</v>
      </c>
      <c r="R28" s="81">
        <v>0</v>
      </c>
      <c r="S28">
        <v>1</v>
      </c>
      <c r="T28" s="80" t="str">
        <f>REPLACE(INDEX(GroupVertices[Group],MATCH("~"&amp;Edges[[#This Row],[Vertex 1]],GroupVertices[Vertex],0)),1,1,"")</f>
        <v>2</v>
      </c>
      <c r="U28" s="80" t="str">
        <f>REPLACE(INDEX(GroupVertices[Group],MATCH("~"&amp;Edges[[#This Row],[Vertex 2]],GroupVertices[Vertex],0)),1,1,"")</f>
        <v>3</v>
      </c>
    </row>
    <row r="29" spans="1:21" ht="15">
      <c r="A29" s="65" t="s">
        <v>205</v>
      </c>
      <c r="B29" s="65" t="s">
        <v>234</v>
      </c>
      <c r="C29" s="66" t="s">
        <v>572</v>
      </c>
      <c r="D29" s="67">
        <v>3</v>
      </c>
      <c r="E29" s="68"/>
      <c r="F29" s="69">
        <v>40</v>
      </c>
      <c r="G29" s="66"/>
      <c r="H29" s="70"/>
      <c r="I29" s="71"/>
      <c r="J29" s="71"/>
      <c r="K29" s="35" t="s">
        <v>65</v>
      </c>
      <c r="L29" s="79">
        <v>29</v>
      </c>
      <c r="M29" s="79"/>
      <c r="N29" s="73"/>
      <c r="O29" s="81" t="s">
        <v>305</v>
      </c>
      <c r="P29" s="83">
        <v>41662.6478125</v>
      </c>
      <c r="Q29" s="81">
        <v>15</v>
      </c>
      <c r="R29" s="81">
        <v>0</v>
      </c>
      <c r="S29">
        <v>1</v>
      </c>
      <c r="T29" s="80" t="str">
        <f>REPLACE(INDEX(GroupVertices[Group],MATCH("~"&amp;Edges[[#This Row],[Vertex 1]],GroupVertices[Vertex],0)),1,1,"")</f>
        <v>2</v>
      </c>
      <c r="U29" s="80" t="str">
        <f>REPLACE(INDEX(GroupVertices[Group],MATCH("~"&amp;Edges[[#This Row],[Vertex 2]],GroupVertices[Vertex],0)),1,1,"")</f>
        <v>2</v>
      </c>
    </row>
    <row r="30" spans="1:21" ht="15">
      <c r="A30" s="65" t="s">
        <v>205</v>
      </c>
      <c r="B30" s="65" t="s">
        <v>235</v>
      </c>
      <c r="C30" s="66" t="s">
        <v>572</v>
      </c>
      <c r="D30" s="67">
        <v>3</v>
      </c>
      <c r="E30" s="68"/>
      <c r="F30" s="69">
        <v>40</v>
      </c>
      <c r="G30" s="66"/>
      <c r="H30" s="70"/>
      <c r="I30" s="71"/>
      <c r="J30" s="71"/>
      <c r="K30" s="35" t="s">
        <v>65</v>
      </c>
      <c r="L30" s="79">
        <v>30</v>
      </c>
      <c r="M30" s="79"/>
      <c r="N30" s="73"/>
      <c r="O30" s="81" t="s">
        <v>305</v>
      </c>
      <c r="P30" s="83">
        <v>41662.65076388889</v>
      </c>
      <c r="Q30" s="81">
        <v>1398</v>
      </c>
      <c r="R30" s="81">
        <v>0</v>
      </c>
      <c r="S30">
        <v>1</v>
      </c>
      <c r="T30" s="80" t="str">
        <f>REPLACE(INDEX(GroupVertices[Group],MATCH("~"&amp;Edges[[#This Row],[Vertex 1]],GroupVertices[Vertex],0)),1,1,"")</f>
        <v>2</v>
      </c>
      <c r="U30" s="80" t="str">
        <f>REPLACE(INDEX(GroupVertices[Group],MATCH("~"&amp;Edges[[#This Row],[Vertex 2]],GroupVertices[Vertex],0)),1,1,"")</f>
        <v>2</v>
      </c>
    </row>
    <row r="31" spans="1:21" ht="15">
      <c r="A31" s="65" t="s">
        <v>205</v>
      </c>
      <c r="B31" s="65" t="s">
        <v>236</v>
      </c>
      <c r="C31" s="66" t="s">
        <v>572</v>
      </c>
      <c r="D31" s="67">
        <v>3</v>
      </c>
      <c r="E31" s="68"/>
      <c r="F31" s="69">
        <v>40</v>
      </c>
      <c r="G31" s="66"/>
      <c r="H31" s="70"/>
      <c r="I31" s="71"/>
      <c r="J31" s="71"/>
      <c r="K31" s="35" t="s">
        <v>65</v>
      </c>
      <c r="L31" s="79">
        <v>31</v>
      </c>
      <c r="M31" s="79"/>
      <c r="N31" s="73"/>
      <c r="O31" s="81" t="s">
        <v>305</v>
      </c>
      <c r="P31" s="83">
        <v>41662.65046296296</v>
      </c>
      <c r="Q31" s="81">
        <v>516</v>
      </c>
      <c r="R31" s="81">
        <v>0</v>
      </c>
      <c r="S31">
        <v>1</v>
      </c>
      <c r="T31" s="80" t="str">
        <f>REPLACE(INDEX(GroupVertices[Group],MATCH("~"&amp;Edges[[#This Row],[Vertex 1]],GroupVertices[Vertex],0)),1,1,"")</f>
        <v>2</v>
      </c>
      <c r="U31" s="80" t="str">
        <f>REPLACE(INDEX(GroupVertices[Group],MATCH("~"&amp;Edges[[#This Row],[Vertex 2]],GroupVertices[Vertex],0)),1,1,"")</f>
        <v>2</v>
      </c>
    </row>
    <row r="32" spans="1:21" ht="15">
      <c r="A32" s="65" t="s">
        <v>205</v>
      </c>
      <c r="B32" s="65" t="s">
        <v>237</v>
      </c>
      <c r="C32" s="66" t="s">
        <v>572</v>
      </c>
      <c r="D32" s="67">
        <v>3</v>
      </c>
      <c r="E32" s="68"/>
      <c r="F32" s="69">
        <v>40</v>
      </c>
      <c r="G32" s="66"/>
      <c r="H32" s="70"/>
      <c r="I32" s="71"/>
      <c r="J32" s="71"/>
      <c r="K32" s="35" t="s">
        <v>65</v>
      </c>
      <c r="L32" s="79">
        <v>32</v>
      </c>
      <c r="M32" s="79"/>
      <c r="N32" s="73"/>
      <c r="O32" s="81" t="s">
        <v>305</v>
      </c>
      <c r="P32" s="83">
        <v>41662.65358796297</v>
      </c>
      <c r="Q32" s="81">
        <v>306</v>
      </c>
      <c r="R32" s="81">
        <v>0</v>
      </c>
      <c r="S32">
        <v>1</v>
      </c>
      <c r="T32" s="80" t="str">
        <f>REPLACE(INDEX(GroupVertices[Group],MATCH("~"&amp;Edges[[#This Row],[Vertex 1]],GroupVertices[Vertex],0)),1,1,"")</f>
        <v>2</v>
      </c>
      <c r="U32" s="80" t="str">
        <f>REPLACE(INDEX(GroupVertices[Group],MATCH("~"&amp;Edges[[#This Row],[Vertex 2]],GroupVertices[Vertex],0)),1,1,"")</f>
        <v>2</v>
      </c>
    </row>
    <row r="33" spans="1:21" ht="15">
      <c r="A33" s="65" t="s">
        <v>205</v>
      </c>
      <c r="B33" s="65" t="s">
        <v>238</v>
      </c>
      <c r="C33" s="66" t="s">
        <v>572</v>
      </c>
      <c r="D33" s="67">
        <v>3</v>
      </c>
      <c r="E33" s="68"/>
      <c r="F33" s="69">
        <v>40</v>
      </c>
      <c r="G33" s="66"/>
      <c r="H33" s="70"/>
      <c r="I33" s="71"/>
      <c r="J33" s="71"/>
      <c r="K33" s="35" t="s">
        <v>65</v>
      </c>
      <c r="L33" s="79">
        <v>33</v>
      </c>
      <c r="M33" s="79"/>
      <c r="N33" s="73"/>
      <c r="O33" s="81" t="s">
        <v>305</v>
      </c>
      <c r="P33" s="83">
        <v>41662.65021990741</v>
      </c>
      <c r="Q33" s="81">
        <v>164</v>
      </c>
      <c r="R33" s="81">
        <v>0</v>
      </c>
      <c r="S33">
        <v>1</v>
      </c>
      <c r="T33" s="80" t="str">
        <f>REPLACE(INDEX(GroupVertices[Group],MATCH("~"&amp;Edges[[#This Row],[Vertex 1]],GroupVertices[Vertex],0)),1,1,"")</f>
        <v>2</v>
      </c>
      <c r="U33" s="80" t="str">
        <f>REPLACE(INDEX(GroupVertices[Group],MATCH("~"&amp;Edges[[#This Row],[Vertex 2]],GroupVertices[Vertex],0)),1,1,"")</f>
        <v>2</v>
      </c>
    </row>
    <row r="34" spans="1:21" ht="15">
      <c r="A34" s="65" t="s">
        <v>205</v>
      </c>
      <c r="B34" s="65" t="s">
        <v>239</v>
      </c>
      <c r="C34" s="66" t="s">
        <v>572</v>
      </c>
      <c r="D34" s="67">
        <v>3</v>
      </c>
      <c r="E34" s="68"/>
      <c r="F34" s="69">
        <v>40</v>
      </c>
      <c r="G34" s="66"/>
      <c r="H34" s="70"/>
      <c r="I34" s="71"/>
      <c r="J34" s="71"/>
      <c r="K34" s="35" t="s">
        <v>65</v>
      </c>
      <c r="L34" s="79">
        <v>34</v>
      </c>
      <c r="M34" s="79"/>
      <c r="N34" s="73"/>
      <c r="O34" s="81" t="s">
        <v>305</v>
      </c>
      <c r="P34" s="83">
        <v>41662.653645833336</v>
      </c>
      <c r="Q34" s="81">
        <v>2057</v>
      </c>
      <c r="R34" s="81">
        <v>0</v>
      </c>
      <c r="S34">
        <v>1</v>
      </c>
      <c r="T34" s="80" t="str">
        <f>REPLACE(INDEX(GroupVertices[Group],MATCH("~"&amp;Edges[[#This Row],[Vertex 1]],GroupVertices[Vertex],0)),1,1,"")</f>
        <v>2</v>
      </c>
      <c r="U34" s="80" t="str">
        <f>REPLACE(INDEX(GroupVertices[Group],MATCH("~"&amp;Edges[[#This Row],[Vertex 2]],GroupVertices[Vertex],0)),1,1,"")</f>
        <v>2</v>
      </c>
    </row>
    <row r="35" spans="1:21" ht="15">
      <c r="A35" s="65" t="s">
        <v>205</v>
      </c>
      <c r="B35" s="65" t="s">
        <v>240</v>
      </c>
      <c r="C35" s="66" t="s">
        <v>572</v>
      </c>
      <c r="D35" s="67">
        <v>3</v>
      </c>
      <c r="E35" s="68"/>
      <c r="F35" s="69">
        <v>40</v>
      </c>
      <c r="G35" s="66"/>
      <c r="H35" s="70"/>
      <c r="I35" s="71"/>
      <c r="J35" s="71"/>
      <c r="K35" s="35" t="s">
        <v>65</v>
      </c>
      <c r="L35" s="79">
        <v>35</v>
      </c>
      <c r="M35" s="79"/>
      <c r="N35" s="73"/>
      <c r="O35" s="81" t="s">
        <v>305</v>
      </c>
      <c r="P35" s="83">
        <v>41662.65362268518</v>
      </c>
      <c r="Q35" s="81">
        <v>239</v>
      </c>
      <c r="R35" s="81">
        <v>0</v>
      </c>
      <c r="S35">
        <v>1</v>
      </c>
      <c r="T35" s="80" t="str">
        <f>REPLACE(INDEX(GroupVertices[Group],MATCH("~"&amp;Edges[[#This Row],[Vertex 1]],GroupVertices[Vertex],0)),1,1,"")</f>
        <v>2</v>
      </c>
      <c r="U35" s="80" t="str">
        <f>REPLACE(INDEX(GroupVertices[Group],MATCH("~"&amp;Edges[[#This Row],[Vertex 2]],GroupVertices[Vertex],0)),1,1,"")</f>
        <v>2</v>
      </c>
    </row>
    <row r="36" spans="1:21" ht="15">
      <c r="A36" s="65" t="s">
        <v>199</v>
      </c>
      <c r="B36" s="65" t="s">
        <v>241</v>
      </c>
      <c r="C36" s="66" t="s">
        <v>572</v>
      </c>
      <c r="D36" s="67">
        <v>3</v>
      </c>
      <c r="E36" s="68"/>
      <c r="F36" s="69">
        <v>40</v>
      </c>
      <c r="G36" s="66"/>
      <c r="H36" s="70"/>
      <c r="I36" s="71"/>
      <c r="J36" s="71"/>
      <c r="K36" s="35" t="s">
        <v>65</v>
      </c>
      <c r="L36" s="79">
        <v>36</v>
      </c>
      <c r="M36" s="79"/>
      <c r="N36" s="73"/>
      <c r="O36" s="81" t="s">
        <v>305</v>
      </c>
      <c r="P36" s="83">
        <v>44835.86608796296</v>
      </c>
      <c r="Q36" s="81">
        <v>1852</v>
      </c>
      <c r="R36" s="81">
        <v>0</v>
      </c>
      <c r="S36">
        <v>1</v>
      </c>
      <c r="T36" s="80" t="str">
        <f>REPLACE(INDEX(GroupVertices[Group],MATCH("~"&amp;Edges[[#This Row],[Vertex 1]],GroupVertices[Vertex],0)),1,1,"")</f>
        <v>7</v>
      </c>
      <c r="U36" s="80" t="str">
        <f>REPLACE(INDEX(GroupVertices[Group],MATCH("~"&amp;Edges[[#This Row],[Vertex 2]],GroupVertices[Vertex],0)),1,1,"")</f>
        <v>7</v>
      </c>
    </row>
    <row r="37" spans="1:21" ht="15">
      <c r="A37" s="65" t="s">
        <v>205</v>
      </c>
      <c r="B37" s="65" t="s">
        <v>241</v>
      </c>
      <c r="C37" s="66" t="s">
        <v>572</v>
      </c>
      <c r="D37" s="67">
        <v>3</v>
      </c>
      <c r="E37" s="68"/>
      <c r="F37" s="69">
        <v>40</v>
      </c>
      <c r="G37" s="66"/>
      <c r="H37" s="70"/>
      <c r="I37" s="71"/>
      <c r="J37" s="71"/>
      <c r="K37" s="35" t="s">
        <v>65</v>
      </c>
      <c r="L37" s="79">
        <v>37</v>
      </c>
      <c r="M37" s="79"/>
      <c r="N37" s="73"/>
      <c r="O37" s="81" t="s">
        <v>305</v>
      </c>
      <c r="P37" s="83">
        <v>41662.65332175926</v>
      </c>
      <c r="Q37" s="81">
        <v>1852</v>
      </c>
      <c r="R37" s="81">
        <v>0</v>
      </c>
      <c r="S37">
        <v>1</v>
      </c>
      <c r="T37" s="80" t="str">
        <f>REPLACE(INDEX(GroupVertices[Group],MATCH("~"&amp;Edges[[#This Row],[Vertex 1]],GroupVertices[Vertex],0)),1,1,"")</f>
        <v>2</v>
      </c>
      <c r="U37" s="80" t="str">
        <f>REPLACE(INDEX(GroupVertices[Group],MATCH("~"&amp;Edges[[#This Row],[Vertex 2]],GroupVertices[Vertex],0)),1,1,"")</f>
        <v>7</v>
      </c>
    </row>
    <row r="38" spans="1:21" ht="15">
      <c r="A38" s="65" t="s">
        <v>205</v>
      </c>
      <c r="B38" s="65" t="s">
        <v>242</v>
      </c>
      <c r="C38" s="66" t="s">
        <v>572</v>
      </c>
      <c r="D38" s="67">
        <v>3</v>
      </c>
      <c r="E38" s="68"/>
      <c r="F38" s="69">
        <v>40</v>
      </c>
      <c r="G38" s="66"/>
      <c r="H38" s="70"/>
      <c r="I38" s="71"/>
      <c r="J38" s="71"/>
      <c r="K38" s="35" t="s">
        <v>65</v>
      </c>
      <c r="L38" s="79">
        <v>38</v>
      </c>
      <c r="M38" s="79"/>
      <c r="N38" s="73"/>
      <c r="O38" s="81" t="s">
        <v>305</v>
      </c>
      <c r="P38" s="83">
        <v>41662.650613425925</v>
      </c>
      <c r="Q38" s="81">
        <v>1143</v>
      </c>
      <c r="R38" s="81">
        <v>0</v>
      </c>
      <c r="S38">
        <v>1</v>
      </c>
      <c r="T38" s="80" t="str">
        <f>REPLACE(INDEX(GroupVertices[Group],MATCH("~"&amp;Edges[[#This Row],[Vertex 1]],GroupVertices[Vertex],0)),1,1,"")</f>
        <v>2</v>
      </c>
      <c r="U38" s="80" t="str">
        <f>REPLACE(INDEX(GroupVertices[Group],MATCH("~"&amp;Edges[[#This Row],[Vertex 2]],GroupVertices[Vertex],0)),1,1,"")</f>
        <v>2</v>
      </c>
    </row>
    <row r="39" spans="1:21" ht="15">
      <c r="A39" s="65" t="s">
        <v>205</v>
      </c>
      <c r="B39" s="65" t="s">
        <v>243</v>
      </c>
      <c r="C39" s="66" t="s">
        <v>572</v>
      </c>
      <c r="D39" s="67">
        <v>3</v>
      </c>
      <c r="E39" s="68"/>
      <c r="F39" s="69">
        <v>40</v>
      </c>
      <c r="G39" s="66"/>
      <c r="H39" s="70"/>
      <c r="I39" s="71"/>
      <c r="J39" s="71"/>
      <c r="K39" s="35" t="s">
        <v>65</v>
      </c>
      <c r="L39" s="79">
        <v>39</v>
      </c>
      <c r="M39" s="79"/>
      <c r="N39" s="73"/>
      <c r="O39" s="81" t="s">
        <v>305</v>
      </c>
      <c r="P39" s="83">
        <v>41932.94814814815</v>
      </c>
      <c r="Q39" s="81">
        <v>83</v>
      </c>
      <c r="R39" s="81">
        <v>0</v>
      </c>
      <c r="S39">
        <v>1</v>
      </c>
      <c r="T39" s="80" t="str">
        <f>REPLACE(INDEX(GroupVertices[Group],MATCH("~"&amp;Edges[[#This Row],[Vertex 1]],GroupVertices[Vertex],0)),1,1,"")</f>
        <v>2</v>
      </c>
      <c r="U39" s="80" t="str">
        <f>REPLACE(INDEX(GroupVertices[Group],MATCH("~"&amp;Edges[[#This Row],[Vertex 2]],GroupVertices[Vertex],0)),1,1,"")</f>
        <v>2</v>
      </c>
    </row>
    <row r="40" spans="1:21" ht="15">
      <c r="A40" s="65" t="s">
        <v>205</v>
      </c>
      <c r="B40" s="65" t="s">
        <v>244</v>
      </c>
      <c r="C40" s="66" t="s">
        <v>572</v>
      </c>
      <c r="D40" s="67">
        <v>3</v>
      </c>
      <c r="E40" s="68"/>
      <c r="F40" s="69">
        <v>40</v>
      </c>
      <c r="G40" s="66"/>
      <c r="H40" s="70"/>
      <c r="I40" s="71"/>
      <c r="J40" s="71"/>
      <c r="K40" s="35" t="s">
        <v>65</v>
      </c>
      <c r="L40" s="79">
        <v>40</v>
      </c>
      <c r="M40" s="79"/>
      <c r="N40" s="73"/>
      <c r="O40" s="81" t="s">
        <v>305</v>
      </c>
      <c r="P40" s="83">
        <v>41662.6481712963</v>
      </c>
      <c r="Q40" s="81">
        <v>206</v>
      </c>
      <c r="R40" s="81">
        <v>0</v>
      </c>
      <c r="S40">
        <v>1</v>
      </c>
      <c r="T40" s="80" t="str">
        <f>REPLACE(INDEX(GroupVertices[Group],MATCH("~"&amp;Edges[[#This Row],[Vertex 1]],GroupVertices[Vertex],0)),1,1,"")</f>
        <v>2</v>
      </c>
      <c r="U40" s="80" t="str">
        <f>REPLACE(INDEX(GroupVertices[Group],MATCH("~"&amp;Edges[[#This Row],[Vertex 2]],GroupVertices[Vertex],0)),1,1,"")</f>
        <v>2</v>
      </c>
    </row>
    <row r="41" spans="1:21" ht="15">
      <c r="A41" s="65" t="s">
        <v>205</v>
      </c>
      <c r="B41" s="65" t="s">
        <v>245</v>
      </c>
      <c r="C41" s="66" t="s">
        <v>572</v>
      </c>
      <c r="D41" s="67">
        <v>3</v>
      </c>
      <c r="E41" s="68"/>
      <c r="F41" s="69">
        <v>40</v>
      </c>
      <c r="G41" s="66"/>
      <c r="H41" s="70"/>
      <c r="I41" s="71"/>
      <c r="J41" s="71"/>
      <c r="K41" s="35" t="s">
        <v>65</v>
      </c>
      <c r="L41" s="79">
        <v>41</v>
      </c>
      <c r="M41" s="79"/>
      <c r="N41" s="73"/>
      <c r="O41" s="81" t="s">
        <v>305</v>
      </c>
      <c r="P41" s="83">
        <v>41662.653715277775</v>
      </c>
      <c r="Q41" s="81">
        <v>544</v>
      </c>
      <c r="R41" s="81">
        <v>0</v>
      </c>
      <c r="S41">
        <v>1</v>
      </c>
      <c r="T41" s="80" t="str">
        <f>REPLACE(INDEX(GroupVertices[Group],MATCH("~"&amp;Edges[[#This Row],[Vertex 1]],GroupVertices[Vertex],0)),1,1,"")</f>
        <v>2</v>
      </c>
      <c r="U41" s="80" t="str">
        <f>REPLACE(INDEX(GroupVertices[Group],MATCH("~"&amp;Edges[[#This Row],[Vertex 2]],GroupVertices[Vertex],0)),1,1,"")</f>
        <v>2</v>
      </c>
    </row>
    <row r="42" spans="1:21" ht="15">
      <c r="A42" s="65" t="s">
        <v>205</v>
      </c>
      <c r="B42" s="65" t="s">
        <v>246</v>
      </c>
      <c r="C42" s="66" t="s">
        <v>572</v>
      </c>
      <c r="D42" s="67">
        <v>3</v>
      </c>
      <c r="E42" s="68"/>
      <c r="F42" s="69">
        <v>40</v>
      </c>
      <c r="G42" s="66"/>
      <c r="H42" s="70"/>
      <c r="I42" s="71"/>
      <c r="J42" s="71"/>
      <c r="K42" s="35" t="s">
        <v>65</v>
      </c>
      <c r="L42" s="79">
        <v>42</v>
      </c>
      <c r="M42" s="79"/>
      <c r="N42" s="73"/>
      <c r="O42" s="81" t="s">
        <v>305</v>
      </c>
      <c r="P42" s="83">
        <v>41662.64572916667</v>
      </c>
      <c r="Q42" s="81">
        <v>1017</v>
      </c>
      <c r="R42" s="81">
        <v>0</v>
      </c>
      <c r="S42">
        <v>1</v>
      </c>
      <c r="T42" s="80" t="str">
        <f>REPLACE(INDEX(GroupVertices[Group],MATCH("~"&amp;Edges[[#This Row],[Vertex 1]],GroupVertices[Vertex],0)),1,1,"")</f>
        <v>2</v>
      </c>
      <c r="U42" s="80" t="str">
        <f>REPLACE(INDEX(GroupVertices[Group],MATCH("~"&amp;Edges[[#This Row],[Vertex 2]],GroupVertices[Vertex],0)),1,1,"")</f>
        <v>2</v>
      </c>
    </row>
    <row r="43" spans="1:21" ht="15">
      <c r="A43" s="65" t="s">
        <v>205</v>
      </c>
      <c r="B43" s="65" t="s">
        <v>247</v>
      </c>
      <c r="C43" s="66" t="s">
        <v>572</v>
      </c>
      <c r="D43" s="67">
        <v>3</v>
      </c>
      <c r="E43" s="68"/>
      <c r="F43" s="69">
        <v>40</v>
      </c>
      <c r="G43" s="66"/>
      <c r="H43" s="70"/>
      <c r="I43" s="71"/>
      <c r="J43" s="71"/>
      <c r="K43" s="35" t="s">
        <v>65</v>
      </c>
      <c r="L43" s="79">
        <v>43</v>
      </c>
      <c r="M43" s="79"/>
      <c r="N43" s="73"/>
      <c r="O43" s="81" t="s">
        <v>305</v>
      </c>
      <c r="P43" s="83">
        <v>41662.65011574074</v>
      </c>
      <c r="Q43" s="81">
        <v>192</v>
      </c>
      <c r="R43" s="81">
        <v>0</v>
      </c>
      <c r="S43">
        <v>1</v>
      </c>
      <c r="T43" s="80" t="str">
        <f>REPLACE(INDEX(GroupVertices[Group],MATCH("~"&amp;Edges[[#This Row],[Vertex 1]],GroupVertices[Vertex],0)),1,1,"")</f>
        <v>2</v>
      </c>
      <c r="U43" s="80" t="str">
        <f>REPLACE(INDEX(GroupVertices[Group],MATCH("~"&amp;Edges[[#This Row],[Vertex 2]],GroupVertices[Vertex],0)),1,1,"")</f>
        <v>2</v>
      </c>
    </row>
    <row r="44" spans="1:21" ht="15">
      <c r="A44" s="65" t="s">
        <v>205</v>
      </c>
      <c r="B44" s="65" t="s">
        <v>248</v>
      </c>
      <c r="C44" s="66" t="s">
        <v>572</v>
      </c>
      <c r="D44" s="67">
        <v>3</v>
      </c>
      <c r="E44" s="68"/>
      <c r="F44" s="69">
        <v>40</v>
      </c>
      <c r="G44" s="66"/>
      <c r="H44" s="70"/>
      <c r="I44" s="71"/>
      <c r="J44" s="71"/>
      <c r="K44" s="35" t="s">
        <v>65</v>
      </c>
      <c r="L44" s="79">
        <v>44</v>
      </c>
      <c r="M44" s="79"/>
      <c r="N44" s="73"/>
      <c r="O44" s="81" t="s">
        <v>305</v>
      </c>
      <c r="P44" s="83">
        <v>41662.65320601852</v>
      </c>
      <c r="Q44" s="81">
        <v>305</v>
      </c>
      <c r="R44" s="81">
        <v>0</v>
      </c>
      <c r="S44">
        <v>1</v>
      </c>
      <c r="T44" s="80" t="str">
        <f>REPLACE(INDEX(GroupVertices[Group],MATCH("~"&amp;Edges[[#This Row],[Vertex 1]],GroupVertices[Vertex],0)),1,1,"")</f>
        <v>2</v>
      </c>
      <c r="U44" s="80" t="str">
        <f>REPLACE(INDEX(GroupVertices[Group],MATCH("~"&amp;Edges[[#This Row],[Vertex 2]],GroupVertices[Vertex],0)),1,1,"")</f>
        <v>2</v>
      </c>
    </row>
    <row r="45" spans="1:21" ht="15">
      <c r="A45" s="65" t="s">
        <v>205</v>
      </c>
      <c r="B45" s="65" t="s">
        <v>249</v>
      </c>
      <c r="C45" s="66" t="s">
        <v>572</v>
      </c>
      <c r="D45" s="67">
        <v>3</v>
      </c>
      <c r="E45" s="68"/>
      <c r="F45" s="69">
        <v>40</v>
      </c>
      <c r="G45" s="66"/>
      <c r="H45" s="70"/>
      <c r="I45" s="71"/>
      <c r="J45" s="71"/>
      <c r="K45" s="35" t="s">
        <v>65</v>
      </c>
      <c r="L45" s="79">
        <v>45</v>
      </c>
      <c r="M45" s="79"/>
      <c r="N45" s="73"/>
      <c r="O45" s="81" t="s">
        <v>305</v>
      </c>
      <c r="P45" s="83">
        <v>41933.80018518519</v>
      </c>
      <c r="Q45" s="81">
        <v>151</v>
      </c>
      <c r="R45" s="81">
        <v>0</v>
      </c>
      <c r="S45">
        <v>1</v>
      </c>
      <c r="T45" s="80" t="str">
        <f>REPLACE(INDEX(GroupVertices[Group],MATCH("~"&amp;Edges[[#This Row],[Vertex 1]],GroupVertices[Vertex],0)),1,1,"")</f>
        <v>2</v>
      </c>
      <c r="U45" s="80" t="str">
        <f>REPLACE(INDEX(GroupVertices[Group],MATCH("~"&amp;Edges[[#This Row],[Vertex 2]],GroupVertices[Vertex],0)),1,1,"")</f>
        <v>2</v>
      </c>
    </row>
    <row r="46" spans="1:21" ht="15">
      <c r="A46" s="65" t="s">
        <v>205</v>
      </c>
      <c r="B46" s="65" t="s">
        <v>250</v>
      </c>
      <c r="C46" s="66" t="s">
        <v>572</v>
      </c>
      <c r="D46" s="67">
        <v>3</v>
      </c>
      <c r="E46" s="68"/>
      <c r="F46" s="69">
        <v>40</v>
      </c>
      <c r="G46" s="66"/>
      <c r="H46" s="70"/>
      <c r="I46" s="71"/>
      <c r="J46" s="71"/>
      <c r="K46" s="35" t="s">
        <v>65</v>
      </c>
      <c r="L46" s="79">
        <v>46</v>
      </c>
      <c r="M46" s="79"/>
      <c r="N46" s="73"/>
      <c r="O46" s="81" t="s">
        <v>305</v>
      </c>
      <c r="P46" s="83">
        <v>41932.986550925925</v>
      </c>
      <c r="Q46" s="81">
        <v>232</v>
      </c>
      <c r="R46" s="81">
        <v>0</v>
      </c>
      <c r="S46">
        <v>1</v>
      </c>
      <c r="T46" s="80" t="str">
        <f>REPLACE(INDEX(GroupVertices[Group],MATCH("~"&amp;Edges[[#This Row],[Vertex 1]],GroupVertices[Vertex],0)),1,1,"")</f>
        <v>2</v>
      </c>
      <c r="U46" s="80" t="str">
        <f>REPLACE(INDEX(GroupVertices[Group],MATCH("~"&amp;Edges[[#This Row],[Vertex 2]],GroupVertices[Vertex],0)),1,1,"")</f>
        <v>2</v>
      </c>
    </row>
    <row r="47" spans="1:21" ht="15">
      <c r="A47" s="65" t="s">
        <v>206</v>
      </c>
      <c r="B47" s="65" t="s">
        <v>251</v>
      </c>
      <c r="C47" s="66" t="s">
        <v>572</v>
      </c>
      <c r="D47" s="67">
        <v>3</v>
      </c>
      <c r="E47" s="68"/>
      <c r="F47" s="69">
        <v>40</v>
      </c>
      <c r="G47" s="66"/>
      <c r="H47" s="70"/>
      <c r="I47" s="71"/>
      <c r="J47" s="71"/>
      <c r="K47" s="35" t="s">
        <v>65</v>
      </c>
      <c r="L47" s="79">
        <v>47</v>
      </c>
      <c r="M47" s="79"/>
      <c r="N47" s="73"/>
      <c r="O47" s="81" t="s">
        <v>305</v>
      </c>
      <c r="P47" s="83">
        <v>44154.74806712963</v>
      </c>
      <c r="Q47" s="81">
        <v>379</v>
      </c>
      <c r="R47" s="81">
        <v>0</v>
      </c>
      <c r="S47">
        <v>1</v>
      </c>
      <c r="T47" s="80" t="str">
        <f>REPLACE(INDEX(GroupVertices[Group],MATCH("~"&amp;Edges[[#This Row],[Vertex 1]],GroupVertices[Vertex],0)),1,1,"")</f>
        <v>4</v>
      </c>
      <c r="U47" s="80" t="str">
        <f>REPLACE(INDEX(GroupVertices[Group],MATCH("~"&amp;Edges[[#This Row],[Vertex 2]],GroupVertices[Vertex],0)),1,1,"")</f>
        <v>4</v>
      </c>
    </row>
    <row r="48" spans="1:21" ht="15">
      <c r="A48" s="65" t="s">
        <v>206</v>
      </c>
      <c r="B48" s="65" t="s">
        <v>252</v>
      </c>
      <c r="C48" s="66" t="s">
        <v>572</v>
      </c>
      <c r="D48" s="67">
        <v>3</v>
      </c>
      <c r="E48" s="68"/>
      <c r="F48" s="69">
        <v>40</v>
      </c>
      <c r="G48" s="66"/>
      <c r="H48" s="70"/>
      <c r="I48" s="71"/>
      <c r="J48" s="71"/>
      <c r="K48" s="35" t="s">
        <v>65</v>
      </c>
      <c r="L48" s="79">
        <v>48</v>
      </c>
      <c r="M48" s="79"/>
      <c r="N48" s="73"/>
      <c r="O48" s="81" t="s">
        <v>305</v>
      </c>
      <c r="P48" s="83">
        <v>43062.62582175926</v>
      </c>
      <c r="Q48" s="81">
        <v>293</v>
      </c>
      <c r="R48" s="81">
        <v>0</v>
      </c>
      <c r="S48">
        <v>1</v>
      </c>
      <c r="T48" s="80" t="str">
        <f>REPLACE(INDEX(GroupVertices[Group],MATCH("~"&amp;Edges[[#This Row],[Vertex 1]],GroupVertices[Vertex],0)),1,1,"")</f>
        <v>4</v>
      </c>
      <c r="U48" s="80" t="str">
        <f>REPLACE(INDEX(GroupVertices[Group],MATCH("~"&amp;Edges[[#This Row],[Vertex 2]],GroupVertices[Vertex],0)),1,1,"")</f>
        <v>4</v>
      </c>
    </row>
    <row r="49" spans="1:21" ht="15">
      <c r="A49" s="65" t="s">
        <v>206</v>
      </c>
      <c r="B49" s="65" t="s">
        <v>253</v>
      </c>
      <c r="C49" s="66" t="s">
        <v>572</v>
      </c>
      <c r="D49" s="67">
        <v>3</v>
      </c>
      <c r="E49" s="68"/>
      <c r="F49" s="69">
        <v>40</v>
      </c>
      <c r="G49" s="66"/>
      <c r="H49" s="70"/>
      <c r="I49" s="71"/>
      <c r="J49" s="71"/>
      <c r="K49" s="35" t="s">
        <v>65</v>
      </c>
      <c r="L49" s="79">
        <v>49</v>
      </c>
      <c r="M49" s="79"/>
      <c r="N49" s="73"/>
      <c r="O49" s="81" t="s">
        <v>305</v>
      </c>
      <c r="P49" s="83">
        <v>42986.861354166664</v>
      </c>
      <c r="Q49" s="81">
        <v>246</v>
      </c>
      <c r="R49" s="81">
        <v>0</v>
      </c>
      <c r="S49">
        <v>1</v>
      </c>
      <c r="T49" s="80" t="str">
        <f>REPLACE(INDEX(GroupVertices[Group],MATCH("~"&amp;Edges[[#This Row],[Vertex 1]],GroupVertices[Vertex],0)),1,1,"")</f>
        <v>4</v>
      </c>
      <c r="U49" s="80" t="str">
        <f>REPLACE(INDEX(GroupVertices[Group],MATCH("~"&amp;Edges[[#This Row],[Vertex 2]],GroupVertices[Vertex],0)),1,1,"")</f>
        <v>4</v>
      </c>
    </row>
    <row r="50" spans="1:21" ht="15">
      <c r="A50" s="65" t="s">
        <v>206</v>
      </c>
      <c r="B50" s="65" t="s">
        <v>254</v>
      </c>
      <c r="C50" s="66" t="s">
        <v>572</v>
      </c>
      <c r="D50" s="67">
        <v>3</v>
      </c>
      <c r="E50" s="68"/>
      <c r="F50" s="69">
        <v>40</v>
      </c>
      <c r="G50" s="66"/>
      <c r="H50" s="70"/>
      <c r="I50" s="71"/>
      <c r="J50" s="71"/>
      <c r="K50" s="35" t="s">
        <v>65</v>
      </c>
      <c r="L50" s="79">
        <v>50</v>
      </c>
      <c r="M50" s="79"/>
      <c r="N50" s="73"/>
      <c r="O50" s="81" t="s">
        <v>305</v>
      </c>
      <c r="P50" s="83">
        <v>44158.96076388889</v>
      </c>
      <c r="Q50" s="81">
        <v>177</v>
      </c>
      <c r="R50" s="81">
        <v>0</v>
      </c>
      <c r="S50">
        <v>1</v>
      </c>
      <c r="T50" s="80" t="str">
        <f>REPLACE(INDEX(GroupVertices[Group],MATCH("~"&amp;Edges[[#This Row],[Vertex 1]],GroupVertices[Vertex],0)),1,1,"")</f>
        <v>4</v>
      </c>
      <c r="U50" s="80" t="str">
        <f>REPLACE(INDEX(GroupVertices[Group],MATCH("~"&amp;Edges[[#This Row],[Vertex 2]],GroupVertices[Vertex],0)),1,1,"")</f>
        <v>4</v>
      </c>
    </row>
    <row r="51" spans="1:21" ht="15">
      <c r="A51" s="65" t="s">
        <v>199</v>
      </c>
      <c r="B51" s="65" t="s">
        <v>255</v>
      </c>
      <c r="C51" s="66" t="s">
        <v>572</v>
      </c>
      <c r="D51" s="67">
        <v>3</v>
      </c>
      <c r="E51" s="68"/>
      <c r="F51" s="69">
        <v>40</v>
      </c>
      <c r="G51" s="66"/>
      <c r="H51" s="70"/>
      <c r="I51" s="71"/>
      <c r="J51" s="71"/>
      <c r="K51" s="35" t="s">
        <v>65</v>
      </c>
      <c r="L51" s="79">
        <v>51</v>
      </c>
      <c r="M51" s="79"/>
      <c r="N51" s="73"/>
      <c r="O51" s="81" t="s">
        <v>305</v>
      </c>
      <c r="P51" s="83">
        <v>42466.88516203704</v>
      </c>
      <c r="Q51" s="81">
        <v>4879</v>
      </c>
      <c r="R51" s="81">
        <v>0</v>
      </c>
      <c r="S51">
        <v>1</v>
      </c>
      <c r="T51" s="80" t="str">
        <f>REPLACE(INDEX(GroupVertices[Group],MATCH("~"&amp;Edges[[#This Row],[Vertex 1]],GroupVertices[Vertex],0)),1,1,"")</f>
        <v>7</v>
      </c>
      <c r="U51" s="80" t="str">
        <f>REPLACE(INDEX(GroupVertices[Group],MATCH("~"&amp;Edges[[#This Row],[Vertex 2]],GroupVertices[Vertex],0)),1,1,"")</f>
        <v>7</v>
      </c>
    </row>
    <row r="52" spans="1:21" ht="15">
      <c r="A52" s="65" t="s">
        <v>205</v>
      </c>
      <c r="B52" s="65" t="s">
        <v>255</v>
      </c>
      <c r="C52" s="66" t="s">
        <v>572</v>
      </c>
      <c r="D52" s="67">
        <v>3</v>
      </c>
      <c r="E52" s="68"/>
      <c r="F52" s="69">
        <v>40</v>
      </c>
      <c r="G52" s="66"/>
      <c r="H52" s="70"/>
      <c r="I52" s="71"/>
      <c r="J52" s="71"/>
      <c r="K52" s="35" t="s">
        <v>65</v>
      </c>
      <c r="L52" s="79">
        <v>52</v>
      </c>
      <c r="M52" s="79"/>
      <c r="N52" s="73"/>
      <c r="O52" s="81" t="s">
        <v>305</v>
      </c>
      <c r="P52" s="83">
        <v>41662.64619212963</v>
      </c>
      <c r="Q52" s="81">
        <v>4879</v>
      </c>
      <c r="R52" s="81">
        <v>0</v>
      </c>
      <c r="S52">
        <v>1</v>
      </c>
      <c r="T52" s="80" t="str">
        <f>REPLACE(INDEX(GroupVertices[Group],MATCH("~"&amp;Edges[[#This Row],[Vertex 1]],GroupVertices[Vertex],0)),1,1,"")</f>
        <v>2</v>
      </c>
      <c r="U52" s="80" t="str">
        <f>REPLACE(INDEX(GroupVertices[Group],MATCH("~"&amp;Edges[[#This Row],[Vertex 2]],GroupVertices[Vertex],0)),1,1,"")</f>
        <v>7</v>
      </c>
    </row>
    <row r="53" spans="1:21" ht="15">
      <c r="A53" s="65" t="s">
        <v>206</v>
      </c>
      <c r="B53" s="65" t="s">
        <v>255</v>
      </c>
      <c r="C53" s="66" t="s">
        <v>572</v>
      </c>
      <c r="D53" s="67">
        <v>3</v>
      </c>
      <c r="E53" s="68"/>
      <c r="F53" s="69">
        <v>40</v>
      </c>
      <c r="G53" s="66"/>
      <c r="H53" s="70"/>
      <c r="I53" s="71"/>
      <c r="J53" s="71"/>
      <c r="K53" s="35" t="s">
        <v>65</v>
      </c>
      <c r="L53" s="79">
        <v>53</v>
      </c>
      <c r="M53" s="79"/>
      <c r="N53" s="73"/>
      <c r="O53" s="81" t="s">
        <v>305</v>
      </c>
      <c r="P53" s="83">
        <v>43370.56309027778</v>
      </c>
      <c r="Q53" s="81">
        <v>4879</v>
      </c>
      <c r="R53" s="81">
        <v>0</v>
      </c>
      <c r="S53">
        <v>1</v>
      </c>
      <c r="T53" s="80" t="str">
        <f>REPLACE(INDEX(GroupVertices[Group],MATCH("~"&amp;Edges[[#This Row],[Vertex 1]],GroupVertices[Vertex],0)),1,1,"")</f>
        <v>4</v>
      </c>
      <c r="U53" s="80" t="str">
        <f>REPLACE(INDEX(GroupVertices[Group],MATCH("~"&amp;Edges[[#This Row],[Vertex 2]],GroupVertices[Vertex],0)),1,1,"")</f>
        <v>7</v>
      </c>
    </row>
    <row r="54" spans="1:21" ht="15">
      <c r="A54" s="65" t="s">
        <v>205</v>
      </c>
      <c r="B54" s="65" t="s">
        <v>256</v>
      </c>
      <c r="C54" s="66" t="s">
        <v>572</v>
      </c>
      <c r="D54" s="67">
        <v>3</v>
      </c>
      <c r="E54" s="68"/>
      <c r="F54" s="69">
        <v>40</v>
      </c>
      <c r="G54" s="66"/>
      <c r="H54" s="70"/>
      <c r="I54" s="71"/>
      <c r="J54" s="71"/>
      <c r="K54" s="35" t="s">
        <v>65</v>
      </c>
      <c r="L54" s="79">
        <v>54</v>
      </c>
      <c r="M54" s="79"/>
      <c r="N54" s="73"/>
      <c r="O54" s="81" t="s">
        <v>305</v>
      </c>
      <c r="P54" s="83">
        <v>41662.649988425925</v>
      </c>
      <c r="Q54" s="81">
        <v>1268</v>
      </c>
      <c r="R54" s="81">
        <v>0</v>
      </c>
      <c r="S54">
        <v>1</v>
      </c>
      <c r="T54" s="80" t="str">
        <f>REPLACE(INDEX(GroupVertices[Group],MATCH("~"&amp;Edges[[#This Row],[Vertex 1]],GroupVertices[Vertex],0)),1,1,"")</f>
        <v>2</v>
      </c>
      <c r="U54" s="80" t="str">
        <f>REPLACE(INDEX(GroupVertices[Group],MATCH("~"&amp;Edges[[#This Row],[Vertex 2]],GroupVertices[Vertex],0)),1,1,"")</f>
        <v>4</v>
      </c>
    </row>
    <row r="55" spans="1:21" ht="15">
      <c r="A55" s="65" t="s">
        <v>206</v>
      </c>
      <c r="B55" s="65" t="s">
        <v>256</v>
      </c>
      <c r="C55" s="66" t="s">
        <v>572</v>
      </c>
      <c r="D55" s="67">
        <v>3</v>
      </c>
      <c r="E55" s="68"/>
      <c r="F55" s="69">
        <v>40</v>
      </c>
      <c r="G55" s="66"/>
      <c r="H55" s="70"/>
      <c r="I55" s="71"/>
      <c r="J55" s="71"/>
      <c r="K55" s="35" t="s">
        <v>65</v>
      </c>
      <c r="L55" s="79">
        <v>55</v>
      </c>
      <c r="M55" s="79"/>
      <c r="N55" s="73"/>
      <c r="O55" s="81" t="s">
        <v>305</v>
      </c>
      <c r="P55" s="83">
        <v>44286.72582175926</v>
      </c>
      <c r="Q55" s="81">
        <v>1268</v>
      </c>
      <c r="R55" s="81">
        <v>0</v>
      </c>
      <c r="S55">
        <v>1</v>
      </c>
      <c r="T55" s="80" t="str">
        <f>REPLACE(INDEX(GroupVertices[Group],MATCH("~"&amp;Edges[[#This Row],[Vertex 1]],GroupVertices[Vertex],0)),1,1,"")</f>
        <v>4</v>
      </c>
      <c r="U55" s="80" t="str">
        <f>REPLACE(INDEX(GroupVertices[Group],MATCH("~"&amp;Edges[[#This Row],[Vertex 2]],GroupVertices[Vertex],0)),1,1,"")</f>
        <v>4</v>
      </c>
    </row>
    <row r="56" spans="1:21" ht="15">
      <c r="A56" s="65" t="s">
        <v>206</v>
      </c>
      <c r="B56" s="65" t="s">
        <v>257</v>
      </c>
      <c r="C56" s="66" t="s">
        <v>572</v>
      </c>
      <c r="D56" s="67">
        <v>3</v>
      </c>
      <c r="E56" s="68"/>
      <c r="F56" s="69">
        <v>40</v>
      </c>
      <c r="G56" s="66"/>
      <c r="H56" s="70"/>
      <c r="I56" s="71"/>
      <c r="J56" s="71"/>
      <c r="K56" s="35" t="s">
        <v>65</v>
      </c>
      <c r="L56" s="79">
        <v>56</v>
      </c>
      <c r="M56" s="79"/>
      <c r="N56" s="73"/>
      <c r="O56" s="81" t="s">
        <v>305</v>
      </c>
      <c r="P56" s="83">
        <v>44378.79854166666</v>
      </c>
      <c r="Q56" s="81">
        <v>97</v>
      </c>
      <c r="R56" s="81">
        <v>0</v>
      </c>
      <c r="S56">
        <v>1</v>
      </c>
      <c r="T56" s="80" t="str">
        <f>REPLACE(INDEX(GroupVertices[Group],MATCH("~"&amp;Edges[[#This Row],[Vertex 1]],GroupVertices[Vertex],0)),1,1,"")</f>
        <v>4</v>
      </c>
      <c r="U56" s="80" t="str">
        <f>REPLACE(INDEX(GroupVertices[Group],MATCH("~"&amp;Edges[[#This Row],[Vertex 2]],GroupVertices[Vertex],0)),1,1,"")</f>
        <v>4</v>
      </c>
    </row>
    <row r="57" spans="1:21" ht="15">
      <c r="A57" s="65" t="s">
        <v>206</v>
      </c>
      <c r="B57" s="65" t="s">
        <v>258</v>
      </c>
      <c r="C57" s="66" t="s">
        <v>572</v>
      </c>
      <c r="D57" s="67">
        <v>3</v>
      </c>
      <c r="E57" s="68"/>
      <c r="F57" s="69">
        <v>40</v>
      </c>
      <c r="G57" s="66"/>
      <c r="H57" s="70"/>
      <c r="I57" s="71"/>
      <c r="J57" s="71"/>
      <c r="K57" s="35" t="s">
        <v>65</v>
      </c>
      <c r="L57" s="79">
        <v>57</v>
      </c>
      <c r="M57" s="79"/>
      <c r="N57" s="73"/>
      <c r="O57" s="81" t="s">
        <v>305</v>
      </c>
      <c r="P57" s="83">
        <v>45238.65122685185</v>
      </c>
      <c r="Q57" s="81">
        <v>544</v>
      </c>
      <c r="R57" s="81">
        <v>0</v>
      </c>
      <c r="S57">
        <v>1</v>
      </c>
      <c r="T57" s="80" t="str">
        <f>REPLACE(INDEX(GroupVertices[Group],MATCH("~"&amp;Edges[[#This Row],[Vertex 1]],GroupVertices[Vertex],0)),1,1,"")</f>
        <v>4</v>
      </c>
      <c r="U57" s="80" t="str">
        <f>REPLACE(INDEX(GroupVertices[Group],MATCH("~"&amp;Edges[[#This Row],[Vertex 2]],GroupVertices[Vertex],0)),1,1,"")</f>
        <v>4</v>
      </c>
    </row>
    <row r="58" spans="1:21" ht="15">
      <c r="A58" s="65" t="s">
        <v>206</v>
      </c>
      <c r="B58" s="65" t="s">
        <v>259</v>
      </c>
      <c r="C58" s="66" t="s">
        <v>572</v>
      </c>
      <c r="D58" s="67">
        <v>3</v>
      </c>
      <c r="E58" s="68"/>
      <c r="F58" s="69">
        <v>40</v>
      </c>
      <c r="G58" s="66"/>
      <c r="H58" s="70"/>
      <c r="I58" s="71"/>
      <c r="J58" s="71"/>
      <c r="K58" s="35" t="s">
        <v>65</v>
      </c>
      <c r="L58" s="79">
        <v>58</v>
      </c>
      <c r="M58" s="79"/>
      <c r="N58" s="73"/>
      <c r="O58" s="81" t="s">
        <v>305</v>
      </c>
      <c r="P58" s="83">
        <v>44711.68203703704</v>
      </c>
      <c r="Q58" s="81">
        <v>224</v>
      </c>
      <c r="R58" s="81">
        <v>0</v>
      </c>
      <c r="S58">
        <v>1</v>
      </c>
      <c r="T58" s="80" t="str">
        <f>REPLACE(INDEX(GroupVertices[Group],MATCH("~"&amp;Edges[[#This Row],[Vertex 1]],GroupVertices[Vertex],0)),1,1,"")</f>
        <v>4</v>
      </c>
      <c r="U58" s="80" t="str">
        <f>REPLACE(INDEX(GroupVertices[Group],MATCH("~"&amp;Edges[[#This Row],[Vertex 2]],GroupVertices[Vertex],0)),1,1,"")</f>
        <v>4</v>
      </c>
    </row>
    <row r="59" spans="1:21" ht="15">
      <c r="A59" s="65" t="s">
        <v>206</v>
      </c>
      <c r="B59" s="65" t="s">
        <v>260</v>
      </c>
      <c r="C59" s="66" t="s">
        <v>572</v>
      </c>
      <c r="D59" s="67">
        <v>3</v>
      </c>
      <c r="E59" s="68"/>
      <c r="F59" s="69">
        <v>40</v>
      </c>
      <c r="G59" s="66"/>
      <c r="H59" s="70"/>
      <c r="I59" s="71"/>
      <c r="J59" s="71"/>
      <c r="K59" s="35" t="s">
        <v>65</v>
      </c>
      <c r="L59" s="79">
        <v>59</v>
      </c>
      <c r="M59" s="79"/>
      <c r="N59" s="73"/>
      <c r="O59" s="81" t="s">
        <v>305</v>
      </c>
      <c r="P59" s="83">
        <v>44874.85165509259</v>
      </c>
      <c r="Q59" s="81">
        <v>62</v>
      </c>
      <c r="R59" s="81">
        <v>0</v>
      </c>
      <c r="S59">
        <v>1</v>
      </c>
      <c r="T59" s="80" t="str">
        <f>REPLACE(INDEX(GroupVertices[Group],MATCH("~"&amp;Edges[[#This Row],[Vertex 1]],GroupVertices[Vertex],0)),1,1,"")</f>
        <v>4</v>
      </c>
      <c r="U59" s="80" t="str">
        <f>REPLACE(INDEX(GroupVertices[Group],MATCH("~"&amp;Edges[[#This Row],[Vertex 2]],GroupVertices[Vertex],0)),1,1,"")</f>
        <v>4</v>
      </c>
    </row>
    <row r="60" spans="1:21" ht="15">
      <c r="A60" s="65" t="s">
        <v>205</v>
      </c>
      <c r="B60" s="65" t="s">
        <v>261</v>
      </c>
      <c r="C60" s="66" t="s">
        <v>572</v>
      </c>
      <c r="D60" s="67">
        <v>3</v>
      </c>
      <c r="E60" s="68"/>
      <c r="F60" s="69">
        <v>40</v>
      </c>
      <c r="G60" s="66"/>
      <c r="H60" s="70"/>
      <c r="I60" s="71"/>
      <c r="J60" s="71"/>
      <c r="K60" s="35" t="s">
        <v>65</v>
      </c>
      <c r="L60" s="79">
        <v>60</v>
      </c>
      <c r="M60" s="79"/>
      <c r="N60" s="73"/>
      <c r="O60" s="81" t="s">
        <v>305</v>
      </c>
      <c r="P60" s="83">
        <v>41662.6537962963</v>
      </c>
      <c r="Q60" s="81">
        <v>1957</v>
      </c>
      <c r="R60" s="81">
        <v>0</v>
      </c>
      <c r="S60">
        <v>1</v>
      </c>
      <c r="T60" s="80" t="str">
        <f>REPLACE(INDEX(GroupVertices[Group],MATCH("~"&amp;Edges[[#This Row],[Vertex 1]],GroupVertices[Vertex],0)),1,1,"")</f>
        <v>2</v>
      </c>
      <c r="U60" s="80" t="str">
        <f>REPLACE(INDEX(GroupVertices[Group],MATCH("~"&amp;Edges[[#This Row],[Vertex 2]],GroupVertices[Vertex],0)),1,1,"")</f>
        <v>4</v>
      </c>
    </row>
    <row r="61" spans="1:21" ht="15">
      <c r="A61" s="65" t="s">
        <v>206</v>
      </c>
      <c r="B61" s="65" t="s">
        <v>261</v>
      </c>
      <c r="C61" s="66" t="s">
        <v>572</v>
      </c>
      <c r="D61" s="67">
        <v>3</v>
      </c>
      <c r="E61" s="68"/>
      <c r="F61" s="69">
        <v>40</v>
      </c>
      <c r="G61" s="66"/>
      <c r="H61" s="70"/>
      <c r="I61" s="71"/>
      <c r="J61" s="71"/>
      <c r="K61" s="35" t="s">
        <v>65</v>
      </c>
      <c r="L61" s="79">
        <v>61</v>
      </c>
      <c r="M61" s="79"/>
      <c r="N61" s="73"/>
      <c r="O61" s="81" t="s">
        <v>305</v>
      </c>
      <c r="P61" s="83">
        <v>44865.93300925926</v>
      </c>
      <c r="Q61" s="81">
        <v>1957</v>
      </c>
      <c r="R61" s="81">
        <v>0</v>
      </c>
      <c r="S61">
        <v>1</v>
      </c>
      <c r="T61" s="80" t="str">
        <f>REPLACE(INDEX(GroupVertices[Group],MATCH("~"&amp;Edges[[#This Row],[Vertex 1]],GroupVertices[Vertex],0)),1,1,"")</f>
        <v>4</v>
      </c>
      <c r="U61" s="80" t="str">
        <f>REPLACE(INDEX(GroupVertices[Group],MATCH("~"&amp;Edges[[#This Row],[Vertex 2]],GroupVertices[Vertex],0)),1,1,"")</f>
        <v>4</v>
      </c>
    </row>
    <row r="62" spans="1:21" ht="15">
      <c r="A62" s="65" t="s">
        <v>207</v>
      </c>
      <c r="B62" s="65" t="s">
        <v>262</v>
      </c>
      <c r="C62" s="66" t="s">
        <v>572</v>
      </c>
      <c r="D62" s="67">
        <v>3</v>
      </c>
      <c r="E62" s="68"/>
      <c r="F62" s="69">
        <v>40</v>
      </c>
      <c r="G62" s="66"/>
      <c r="H62" s="70"/>
      <c r="I62" s="71"/>
      <c r="J62" s="71"/>
      <c r="K62" s="35" t="s">
        <v>65</v>
      </c>
      <c r="L62" s="79">
        <v>62</v>
      </c>
      <c r="M62" s="79"/>
      <c r="N62" s="73"/>
      <c r="O62" s="81" t="s">
        <v>305</v>
      </c>
      <c r="P62" s="83">
        <v>42763.96</v>
      </c>
      <c r="Q62" s="81">
        <v>12</v>
      </c>
      <c r="R62" s="81">
        <v>0</v>
      </c>
      <c r="S62">
        <v>1</v>
      </c>
      <c r="T62" s="80" t="str">
        <f>REPLACE(INDEX(GroupVertices[Group],MATCH("~"&amp;Edges[[#This Row],[Vertex 1]],GroupVertices[Vertex],0)),1,1,"")</f>
        <v>6</v>
      </c>
      <c r="U62" s="80" t="str">
        <f>REPLACE(INDEX(GroupVertices[Group],MATCH("~"&amp;Edges[[#This Row],[Vertex 2]],GroupVertices[Vertex],0)),1,1,"")</f>
        <v>6</v>
      </c>
    </row>
    <row r="63" spans="1:21" ht="15">
      <c r="A63" s="65" t="s">
        <v>207</v>
      </c>
      <c r="B63" s="65" t="s">
        <v>263</v>
      </c>
      <c r="C63" s="66" t="s">
        <v>572</v>
      </c>
      <c r="D63" s="67">
        <v>3</v>
      </c>
      <c r="E63" s="68"/>
      <c r="F63" s="69">
        <v>40</v>
      </c>
      <c r="G63" s="66"/>
      <c r="H63" s="70"/>
      <c r="I63" s="71"/>
      <c r="J63" s="71"/>
      <c r="K63" s="35" t="s">
        <v>65</v>
      </c>
      <c r="L63" s="79">
        <v>63</v>
      </c>
      <c r="M63" s="79"/>
      <c r="N63" s="73"/>
      <c r="O63" s="81" t="s">
        <v>305</v>
      </c>
      <c r="P63" s="83">
        <v>42558.725856481484</v>
      </c>
      <c r="Q63" s="81">
        <v>3037</v>
      </c>
      <c r="R63" s="81">
        <v>0</v>
      </c>
      <c r="S63">
        <v>1</v>
      </c>
      <c r="T63" s="80" t="str">
        <f>REPLACE(INDEX(GroupVertices[Group],MATCH("~"&amp;Edges[[#This Row],[Vertex 1]],GroupVertices[Vertex],0)),1,1,"")</f>
        <v>6</v>
      </c>
      <c r="U63" s="80" t="str">
        <f>REPLACE(INDEX(GroupVertices[Group],MATCH("~"&amp;Edges[[#This Row],[Vertex 2]],GroupVertices[Vertex],0)),1,1,"")</f>
        <v>6</v>
      </c>
    </row>
    <row r="64" spans="1:21" ht="15">
      <c r="A64" s="65" t="s">
        <v>207</v>
      </c>
      <c r="B64" s="65" t="s">
        <v>264</v>
      </c>
      <c r="C64" s="66" t="s">
        <v>572</v>
      </c>
      <c r="D64" s="67">
        <v>3</v>
      </c>
      <c r="E64" s="68"/>
      <c r="F64" s="69">
        <v>40</v>
      </c>
      <c r="G64" s="66"/>
      <c r="H64" s="70"/>
      <c r="I64" s="71"/>
      <c r="J64" s="71"/>
      <c r="K64" s="35" t="s">
        <v>65</v>
      </c>
      <c r="L64" s="79">
        <v>64</v>
      </c>
      <c r="M64" s="79"/>
      <c r="N64" s="73"/>
      <c r="O64" s="81" t="s">
        <v>305</v>
      </c>
      <c r="P64" s="83">
        <v>42890.79016203704</v>
      </c>
      <c r="Q64" s="81">
        <v>272</v>
      </c>
      <c r="R64" s="81">
        <v>0</v>
      </c>
      <c r="S64">
        <v>1</v>
      </c>
      <c r="T64" s="80" t="str">
        <f>REPLACE(INDEX(GroupVertices[Group],MATCH("~"&amp;Edges[[#This Row],[Vertex 1]],GroupVertices[Vertex],0)),1,1,"")</f>
        <v>6</v>
      </c>
      <c r="U64" s="80" t="str">
        <f>REPLACE(INDEX(GroupVertices[Group],MATCH("~"&amp;Edges[[#This Row],[Vertex 2]],GroupVertices[Vertex],0)),1,1,"")</f>
        <v>6</v>
      </c>
    </row>
    <row r="65" spans="1:21" ht="15">
      <c r="A65" s="65" t="s">
        <v>207</v>
      </c>
      <c r="B65" s="65" t="s">
        <v>265</v>
      </c>
      <c r="C65" s="66" t="s">
        <v>572</v>
      </c>
      <c r="D65" s="67">
        <v>3</v>
      </c>
      <c r="E65" s="68"/>
      <c r="F65" s="69">
        <v>40</v>
      </c>
      <c r="G65" s="66"/>
      <c r="H65" s="70"/>
      <c r="I65" s="71"/>
      <c r="J65" s="71"/>
      <c r="K65" s="35" t="s">
        <v>65</v>
      </c>
      <c r="L65" s="79">
        <v>65</v>
      </c>
      <c r="M65" s="79"/>
      <c r="N65" s="73"/>
      <c r="O65" s="81" t="s">
        <v>305</v>
      </c>
      <c r="P65" s="83">
        <v>42185.76181712963</v>
      </c>
      <c r="Q65" s="81">
        <v>1</v>
      </c>
      <c r="R65" s="81">
        <v>0</v>
      </c>
      <c r="S65">
        <v>1</v>
      </c>
      <c r="T65" s="80" t="str">
        <f>REPLACE(INDEX(GroupVertices[Group],MATCH("~"&amp;Edges[[#This Row],[Vertex 1]],GroupVertices[Vertex],0)),1,1,"")</f>
        <v>6</v>
      </c>
      <c r="U65" s="80" t="str">
        <f>REPLACE(INDEX(GroupVertices[Group],MATCH("~"&amp;Edges[[#This Row],[Vertex 2]],GroupVertices[Vertex],0)),1,1,"")</f>
        <v>6</v>
      </c>
    </row>
    <row r="66" spans="1:21" ht="15">
      <c r="A66" s="65" t="s">
        <v>207</v>
      </c>
      <c r="B66" s="65" t="s">
        <v>266</v>
      </c>
      <c r="C66" s="66" t="s">
        <v>572</v>
      </c>
      <c r="D66" s="67">
        <v>3</v>
      </c>
      <c r="E66" s="68"/>
      <c r="F66" s="69">
        <v>40</v>
      </c>
      <c r="G66" s="66"/>
      <c r="H66" s="70"/>
      <c r="I66" s="71"/>
      <c r="J66" s="71"/>
      <c r="K66" s="35" t="s">
        <v>65</v>
      </c>
      <c r="L66" s="79">
        <v>66</v>
      </c>
      <c r="M66" s="79"/>
      <c r="N66" s="73"/>
      <c r="O66" s="81" t="s">
        <v>305</v>
      </c>
      <c r="P66" s="83">
        <v>43522.835625</v>
      </c>
      <c r="Q66" s="81">
        <v>1045</v>
      </c>
      <c r="R66" s="81">
        <v>0</v>
      </c>
      <c r="S66">
        <v>1</v>
      </c>
      <c r="T66" s="80" t="str">
        <f>REPLACE(INDEX(GroupVertices[Group],MATCH("~"&amp;Edges[[#This Row],[Vertex 1]],GroupVertices[Vertex],0)),1,1,"")</f>
        <v>6</v>
      </c>
      <c r="U66" s="80" t="str">
        <f>REPLACE(INDEX(GroupVertices[Group],MATCH("~"&amp;Edges[[#This Row],[Vertex 2]],GroupVertices[Vertex],0)),1,1,"")</f>
        <v>6</v>
      </c>
    </row>
    <row r="67" spans="1:21" ht="15">
      <c r="A67" s="65" t="s">
        <v>208</v>
      </c>
      <c r="B67" s="65" t="s">
        <v>267</v>
      </c>
      <c r="C67" s="66" t="s">
        <v>572</v>
      </c>
      <c r="D67" s="67">
        <v>3</v>
      </c>
      <c r="E67" s="68"/>
      <c r="F67" s="69">
        <v>40</v>
      </c>
      <c r="G67" s="66"/>
      <c r="H67" s="70"/>
      <c r="I67" s="71"/>
      <c r="J67" s="71"/>
      <c r="K67" s="35" t="s">
        <v>65</v>
      </c>
      <c r="L67" s="79">
        <v>67</v>
      </c>
      <c r="M67" s="79"/>
      <c r="N67" s="73"/>
      <c r="O67" s="81" t="s">
        <v>305</v>
      </c>
      <c r="P67" s="83">
        <v>42325.64586805556</v>
      </c>
      <c r="Q67" s="81">
        <v>617</v>
      </c>
      <c r="R67" s="81">
        <v>0</v>
      </c>
      <c r="S67">
        <v>1</v>
      </c>
      <c r="T67" s="80" t="str">
        <f>REPLACE(INDEX(GroupVertices[Group],MATCH("~"&amp;Edges[[#This Row],[Vertex 1]],GroupVertices[Vertex],0)),1,1,"")</f>
        <v>5</v>
      </c>
      <c r="U67" s="80" t="str">
        <f>REPLACE(INDEX(GroupVertices[Group],MATCH("~"&amp;Edges[[#This Row],[Vertex 2]],GroupVertices[Vertex],0)),1,1,"")</f>
        <v>5</v>
      </c>
    </row>
    <row r="68" spans="1:21" ht="15">
      <c r="A68" s="65" t="s">
        <v>208</v>
      </c>
      <c r="B68" s="65" t="s">
        <v>268</v>
      </c>
      <c r="C68" s="66" t="s">
        <v>572</v>
      </c>
      <c r="D68" s="67">
        <v>3</v>
      </c>
      <c r="E68" s="68"/>
      <c r="F68" s="69">
        <v>40</v>
      </c>
      <c r="G68" s="66"/>
      <c r="H68" s="70"/>
      <c r="I68" s="71"/>
      <c r="J68" s="71"/>
      <c r="K68" s="35" t="s">
        <v>65</v>
      </c>
      <c r="L68" s="79">
        <v>68</v>
      </c>
      <c r="M68" s="79"/>
      <c r="N68" s="73"/>
      <c r="O68" s="81" t="s">
        <v>305</v>
      </c>
      <c r="P68" s="83">
        <v>42325.64394675926</v>
      </c>
      <c r="Q68" s="81">
        <v>35</v>
      </c>
      <c r="R68" s="81">
        <v>0</v>
      </c>
      <c r="S68">
        <v>1</v>
      </c>
      <c r="T68" s="80" t="str">
        <f>REPLACE(INDEX(GroupVertices[Group],MATCH("~"&amp;Edges[[#This Row],[Vertex 1]],GroupVertices[Vertex],0)),1,1,"")</f>
        <v>5</v>
      </c>
      <c r="U68" s="80" t="str">
        <f>REPLACE(INDEX(GroupVertices[Group],MATCH("~"&amp;Edges[[#This Row],[Vertex 2]],GroupVertices[Vertex],0)),1,1,"")</f>
        <v>5</v>
      </c>
    </row>
    <row r="69" spans="1:21" ht="15">
      <c r="A69" s="65" t="s">
        <v>208</v>
      </c>
      <c r="B69" s="65" t="s">
        <v>269</v>
      </c>
      <c r="C69" s="66" t="s">
        <v>572</v>
      </c>
      <c r="D69" s="67">
        <v>3</v>
      </c>
      <c r="E69" s="68"/>
      <c r="F69" s="69">
        <v>40</v>
      </c>
      <c r="G69" s="66"/>
      <c r="H69" s="70"/>
      <c r="I69" s="71"/>
      <c r="J69" s="71"/>
      <c r="K69" s="35" t="s">
        <v>65</v>
      </c>
      <c r="L69" s="79">
        <v>69</v>
      </c>
      <c r="M69" s="79"/>
      <c r="N69" s="73"/>
      <c r="O69" s="81" t="s">
        <v>305</v>
      </c>
      <c r="P69" s="83">
        <v>42325.64376157407</v>
      </c>
      <c r="Q69" s="81">
        <v>1207</v>
      </c>
      <c r="R69" s="81">
        <v>0</v>
      </c>
      <c r="S69">
        <v>1</v>
      </c>
      <c r="T69" s="80" t="str">
        <f>REPLACE(INDEX(GroupVertices[Group],MATCH("~"&amp;Edges[[#This Row],[Vertex 1]],GroupVertices[Vertex],0)),1,1,"")</f>
        <v>5</v>
      </c>
      <c r="U69" s="80" t="str">
        <f>REPLACE(INDEX(GroupVertices[Group],MATCH("~"&amp;Edges[[#This Row],[Vertex 2]],GroupVertices[Vertex],0)),1,1,"")</f>
        <v>5</v>
      </c>
    </row>
    <row r="70" spans="1:21" ht="15">
      <c r="A70" s="65" t="s">
        <v>208</v>
      </c>
      <c r="B70" s="65" t="s">
        <v>270</v>
      </c>
      <c r="C70" s="66" t="s">
        <v>572</v>
      </c>
      <c r="D70" s="67">
        <v>3</v>
      </c>
      <c r="E70" s="68"/>
      <c r="F70" s="69">
        <v>40</v>
      </c>
      <c r="G70" s="66"/>
      <c r="H70" s="70"/>
      <c r="I70" s="71"/>
      <c r="J70" s="71"/>
      <c r="K70" s="35" t="s">
        <v>65</v>
      </c>
      <c r="L70" s="79">
        <v>70</v>
      </c>
      <c r="M70" s="79"/>
      <c r="N70" s="73"/>
      <c r="O70" s="81" t="s">
        <v>305</v>
      </c>
      <c r="P70" s="83">
        <v>42325.64336805556</v>
      </c>
      <c r="Q70" s="81">
        <v>35</v>
      </c>
      <c r="R70" s="81">
        <v>0</v>
      </c>
      <c r="S70">
        <v>1</v>
      </c>
      <c r="T70" s="80" t="str">
        <f>REPLACE(INDEX(GroupVertices[Group],MATCH("~"&amp;Edges[[#This Row],[Vertex 1]],GroupVertices[Vertex],0)),1,1,"")</f>
        <v>5</v>
      </c>
      <c r="U70" s="80" t="str">
        <f>REPLACE(INDEX(GroupVertices[Group],MATCH("~"&amp;Edges[[#This Row],[Vertex 2]],GroupVertices[Vertex],0)),1,1,"")</f>
        <v>5</v>
      </c>
    </row>
    <row r="71" spans="1:21" ht="15">
      <c r="A71" s="65" t="s">
        <v>208</v>
      </c>
      <c r="B71" s="65" t="s">
        <v>271</v>
      </c>
      <c r="C71" s="66" t="s">
        <v>572</v>
      </c>
      <c r="D71" s="67">
        <v>3</v>
      </c>
      <c r="E71" s="68"/>
      <c r="F71" s="69">
        <v>40</v>
      </c>
      <c r="G71" s="66"/>
      <c r="H71" s="70"/>
      <c r="I71" s="71"/>
      <c r="J71" s="71"/>
      <c r="K71" s="35" t="s">
        <v>65</v>
      </c>
      <c r="L71" s="79">
        <v>71</v>
      </c>
      <c r="M71" s="79"/>
      <c r="N71" s="73"/>
      <c r="O71" s="81" t="s">
        <v>305</v>
      </c>
      <c r="P71" s="83">
        <v>42325.643541666665</v>
      </c>
      <c r="Q71" s="81">
        <v>52</v>
      </c>
      <c r="R71" s="81">
        <v>0</v>
      </c>
      <c r="S71">
        <v>1</v>
      </c>
      <c r="T71" s="80" t="str">
        <f>REPLACE(INDEX(GroupVertices[Group],MATCH("~"&amp;Edges[[#This Row],[Vertex 1]],GroupVertices[Vertex],0)),1,1,"")</f>
        <v>5</v>
      </c>
      <c r="U71" s="80" t="str">
        <f>REPLACE(INDEX(GroupVertices[Group],MATCH("~"&amp;Edges[[#This Row],[Vertex 2]],GroupVertices[Vertex],0)),1,1,"")</f>
        <v>5</v>
      </c>
    </row>
    <row r="72" spans="1:21" ht="15">
      <c r="A72" s="65" t="s">
        <v>208</v>
      </c>
      <c r="B72" s="65" t="s">
        <v>272</v>
      </c>
      <c r="C72" s="66" t="s">
        <v>572</v>
      </c>
      <c r="D72" s="67">
        <v>3</v>
      </c>
      <c r="E72" s="68"/>
      <c r="F72" s="69">
        <v>40</v>
      </c>
      <c r="G72" s="66"/>
      <c r="H72" s="70"/>
      <c r="I72" s="71"/>
      <c r="J72" s="71"/>
      <c r="K72" s="35" t="s">
        <v>65</v>
      </c>
      <c r="L72" s="79">
        <v>72</v>
      </c>
      <c r="M72" s="79"/>
      <c r="N72" s="73"/>
      <c r="O72" s="81" t="s">
        <v>305</v>
      </c>
      <c r="P72" s="83">
        <v>42325.644594907404</v>
      </c>
      <c r="Q72" s="81">
        <v>441</v>
      </c>
      <c r="R72" s="81">
        <v>0</v>
      </c>
      <c r="S72">
        <v>1</v>
      </c>
      <c r="T72" s="80" t="str">
        <f>REPLACE(INDEX(GroupVertices[Group],MATCH("~"&amp;Edges[[#This Row],[Vertex 1]],GroupVertices[Vertex],0)),1,1,"")</f>
        <v>5</v>
      </c>
      <c r="U72" s="80" t="str">
        <f>REPLACE(INDEX(GroupVertices[Group],MATCH("~"&amp;Edges[[#This Row],[Vertex 2]],GroupVertices[Vertex],0)),1,1,"")</f>
        <v>5</v>
      </c>
    </row>
    <row r="73" spans="1:21" ht="15">
      <c r="A73" s="65" t="s">
        <v>209</v>
      </c>
      <c r="B73" s="65" t="s">
        <v>273</v>
      </c>
      <c r="C73" s="66" t="s">
        <v>572</v>
      </c>
      <c r="D73" s="67">
        <v>3</v>
      </c>
      <c r="E73" s="68"/>
      <c r="F73" s="69">
        <v>40</v>
      </c>
      <c r="G73" s="66"/>
      <c r="H73" s="70"/>
      <c r="I73" s="71"/>
      <c r="J73" s="71"/>
      <c r="K73" s="35" t="s">
        <v>65</v>
      </c>
      <c r="L73" s="79">
        <v>73</v>
      </c>
      <c r="M73" s="79"/>
      <c r="N73" s="73"/>
      <c r="O73" s="81" t="s">
        <v>305</v>
      </c>
      <c r="P73" s="83">
        <v>43637.696851851855</v>
      </c>
      <c r="Q73" s="81">
        <v>2</v>
      </c>
      <c r="R73" s="81">
        <v>0</v>
      </c>
      <c r="S73">
        <v>1</v>
      </c>
      <c r="T73" s="80" t="str">
        <f>REPLACE(INDEX(GroupVertices[Group],MATCH("~"&amp;Edges[[#This Row],[Vertex 1]],GroupVertices[Vertex],0)),1,1,"")</f>
        <v>1</v>
      </c>
      <c r="U73" s="80" t="str">
        <f>REPLACE(INDEX(GroupVertices[Group],MATCH("~"&amp;Edges[[#This Row],[Vertex 2]],GroupVertices[Vertex],0)),1,1,"")</f>
        <v>1</v>
      </c>
    </row>
    <row r="74" spans="1:21" ht="15">
      <c r="A74" s="65" t="s">
        <v>209</v>
      </c>
      <c r="B74" s="65" t="s">
        <v>274</v>
      </c>
      <c r="C74" s="66" t="s">
        <v>572</v>
      </c>
      <c r="D74" s="67">
        <v>3</v>
      </c>
      <c r="E74" s="68"/>
      <c r="F74" s="69">
        <v>40</v>
      </c>
      <c r="G74" s="66"/>
      <c r="H74" s="70"/>
      <c r="I74" s="71"/>
      <c r="J74" s="71"/>
      <c r="K74" s="35" t="s">
        <v>65</v>
      </c>
      <c r="L74" s="79">
        <v>74</v>
      </c>
      <c r="M74" s="79"/>
      <c r="N74" s="73"/>
      <c r="O74" s="81" t="s">
        <v>305</v>
      </c>
      <c r="P74" s="83">
        <v>43637.699525462966</v>
      </c>
      <c r="Q74" s="81">
        <v>15</v>
      </c>
      <c r="R74" s="81">
        <v>0</v>
      </c>
      <c r="S74">
        <v>1</v>
      </c>
      <c r="T74" s="80" t="str">
        <f>REPLACE(INDEX(GroupVertices[Group],MATCH("~"&amp;Edges[[#This Row],[Vertex 1]],GroupVertices[Vertex],0)),1,1,"")</f>
        <v>1</v>
      </c>
      <c r="U74" s="80" t="str">
        <f>REPLACE(INDEX(GroupVertices[Group],MATCH("~"&amp;Edges[[#This Row],[Vertex 2]],GroupVertices[Vertex],0)),1,1,"")</f>
        <v>1</v>
      </c>
    </row>
    <row r="75" spans="1:21" ht="15">
      <c r="A75" s="65" t="s">
        <v>209</v>
      </c>
      <c r="B75" s="65" t="s">
        <v>275</v>
      </c>
      <c r="C75" s="66" t="s">
        <v>572</v>
      </c>
      <c r="D75" s="67">
        <v>3</v>
      </c>
      <c r="E75" s="68"/>
      <c r="F75" s="69">
        <v>40</v>
      </c>
      <c r="G75" s="66"/>
      <c r="H75" s="70"/>
      <c r="I75" s="71"/>
      <c r="J75" s="71"/>
      <c r="K75" s="35" t="s">
        <v>65</v>
      </c>
      <c r="L75" s="79">
        <v>75</v>
      </c>
      <c r="M75" s="79"/>
      <c r="N75" s="73"/>
      <c r="O75" s="81" t="s">
        <v>305</v>
      </c>
      <c r="P75" s="83">
        <v>45301.75439814815</v>
      </c>
      <c r="Q75" s="81">
        <v>79</v>
      </c>
      <c r="R75" s="81">
        <v>0</v>
      </c>
      <c r="S75">
        <v>1</v>
      </c>
      <c r="T75" s="80" t="str">
        <f>REPLACE(INDEX(GroupVertices[Group],MATCH("~"&amp;Edges[[#This Row],[Vertex 1]],GroupVertices[Vertex],0)),1,1,"")</f>
        <v>1</v>
      </c>
      <c r="U75" s="80" t="str">
        <f>REPLACE(INDEX(GroupVertices[Group],MATCH("~"&amp;Edges[[#This Row],[Vertex 2]],GroupVertices[Vertex],0)),1,1,"")</f>
        <v>1</v>
      </c>
    </row>
    <row r="76" spans="1:21" ht="15">
      <c r="A76" s="65" t="s">
        <v>209</v>
      </c>
      <c r="B76" s="65" t="s">
        <v>276</v>
      </c>
      <c r="C76" s="66" t="s">
        <v>572</v>
      </c>
      <c r="D76" s="67">
        <v>3</v>
      </c>
      <c r="E76" s="68"/>
      <c r="F76" s="69">
        <v>40</v>
      </c>
      <c r="G76" s="66"/>
      <c r="H76" s="70"/>
      <c r="I76" s="71"/>
      <c r="J76" s="71"/>
      <c r="K76" s="35" t="s">
        <v>65</v>
      </c>
      <c r="L76" s="79">
        <v>76</v>
      </c>
      <c r="M76" s="79"/>
      <c r="N76" s="73"/>
      <c r="O76" s="81" t="s">
        <v>305</v>
      </c>
      <c r="P76" s="83">
        <v>45279.86075231482</v>
      </c>
      <c r="Q76" s="81">
        <v>24</v>
      </c>
      <c r="R76" s="81">
        <v>0</v>
      </c>
      <c r="S76">
        <v>1</v>
      </c>
      <c r="T76" s="80" t="str">
        <f>REPLACE(INDEX(GroupVertices[Group],MATCH("~"&amp;Edges[[#This Row],[Vertex 1]],GroupVertices[Vertex],0)),1,1,"")</f>
        <v>1</v>
      </c>
      <c r="U76" s="80" t="str">
        <f>REPLACE(INDEX(GroupVertices[Group],MATCH("~"&amp;Edges[[#This Row],[Vertex 2]],GroupVertices[Vertex],0)),1,1,"")</f>
        <v>1</v>
      </c>
    </row>
    <row r="77" spans="1:21" ht="15">
      <c r="A77" s="65" t="s">
        <v>209</v>
      </c>
      <c r="B77" s="65" t="s">
        <v>277</v>
      </c>
      <c r="C77" s="66" t="s">
        <v>572</v>
      </c>
      <c r="D77" s="67">
        <v>3</v>
      </c>
      <c r="E77" s="68"/>
      <c r="F77" s="69">
        <v>40</v>
      </c>
      <c r="G77" s="66"/>
      <c r="H77" s="70"/>
      <c r="I77" s="71"/>
      <c r="J77" s="71"/>
      <c r="K77" s="35" t="s">
        <v>65</v>
      </c>
      <c r="L77" s="79">
        <v>77</v>
      </c>
      <c r="M77" s="79"/>
      <c r="N77" s="73"/>
      <c r="O77" s="81" t="s">
        <v>305</v>
      </c>
      <c r="P77" s="83">
        <v>43650.86381944444</v>
      </c>
      <c r="Q77" s="81">
        <v>16</v>
      </c>
      <c r="R77" s="81">
        <v>0</v>
      </c>
      <c r="S77">
        <v>1</v>
      </c>
      <c r="T77" s="80" t="str">
        <f>REPLACE(INDEX(GroupVertices[Group],MATCH("~"&amp;Edges[[#This Row],[Vertex 1]],GroupVertices[Vertex],0)),1,1,"")</f>
        <v>1</v>
      </c>
      <c r="U77" s="80" t="str">
        <f>REPLACE(INDEX(GroupVertices[Group],MATCH("~"&amp;Edges[[#This Row],[Vertex 2]],GroupVertices[Vertex],0)),1,1,"")</f>
        <v>1</v>
      </c>
    </row>
    <row r="78" spans="1:21" ht="15">
      <c r="A78" s="65" t="s">
        <v>209</v>
      </c>
      <c r="B78" s="65" t="s">
        <v>278</v>
      </c>
      <c r="C78" s="66" t="s">
        <v>572</v>
      </c>
      <c r="D78" s="67">
        <v>3</v>
      </c>
      <c r="E78" s="68"/>
      <c r="F78" s="69">
        <v>40</v>
      </c>
      <c r="G78" s="66"/>
      <c r="H78" s="70"/>
      <c r="I78" s="71"/>
      <c r="J78" s="71"/>
      <c r="K78" s="35" t="s">
        <v>65</v>
      </c>
      <c r="L78" s="79">
        <v>78</v>
      </c>
      <c r="M78" s="79"/>
      <c r="N78" s="73"/>
      <c r="O78" s="81" t="s">
        <v>305</v>
      </c>
      <c r="P78" s="83">
        <v>43637.728425925925</v>
      </c>
      <c r="Q78" s="81">
        <v>27</v>
      </c>
      <c r="R78" s="81">
        <v>0</v>
      </c>
      <c r="S78">
        <v>1</v>
      </c>
      <c r="T78" s="80" t="str">
        <f>REPLACE(INDEX(GroupVertices[Group],MATCH("~"&amp;Edges[[#This Row],[Vertex 1]],GroupVertices[Vertex],0)),1,1,"")</f>
        <v>1</v>
      </c>
      <c r="U78" s="80" t="str">
        <f>REPLACE(INDEX(GroupVertices[Group],MATCH("~"&amp;Edges[[#This Row],[Vertex 2]],GroupVertices[Vertex],0)),1,1,"")</f>
        <v>1</v>
      </c>
    </row>
    <row r="79" spans="1:21" ht="15">
      <c r="A79" s="65" t="s">
        <v>209</v>
      </c>
      <c r="B79" s="65" t="s">
        <v>279</v>
      </c>
      <c r="C79" s="66" t="s">
        <v>572</v>
      </c>
      <c r="D79" s="67">
        <v>3</v>
      </c>
      <c r="E79" s="68"/>
      <c r="F79" s="69">
        <v>40</v>
      </c>
      <c r="G79" s="66"/>
      <c r="H79" s="70"/>
      <c r="I79" s="71"/>
      <c r="J79" s="71"/>
      <c r="K79" s="35" t="s">
        <v>65</v>
      </c>
      <c r="L79" s="79">
        <v>79</v>
      </c>
      <c r="M79" s="79"/>
      <c r="N79" s="73"/>
      <c r="O79" s="81" t="s">
        <v>305</v>
      </c>
      <c r="P79" s="83">
        <v>45299.84574074074</v>
      </c>
      <c r="Q79" s="81">
        <v>16</v>
      </c>
      <c r="R79" s="81">
        <v>0</v>
      </c>
      <c r="S79">
        <v>1</v>
      </c>
      <c r="T79" s="80" t="str">
        <f>REPLACE(INDEX(GroupVertices[Group],MATCH("~"&amp;Edges[[#This Row],[Vertex 1]],GroupVertices[Vertex],0)),1,1,"")</f>
        <v>1</v>
      </c>
      <c r="U79" s="80" t="str">
        <f>REPLACE(INDEX(GroupVertices[Group],MATCH("~"&amp;Edges[[#This Row],[Vertex 2]],GroupVertices[Vertex],0)),1,1,"")</f>
        <v>1</v>
      </c>
    </row>
    <row r="80" spans="1:21" ht="15">
      <c r="A80" s="65" t="s">
        <v>209</v>
      </c>
      <c r="B80" s="65" t="s">
        <v>280</v>
      </c>
      <c r="C80" s="66" t="s">
        <v>572</v>
      </c>
      <c r="D80" s="67">
        <v>3</v>
      </c>
      <c r="E80" s="68"/>
      <c r="F80" s="69">
        <v>40</v>
      </c>
      <c r="G80" s="66"/>
      <c r="H80" s="70"/>
      <c r="I80" s="71"/>
      <c r="J80" s="71"/>
      <c r="K80" s="35" t="s">
        <v>65</v>
      </c>
      <c r="L80" s="79">
        <v>80</v>
      </c>
      <c r="M80" s="79"/>
      <c r="N80" s="73"/>
      <c r="O80" s="81" t="s">
        <v>305</v>
      </c>
      <c r="P80" s="83">
        <v>43637.73232638889</v>
      </c>
      <c r="Q80" s="81">
        <v>26</v>
      </c>
      <c r="R80" s="81">
        <v>0</v>
      </c>
      <c r="S80">
        <v>1</v>
      </c>
      <c r="T80" s="80" t="str">
        <f>REPLACE(INDEX(GroupVertices[Group],MATCH("~"&amp;Edges[[#This Row],[Vertex 1]],GroupVertices[Vertex],0)),1,1,"")</f>
        <v>1</v>
      </c>
      <c r="U80" s="80" t="str">
        <f>REPLACE(INDEX(GroupVertices[Group],MATCH("~"&amp;Edges[[#This Row],[Vertex 2]],GroupVertices[Vertex],0)),1,1,"")</f>
        <v>1</v>
      </c>
    </row>
    <row r="81" spans="1:21" ht="15">
      <c r="A81" s="65" t="s">
        <v>209</v>
      </c>
      <c r="B81" s="65" t="s">
        <v>199</v>
      </c>
      <c r="C81" s="66" t="s">
        <v>572</v>
      </c>
      <c r="D81" s="67">
        <v>3</v>
      </c>
      <c r="E81" s="68"/>
      <c r="F81" s="69">
        <v>40</v>
      </c>
      <c r="G81" s="66"/>
      <c r="H81" s="70"/>
      <c r="I81" s="71"/>
      <c r="J81" s="71"/>
      <c r="K81" s="35" t="s">
        <v>65</v>
      </c>
      <c r="L81" s="79">
        <v>81</v>
      </c>
      <c r="M81" s="79"/>
      <c r="N81" s="73"/>
      <c r="O81" s="81" t="s">
        <v>305</v>
      </c>
      <c r="P81" s="83">
        <v>43685.87327546296</v>
      </c>
      <c r="Q81" s="81">
        <v>363</v>
      </c>
      <c r="R81" s="81">
        <v>0</v>
      </c>
      <c r="S81">
        <v>1</v>
      </c>
      <c r="T81" s="80" t="str">
        <f>REPLACE(INDEX(GroupVertices[Group],MATCH("~"&amp;Edges[[#This Row],[Vertex 1]],GroupVertices[Vertex],0)),1,1,"")</f>
        <v>1</v>
      </c>
      <c r="U81" s="80" t="str">
        <f>REPLACE(INDEX(GroupVertices[Group],MATCH("~"&amp;Edges[[#This Row],[Vertex 2]],GroupVertices[Vertex],0)),1,1,"")</f>
        <v>7</v>
      </c>
    </row>
    <row r="82" spans="1:21" ht="15">
      <c r="A82" s="65" t="s">
        <v>209</v>
      </c>
      <c r="B82" s="65" t="s">
        <v>281</v>
      </c>
      <c r="C82" s="66" t="s">
        <v>572</v>
      </c>
      <c r="D82" s="67">
        <v>3</v>
      </c>
      <c r="E82" s="68"/>
      <c r="F82" s="69">
        <v>40</v>
      </c>
      <c r="G82" s="66"/>
      <c r="H82" s="70"/>
      <c r="I82" s="71"/>
      <c r="J82" s="71"/>
      <c r="K82" s="35" t="s">
        <v>65</v>
      </c>
      <c r="L82" s="79">
        <v>82</v>
      </c>
      <c r="M82" s="79"/>
      <c r="N82" s="73"/>
      <c r="O82" s="81" t="s">
        <v>305</v>
      </c>
      <c r="P82" s="83">
        <v>43676.80063657407</v>
      </c>
      <c r="Q82" s="81">
        <v>28</v>
      </c>
      <c r="R82" s="81">
        <v>0</v>
      </c>
      <c r="S82">
        <v>1</v>
      </c>
      <c r="T82" s="80" t="str">
        <f>REPLACE(INDEX(GroupVertices[Group],MATCH("~"&amp;Edges[[#This Row],[Vertex 1]],GroupVertices[Vertex],0)),1,1,"")</f>
        <v>1</v>
      </c>
      <c r="U82" s="80" t="str">
        <f>REPLACE(INDEX(GroupVertices[Group],MATCH("~"&amp;Edges[[#This Row],[Vertex 2]],GroupVertices[Vertex],0)),1,1,"")</f>
        <v>1</v>
      </c>
    </row>
    <row r="83" spans="1:21" ht="15">
      <c r="A83" s="65" t="s">
        <v>209</v>
      </c>
      <c r="B83" s="65" t="s">
        <v>282</v>
      </c>
      <c r="C83" s="66" t="s">
        <v>572</v>
      </c>
      <c r="D83" s="67">
        <v>3</v>
      </c>
      <c r="E83" s="68"/>
      <c r="F83" s="69">
        <v>40</v>
      </c>
      <c r="G83" s="66"/>
      <c r="H83" s="70"/>
      <c r="I83" s="71"/>
      <c r="J83" s="71"/>
      <c r="K83" s="35" t="s">
        <v>65</v>
      </c>
      <c r="L83" s="79">
        <v>83</v>
      </c>
      <c r="M83" s="79"/>
      <c r="N83" s="73"/>
      <c r="O83" s="81" t="s">
        <v>305</v>
      </c>
      <c r="P83" s="83">
        <v>43650.86273148148</v>
      </c>
      <c r="Q83" s="81">
        <v>6</v>
      </c>
      <c r="R83" s="81">
        <v>0</v>
      </c>
      <c r="S83">
        <v>1</v>
      </c>
      <c r="T83" s="80" t="str">
        <f>REPLACE(INDEX(GroupVertices[Group],MATCH("~"&amp;Edges[[#This Row],[Vertex 1]],GroupVertices[Vertex],0)),1,1,"")</f>
        <v>1</v>
      </c>
      <c r="U83" s="80" t="str">
        <f>REPLACE(INDEX(GroupVertices[Group],MATCH("~"&amp;Edges[[#This Row],[Vertex 2]],GroupVertices[Vertex],0)),1,1,"")</f>
        <v>1</v>
      </c>
    </row>
    <row r="84" spans="1:21" ht="15">
      <c r="A84" s="65" t="s">
        <v>209</v>
      </c>
      <c r="B84" s="65" t="s">
        <v>283</v>
      </c>
      <c r="C84" s="66" t="s">
        <v>572</v>
      </c>
      <c r="D84" s="67">
        <v>3</v>
      </c>
      <c r="E84" s="68"/>
      <c r="F84" s="69">
        <v>40</v>
      </c>
      <c r="G84" s="66"/>
      <c r="H84" s="70"/>
      <c r="I84" s="71"/>
      <c r="J84" s="71"/>
      <c r="K84" s="35" t="s">
        <v>65</v>
      </c>
      <c r="L84" s="79">
        <v>84</v>
      </c>
      <c r="M84" s="79"/>
      <c r="N84" s="73"/>
      <c r="O84" s="81" t="s">
        <v>305</v>
      </c>
      <c r="P84" s="83">
        <v>43637.70050925926</v>
      </c>
      <c r="Q84" s="81">
        <v>5</v>
      </c>
      <c r="R84" s="81">
        <v>0</v>
      </c>
      <c r="S84">
        <v>1</v>
      </c>
      <c r="T84" s="80" t="str">
        <f>REPLACE(INDEX(GroupVertices[Group],MATCH("~"&amp;Edges[[#This Row],[Vertex 1]],GroupVertices[Vertex],0)),1,1,"")</f>
        <v>1</v>
      </c>
      <c r="U84" s="80" t="str">
        <f>REPLACE(INDEX(GroupVertices[Group],MATCH("~"&amp;Edges[[#This Row],[Vertex 2]],GroupVertices[Vertex],0)),1,1,"")</f>
        <v>1</v>
      </c>
    </row>
    <row r="85" spans="1:21" ht="15">
      <c r="A85" s="65" t="s">
        <v>200</v>
      </c>
      <c r="B85" s="65" t="s">
        <v>209</v>
      </c>
      <c r="C85" s="66" t="s">
        <v>572</v>
      </c>
      <c r="D85" s="67">
        <v>3</v>
      </c>
      <c r="E85" s="68"/>
      <c r="F85" s="69">
        <v>40</v>
      </c>
      <c r="G85" s="66"/>
      <c r="H85" s="70"/>
      <c r="I85" s="71"/>
      <c r="J85" s="71"/>
      <c r="K85" s="35" t="s">
        <v>66</v>
      </c>
      <c r="L85" s="79">
        <v>85</v>
      </c>
      <c r="M85" s="79"/>
      <c r="N85" s="73"/>
      <c r="O85" s="81" t="s">
        <v>305</v>
      </c>
      <c r="P85" s="83">
        <v>43691.61211805556</v>
      </c>
      <c r="Q85" s="81">
        <v>338</v>
      </c>
      <c r="R85" s="81">
        <v>0</v>
      </c>
      <c r="S85">
        <v>1</v>
      </c>
      <c r="T85" s="80" t="str">
        <f>REPLACE(INDEX(GroupVertices[Group],MATCH("~"&amp;Edges[[#This Row],[Vertex 1]],GroupVertices[Vertex],0)),1,1,"")</f>
        <v>1</v>
      </c>
      <c r="U85" s="80" t="str">
        <f>REPLACE(INDEX(GroupVertices[Group],MATCH("~"&amp;Edges[[#This Row],[Vertex 2]],GroupVertices[Vertex],0)),1,1,"")</f>
        <v>1</v>
      </c>
    </row>
    <row r="86" spans="1:21" ht="15">
      <c r="A86" s="65" t="s">
        <v>209</v>
      </c>
      <c r="B86" s="65" t="s">
        <v>200</v>
      </c>
      <c r="C86" s="66" t="s">
        <v>572</v>
      </c>
      <c r="D86" s="67">
        <v>3</v>
      </c>
      <c r="E86" s="68"/>
      <c r="F86" s="69">
        <v>40</v>
      </c>
      <c r="G86" s="66"/>
      <c r="H86" s="70"/>
      <c r="I86" s="71"/>
      <c r="J86" s="71"/>
      <c r="K86" s="35" t="s">
        <v>66</v>
      </c>
      <c r="L86" s="79">
        <v>86</v>
      </c>
      <c r="M86" s="79"/>
      <c r="N86" s="73"/>
      <c r="O86" s="81" t="s">
        <v>305</v>
      </c>
      <c r="P86" s="83">
        <v>43689.613599537035</v>
      </c>
      <c r="Q86" s="81">
        <v>4</v>
      </c>
      <c r="R86" s="81">
        <v>0</v>
      </c>
      <c r="S86">
        <v>1</v>
      </c>
      <c r="T86" s="80" t="str">
        <f>REPLACE(INDEX(GroupVertices[Group],MATCH("~"&amp;Edges[[#This Row],[Vertex 1]],GroupVertices[Vertex],0)),1,1,"")</f>
        <v>1</v>
      </c>
      <c r="U86" s="80" t="str">
        <f>REPLACE(INDEX(GroupVertices[Group],MATCH("~"&amp;Edges[[#This Row],[Vertex 2]],GroupVertices[Vertex],0)),1,1,"")</f>
        <v>1</v>
      </c>
    </row>
    <row r="87" spans="1:21" ht="15">
      <c r="A87" s="65" t="s">
        <v>209</v>
      </c>
      <c r="B87" s="65" t="s">
        <v>284</v>
      </c>
      <c r="C87" s="66" t="s">
        <v>572</v>
      </c>
      <c r="D87" s="67">
        <v>3</v>
      </c>
      <c r="E87" s="68"/>
      <c r="F87" s="69">
        <v>40</v>
      </c>
      <c r="G87" s="66"/>
      <c r="H87" s="70"/>
      <c r="I87" s="71"/>
      <c r="J87" s="71"/>
      <c r="K87" s="35" t="s">
        <v>65</v>
      </c>
      <c r="L87" s="79">
        <v>87</v>
      </c>
      <c r="M87" s="79"/>
      <c r="N87" s="73"/>
      <c r="O87" s="81" t="s">
        <v>305</v>
      </c>
      <c r="P87" s="83">
        <v>43650.88177083333</v>
      </c>
      <c r="Q87" s="81">
        <v>10</v>
      </c>
      <c r="R87" s="81">
        <v>0</v>
      </c>
      <c r="S87">
        <v>1</v>
      </c>
      <c r="T87" s="80" t="str">
        <f>REPLACE(INDEX(GroupVertices[Group],MATCH("~"&amp;Edges[[#This Row],[Vertex 1]],GroupVertices[Vertex],0)),1,1,"")</f>
        <v>1</v>
      </c>
      <c r="U87" s="80" t="str">
        <f>REPLACE(INDEX(GroupVertices[Group],MATCH("~"&amp;Edges[[#This Row],[Vertex 2]],GroupVertices[Vertex],0)),1,1,"")</f>
        <v>1</v>
      </c>
    </row>
    <row r="88" spans="1:21" ht="15">
      <c r="A88" s="65" t="s">
        <v>209</v>
      </c>
      <c r="B88" s="65" t="s">
        <v>285</v>
      </c>
      <c r="C88" s="66" t="s">
        <v>572</v>
      </c>
      <c r="D88" s="67">
        <v>3</v>
      </c>
      <c r="E88" s="68"/>
      <c r="F88" s="69">
        <v>40</v>
      </c>
      <c r="G88" s="66"/>
      <c r="H88" s="70"/>
      <c r="I88" s="71"/>
      <c r="J88" s="71"/>
      <c r="K88" s="35" t="s">
        <v>65</v>
      </c>
      <c r="L88" s="79">
        <v>88</v>
      </c>
      <c r="M88" s="79"/>
      <c r="N88" s="73"/>
      <c r="O88" s="81" t="s">
        <v>305</v>
      </c>
      <c r="P88" s="83">
        <v>43637.72641203704</v>
      </c>
      <c r="Q88" s="81">
        <v>94</v>
      </c>
      <c r="R88" s="81">
        <v>0</v>
      </c>
      <c r="S88">
        <v>1</v>
      </c>
      <c r="T88" s="80" t="str">
        <f>REPLACE(INDEX(GroupVertices[Group],MATCH("~"&amp;Edges[[#This Row],[Vertex 1]],GroupVertices[Vertex],0)),1,1,"")</f>
        <v>1</v>
      </c>
      <c r="U88" s="80" t="str">
        <f>REPLACE(INDEX(GroupVertices[Group],MATCH("~"&amp;Edges[[#This Row],[Vertex 2]],GroupVertices[Vertex],0)),1,1,"")</f>
        <v>1</v>
      </c>
    </row>
    <row r="89" spans="1:21" ht="15">
      <c r="A89" s="65" t="s">
        <v>209</v>
      </c>
      <c r="B89" s="65" t="s">
        <v>286</v>
      </c>
      <c r="C89" s="66" t="s">
        <v>572</v>
      </c>
      <c r="D89" s="67">
        <v>3</v>
      </c>
      <c r="E89" s="68"/>
      <c r="F89" s="69">
        <v>40</v>
      </c>
      <c r="G89" s="66"/>
      <c r="H89" s="70"/>
      <c r="I89" s="71"/>
      <c r="J89" s="71"/>
      <c r="K89" s="35" t="s">
        <v>65</v>
      </c>
      <c r="L89" s="79">
        <v>89</v>
      </c>
      <c r="M89" s="79"/>
      <c r="N89" s="73"/>
      <c r="O89" s="81" t="s">
        <v>305</v>
      </c>
      <c r="P89" s="83">
        <v>43627.82806712963</v>
      </c>
      <c r="Q89" s="81">
        <v>34</v>
      </c>
      <c r="R89" s="81">
        <v>0</v>
      </c>
      <c r="S89">
        <v>1</v>
      </c>
      <c r="T89" s="80" t="str">
        <f>REPLACE(INDEX(GroupVertices[Group],MATCH("~"&amp;Edges[[#This Row],[Vertex 1]],GroupVertices[Vertex],0)),1,1,"")</f>
        <v>1</v>
      </c>
      <c r="U89" s="80" t="str">
        <f>REPLACE(INDEX(GroupVertices[Group],MATCH("~"&amp;Edges[[#This Row],[Vertex 2]],GroupVertices[Vertex],0)),1,1,"")</f>
        <v>1</v>
      </c>
    </row>
    <row r="90" spans="1:21" ht="15">
      <c r="A90" s="65" t="s">
        <v>209</v>
      </c>
      <c r="B90" s="65" t="s">
        <v>287</v>
      </c>
      <c r="C90" s="66" t="s">
        <v>572</v>
      </c>
      <c r="D90" s="67">
        <v>3</v>
      </c>
      <c r="E90" s="68"/>
      <c r="F90" s="69">
        <v>40</v>
      </c>
      <c r="G90" s="66"/>
      <c r="H90" s="70"/>
      <c r="I90" s="71"/>
      <c r="J90" s="71"/>
      <c r="K90" s="35" t="s">
        <v>65</v>
      </c>
      <c r="L90" s="79">
        <v>90</v>
      </c>
      <c r="M90" s="79"/>
      <c r="N90" s="73"/>
      <c r="O90" s="81" t="s">
        <v>305</v>
      </c>
      <c r="P90" s="83">
        <v>43650.862175925926</v>
      </c>
      <c r="Q90" s="81">
        <v>11</v>
      </c>
      <c r="R90" s="81">
        <v>0</v>
      </c>
      <c r="S90">
        <v>1</v>
      </c>
      <c r="T90" s="80" t="str">
        <f>REPLACE(INDEX(GroupVertices[Group],MATCH("~"&amp;Edges[[#This Row],[Vertex 1]],GroupVertices[Vertex],0)),1,1,"")</f>
        <v>1</v>
      </c>
      <c r="U90" s="80" t="str">
        <f>REPLACE(INDEX(GroupVertices[Group],MATCH("~"&amp;Edges[[#This Row],[Vertex 2]],GroupVertices[Vertex],0)),1,1,"")</f>
        <v>1</v>
      </c>
    </row>
    <row r="91" spans="1:21" ht="15">
      <c r="A91" s="65" t="s">
        <v>209</v>
      </c>
      <c r="B91" s="65" t="s">
        <v>288</v>
      </c>
      <c r="C91" s="66" t="s">
        <v>572</v>
      </c>
      <c r="D91" s="67">
        <v>3</v>
      </c>
      <c r="E91" s="68"/>
      <c r="F91" s="69">
        <v>40</v>
      </c>
      <c r="G91" s="66"/>
      <c r="H91" s="70"/>
      <c r="I91" s="71"/>
      <c r="J91" s="71"/>
      <c r="K91" s="35" t="s">
        <v>65</v>
      </c>
      <c r="L91" s="79">
        <v>91</v>
      </c>
      <c r="M91" s="79"/>
      <c r="N91" s="73"/>
      <c r="O91" s="81" t="s">
        <v>305</v>
      </c>
      <c r="P91" s="83">
        <v>43637.730405092596</v>
      </c>
      <c r="Q91" s="81">
        <v>8</v>
      </c>
      <c r="R91" s="81">
        <v>0</v>
      </c>
      <c r="S91">
        <v>1</v>
      </c>
      <c r="T91" s="80" t="str">
        <f>REPLACE(INDEX(GroupVertices[Group],MATCH("~"&amp;Edges[[#This Row],[Vertex 1]],GroupVertices[Vertex],0)),1,1,"")</f>
        <v>1</v>
      </c>
      <c r="U91" s="80" t="str">
        <f>REPLACE(INDEX(GroupVertices[Group],MATCH("~"&amp;Edges[[#This Row],[Vertex 2]],GroupVertices[Vertex],0)),1,1,"")</f>
        <v>1</v>
      </c>
    </row>
    <row r="92" spans="1:21" ht="15">
      <c r="A92" s="65" t="s">
        <v>209</v>
      </c>
      <c r="B92" s="65" t="s">
        <v>289</v>
      </c>
      <c r="C92" s="66" t="s">
        <v>572</v>
      </c>
      <c r="D92" s="67">
        <v>3</v>
      </c>
      <c r="E92" s="68"/>
      <c r="F92" s="69">
        <v>40</v>
      </c>
      <c r="G92" s="66"/>
      <c r="H92" s="70"/>
      <c r="I92" s="71"/>
      <c r="J92" s="71"/>
      <c r="K92" s="35" t="s">
        <v>65</v>
      </c>
      <c r="L92" s="79">
        <v>92</v>
      </c>
      <c r="M92" s="79"/>
      <c r="N92" s="73"/>
      <c r="O92" s="81" t="s">
        <v>305</v>
      </c>
      <c r="P92" s="83">
        <v>43637.727488425924</v>
      </c>
      <c r="Q92" s="81">
        <v>27</v>
      </c>
      <c r="R92" s="81">
        <v>0</v>
      </c>
      <c r="S92">
        <v>1</v>
      </c>
      <c r="T92" s="80" t="str">
        <f>REPLACE(INDEX(GroupVertices[Group],MATCH("~"&amp;Edges[[#This Row],[Vertex 1]],GroupVertices[Vertex],0)),1,1,"")</f>
        <v>1</v>
      </c>
      <c r="U92" s="80" t="str">
        <f>REPLACE(INDEX(GroupVertices[Group],MATCH("~"&amp;Edges[[#This Row],[Vertex 2]],GroupVertices[Vertex],0)),1,1,"")</f>
        <v>1</v>
      </c>
    </row>
    <row r="93" spans="1:21" ht="15">
      <c r="A93" s="65" t="s">
        <v>209</v>
      </c>
      <c r="B93" s="65" t="s">
        <v>201</v>
      </c>
      <c r="C93" s="66" t="s">
        <v>572</v>
      </c>
      <c r="D93" s="67">
        <v>3</v>
      </c>
      <c r="E93" s="68"/>
      <c r="F93" s="69">
        <v>40</v>
      </c>
      <c r="G93" s="66"/>
      <c r="H93" s="70"/>
      <c r="I93" s="71"/>
      <c r="J93" s="71"/>
      <c r="K93" s="35" t="s">
        <v>65</v>
      </c>
      <c r="L93" s="79">
        <v>93</v>
      </c>
      <c r="M93" s="79"/>
      <c r="N93" s="73"/>
      <c r="O93" s="81" t="s">
        <v>305</v>
      </c>
      <c r="P93" s="83">
        <v>43650.865798611114</v>
      </c>
      <c r="Q93" s="81">
        <v>9</v>
      </c>
      <c r="R93" s="81">
        <v>0</v>
      </c>
      <c r="S93">
        <v>1</v>
      </c>
      <c r="T93" s="80" t="str">
        <f>REPLACE(INDEX(GroupVertices[Group],MATCH("~"&amp;Edges[[#This Row],[Vertex 1]],GroupVertices[Vertex],0)),1,1,"")</f>
        <v>1</v>
      </c>
      <c r="U93" s="80" t="str">
        <f>REPLACE(INDEX(GroupVertices[Group],MATCH("~"&amp;Edges[[#This Row],[Vertex 2]],GroupVertices[Vertex],0)),1,1,"")</f>
        <v>9</v>
      </c>
    </row>
    <row r="94" spans="1:21" ht="15">
      <c r="A94" s="65" t="s">
        <v>209</v>
      </c>
      <c r="B94" s="65" t="s">
        <v>290</v>
      </c>
      <c r="C94" s="66" t="s">
        <v>572</v>
      </c>
      <c r="D94" s="67">
        <v>3</v>
      </c>
      <c r="E94" s="68"/>
      <c r="F94" s="69">
        <v>40</v>
      </c>
      <c r="G94" s="66"/>
      <c r="H94" s="70"/>
      <c r="I94" s="71"/>
      <c r="J94" s="71"/>
      <c r="K94" s="35" t="s">
        <v>65</v>
      </c>
      <c r="L94" s="79">
        <v>94</v>
      </c>
      <c r="M94" s="79"/>
      <c r="N94" s="73"/>
      <c r="O94" s="81" t="s">
        <v>305</v>
      </c>
      <c r="P94" s="83">
        <v>45307.87400462963</v>
      </c>
      <c r="Q94" s="81">
        <v>29</v>
      </c>
      <c r="R94" s="81">
        <v>0</v>
      </c>
      <c r="S94">
        <v>1</v>
      </c>
      <c r="T94" s="80" t="str">
        <f>REPLACE(INDEX(GroupVertices[Group],MATCH("~"&amp;Edges[[#This Row],[Vertex 1]],GroupVertices[Vertex],0)),1,1,"")</f>
        <v>1</v>
      </c>
      <c r="U94" s="80" t="str">
        <f>REPLACE(INDEX(GroupVertices[Group],MATCH("~"&amp;Edges[[#This Row],[Vertex 2]],GroupVertices[Vertex],0)),1,1,"")</f>
        <v>1</v>
      </c>
    </row>
    <row r="95" spans="1:21" ht="15">
      <c r="A95" s="65" t="s">
        <v>209</v>
      </c>
      <c r="B95" s="65" t="s">
        <v>291</v>
      </c>
      <c r="C95" s="66" t="s">
        <v>572</v>
      </c>
      <c r="D95" s="67">
        <v>3</v>
      </c>
      <c r="E95" s="68"/>
      <c r="F95" s="69">
        <v>40</v>
      </c>
      <c r="G95" s="66"/>
      <c r="H95" s="70"/>
      <c r="I95" s="71"/>
      <c r="J95" s="71"/>
      <c r="K95" s="35" t="s">
        <v>65</v>
      </c>
      <c r="L95" s="79">
        <v>95</v>
      </c>
      <c r="M95" s="79"/>
      <c r="N95" s="73"/>
      <c r="O95" s="81" t="s">
        <v>305</v>
      </c>
      <c r="P95" s="83">
        <v>43661.71612268518</v>
      </c>
      <c r="Q95" s="81">
        <v>76</v>
      </c>
      <c r="R95" s="81">
        <v>0</v>
      </c>
      <c r="S95">
        <v>1</v>
      </c>
      <c r="T95" s="80" t="str">
        <f>REPLACE(INDEX(GroupVertices[Group],MATCH("~"&amp;Edges[[#This Row],[Vertex 1]],GroupVertices[Vertex],0)),1,1,"")</f>
        <v>1</v>
      </c>
      <c r="U95" s="80" t="str">
        <f>REPLACE(INDEX(GroupVertices[Group],MATCH("~"&amp;Edges[[#This Row],[Vertex 2]],GroupVertices[Vertex],0)),1,1,"")</f>
        <v>1</v>
      </c>
    </row>
    <row r="96" spans="1:21" ht="15">
      <c r="A96" s="65" t="s">
        <v>209</v>
      </c>
      <c r="B96" s="65" t="s">
        <v>202</v>
      </c>
      <c r="C96" s="66" t="s">
        <v>572</v>
      </c>
      <c r="D96" s="67">
        <v>3</v>
      </c>
      <c r="E96" s="68"/>
      <c r="F96" s="69">
        <v>40</v>
      </c>
      <c r="G96" s="66"/>
      <c r="H96" s="70"/>
      <c r="I96" s="71"/>
      <c r="J96" s="71"/>
      <c r="K96" s="35" t="s">
        <v>65</v>
      </c>
      <c r="L96" s="79">
        <v>96</v>
      </c>
      <c r="M96" s="79"/>
      <c r="N96" s="73"/>
      <c r="O96" s="81" t="s">
        <v>305</v>
      </c>
      <c r="P96" s="83">
        <v>43650.877337962964</v>
      </c>
      <c r="Q96" s="81">
        <v>698</v>
      </c>
      <c r="R96" s="81">
        <v>0</v>
      </c>
      <c r="S96">
        <v>1</v>
      </c>
      <c r="T96" s="80" t="str">
        <f>REPLACE(INDEX(GroupVertices[Group],MATCH("~"&amp;Edges[[#This Row],[Vertex 1]],GroupVertices[Vertex],0)),1,1,"")</f>
        <v>1</v>
      </c>
      <c r="U96" s="80" t="str">
        <f>REPLACE(INDEX(GroupVertices[Group],MATCH("~"&amp;Edges[[#This Row],[Vertex 2]],GroupVertices[Vertex],0)),1,1,"")</f>
        <v>3</v>
      </c>
    </row>
    <row r="97" spans="1:21" ht="15">
      <c r="A97" s="65" t="s">
        <v>205</v>
      </c>
      <c r="B97" s="65" t="s">
        <v>292</v>
      </c>
      <c r="C97" s="66" t="s">
        <v>572</v>
      </c>
      <c r="D97" s="67">
        <v>3</v>
      </c>
      <c r="E97" s="68"/>
      <c r="F97" s="69">
        <v>40</v>
      </c>
      <c r="G97" s="66"/>
      <c r="H97" s="70"/>
      <c r="I97" s="71"/>
      <c r="J97" s="71"/>
      <c r="K97" s="35" t="s">
        <v>65</v>
      </c>
      <c r="L97" s="79">
        <v>97</v>
      </c>
      <c r="M97" s="79"/>
      <c r="N97" s="73"/>
      <c r="O97" s="81" t="s">
        <v>305</v>
      </c>
      <c r="P97" s="83">
        <v>41662.66070601852</v>
      </c>
      <c r="Q97" s="81">
        <v>855</v>
      </c>
      <c r="R97" s="81">
        <v>0</v>
      </c>
      <c r="S97">
        <v>1</v>
      </c>
      <c r="T97" s="80" t="str">
        <f>REPLACE(INDEX(GroupVertices[Group],MATCH("~"&amp;Edges[[#This Row],[Vertex 1]],GroupVertices[Vertex],0)),1,1,"")</f>
        <v>2</v>
      </c>
      <c r="U97" s="80" t="str">
        <f>REPLACE(INDEX(GroupVertices[Group],MATCH("~"&amp;Edges[[#This Row],[Vertex 2]],GroupVertices[Vertex],0)),1,1,"")</f>
        <v>4</v>
      </c>
    </row>
    <row r="98" spans="1:21" ht="15">
      <c r="A98" s="65" t="s">
        <v>206</v>
      </c>
      <c r="B98" s="65" t="s">
        <v>292</v>
      </c>
      <c r="C98" s="66" t="s">
        <v>572</v>
      </c>
      <c r="D98" s="67">
        <v>3</v>
      </c>
      <c r="E98" s="68"/>
      <c r="F98" s="69">
        <v>40</v>
      </c>
      <c r="G98" s="66"/>
      <c r="H98" s="70"/>
      <c r="I98" s="71"/>
      <c r="J98" s="71"/>
      <c r="K98" s="35" t="s">
        <v>65</v>
      </c>
      <c r="L98" s="79">
        <v>98</v>
      </c>
      <c r="M98" s="79"/>
      <c r="N98" s="73"/>
      <c r="O98" s="81" t="s">
        <v>305</v>
      </c>
      <c r="P98" s="83">
        <v>42986.859872685185</v>
      </c>
      <c r="Q98" s="81">
        <v>855</v>
      </c>
      <c r="R98" s="81">
        <v>0</v>
      </c>
      <c r="S98">
        <v>1</v>
      </c>
      <c r="T98" s="80" t="str">
        <f>REPLACE(INDEX(GroupVertices[Group],MATCH("~"&amp;Edges[[#This Row],[Vertex 1]],GroupVertices[Vertex],0)),1,1,"")</f>
        <v>4</v>
      </c>
      <c r="U98" s="80" t="str">
        <f>REPLACE(INDEX(GroupVertices[Group],MATCH("~"&amp;Edges[[#This Row],[Vertex 2]],GroupVertices[Vertex],0)),1,1,"")</f>
        <v>4</v>
      </c>
    </row>
    <row r="99" spans="1:21" ht="15">
      <c r="A99" s="65" t="s">
        <v>209</v>
      </c>
      <c r="B99" s="65" t="s">
        <v>292</v>
      </c>
      <c r="C99" s="66" t="s">
        <v>572</v>
      </c>
      <c r="D99" s="67">
        <v>3</v>
      </c>
      <c r="E99" s="68"/>
      <c r="F99" s="69">
        <v>40</v>
      </c>
      <c r="G99" s="66"/>
      <c r="H99" s="70"/>
      <c r="I99" s="71"/>
      <c r="J99" s="71"/>
      <c r="K99" s="35" t="s">
        <v>65</v>
      </c>
      <c r="L99" s="79">
        <v>99</v>
      </c>
      <c r="M99" s="79"/>
      <c r="N99" s="73"/>
      <c r="O99" s="81" t="s">
        <v>305</v>
      </c>
      <c r="P99" s="83">
        <v>43683.834375</v>
      </c>
      <c r="Q99" s="81">
        <v>855</v>
      </c>
      <c r="R99" s="81">
        <v>0</v>
      </c>
      <c r="S99">
        <v>1</v>
      </c>
      <c r="T99" s="80" t="str">
        <f>REPLACE(INDEX(GroupVertices[Group],MATCH("~"&amp;Edges[[#This Row],[Vertex 1]],GroupVertices[Vertex],0)),1,1,"")</f>
        <v>1</v>
      </c>
      <c r="U99" s="80" t="str">
        <f>REPLACE(INDEX(GroupVertices[Group],MATCH("~"&amp;Edges[[#This Row],[Vertex 2]],GroupVertices[Vertex],0)),1,1,"")</f>
        <v>4</v>
      </c>
    </row>
    <row r="100" spans="1:21" ht="15">
      <c r="A100" s="65" t="s">
        <v>209</v>
      </c>
      <c r="B100" s="65" t="s">
        <v>293</v>
      </c>
      <c r="C100" s="66" t="s">
        <v>572</v>
      </c>
      <c r="D100" s="67">
        <v>3</v>
      </c>
      <c r="E100" s="68"/>
      <c r="F100" s="69">
        <v>40</v>
      </c>
      <c r="G100" s="66"/>
      <c r="H100" s="70"/>
      <c r="I100" s="71"/>
      <c r="J100" s="71"/>
      <c r="K100" s="35" t="s">
        <v>65</v>
      </c>
      <c r="L100" s="79">
        <v>100</v>
      </c>
      <c r="M100" s="79"/>
      <c r="N100" s="73"/>
      <c r="O100" s="81" t="s">
        <v>305</v>
      </c>
      <c r="P100" s="83">
        <v>43650.86601851852</v>
      </c>
      <c r="Q100" s="81">
        <v>4</v>
      </c>
      <c r="R100" s="81">
        <v>0</v>
      </c>
      <c r="S100">
        <v>1</v>
      </c>
      <c r="T100" s="80" t="str">
        <f>REPLACE(INDEX(GroupVertices[Group],MATCH("~"&amp;Edges[[#This Row],[Vertex 1]],GroupVertices[Vertex],0)),1,1,"")</f>
        <v>1</v>
      </c>
      <c r="U100" s="80" t="str">
        <f>REPLACE(INDEX(GroupVertices[Group],MATCH("~"&amp;Edges[[#This Row],[Vertex 2]],GroupVertices[Vertex],0)),1,1,"")</f>
        <v>1</v>
      </c>
    </row>
    <row r="101" spans="1:21" ht="15">
      <c r="A101" s="65" t="s">
        <v>209</v>
      </c>
      <c r="B101" s="65" t="s">
        <v>294</v>
      </c>
      <c r="C101" s="66" t="s">
        <v>572</v>
      </c>
      <c r="D101" s="67">
        <v>3</v>
      </c>
      <c r="E101" s="68"/>
      <c r="F101" s="69">
        <v>40</v>
      </c>
      <c r="G101" s="66"/>
      <c r="H101" s="70"/>
      <c r="I101" s="71"/>
      <c r="J101" s="71"/>
      <c r="K101" s="35" t="s">
        <v>65</v>
      </c>
      <c r="L101" s="79">
        <v>101</v>
      </c>
      <c r="M101" s="79"/>
      <c r="N101" s="73"/>
      <c r="O101" s="81" t="s">
        <v>305</v>
      </c>
      <c r="P101" s="83">
        <v>43621.68372685185</v>
      </c>
      <c r="Q101" s="81">
        <v>14</v>
      </c>
      <c r="R101" s="81">
        <v>0</v>
      </c>
      <c r="S101">
        <v>1</v>
      </c>
      <c r="T101" s="80" t="str">
        <f>REPLACE(INDEX(GroupVertices[Group],MATCH("~"&amp;Edges[[#This Row],[Vertex 1]],GroupVertices[Vertex],0)),1,1,"")</f>
        <v>1</v>
      </c>
      <c r="U101" s="80" t="str">
        <f>REPLACE(INDEX(GroupVertices[Group],MATCH("~"&amp;Edges[[#This Row],[Vertex 2]],GroupVertices[Vertex],0)),1,1,"")</f>
        <v>1</v>
      </c>
    </row>
    <row r="102" spans="1:21" ht="15">
      <c r="A102" s="65" t="s">
        <v>209</v>
      </c>
      <c r="B102" s="65" t="s">
        <v>203</v>
      </c>
      <c r="C102" s="66" t="s">
        <v>572</v>
      </c>
      <c r="D102" s="67">
        <v>3</v>
      </c>
      <c r="E102" s="68"/>
      <c r="F102" s="69">
        <v>40</v>
      </c>
      <c r="G102" s="66"/>
      <c r="H102" s="70"/>
      <c r="I102" s="71"/>
      <c r="J102" s="71"/>
      <c r="K102" s="35" t="s">
        <v>65</v>
      </c>
      <c r="L102" s="79">
        <v>102</v>
      </c>
      <c r="M102" s="79"/>
      <c r="N102" s="73"/>
      <c r="O102" s="81" t="s">
        <v>305</v>
      </c>
      <c r="P102" s="83">
        <v>43621.683958333335</v>
      </c>
      <c r="Q102" s="81">
        <v>8</v>
      </c>
      <c r="R102" s="81">
        <v>0</v>
      </c>
      <c r="S102">
        <v>1</v>
      </c>
      <c r="T102" s="80" t="str">
        <f>REPLACE(INDEX(GroupVertices[Group],MATCH("~"&amp;Edges[[#This Row],[Vertex 1]],GroupVertices[Vertex],0)),1,1,"")</f>
        <v>1</v>
      </c>
      <c r="U102" s="80" t="str">
        <f>REPLACE(INDEX(GroupVertices[Group],MATCH("~"&amp;Edges[[#This Row],[Vertex 2]],GroupVertices[Vertex],0)),1,1,"")</f>
        <v>1</v>
      </c>
    </row>
    <row r="103" spans="1:21" ht="15">
      <c r="A103" s="65" t="s">
        <v>209</v>
      </c>
      <c r="B103" s="65" t="s">
        <v>295</v>
      </c>
      <c r="C103" s="66" t="s">
        <v>572</v>
      </c>
      <c r="D103" s="67">
        <v>3</v>
      </c>
      <c r="E103" s="68"/>
      <c r="F103" s="69">
        <v>40</v>
      </c>
      <c r="G103" s="66"/>
      <c r="H103" s="70"/>
      <c r="I103" s="71"/>
      <c r="J103" s="71"/>
      <c r="K103" s="35" t="s">
        <v>65</v>
      </c>
      <c r="L103" s="79">
        <v>103</v>
      </c>
      <c r="M103" s="79"/>
      <c r="N103" s="73"/>
      <c r="O103" s="81" t="s">
        <v>305</v>
      </c>
      <c r="P103" s="83">
        <v>45267.833865740744</v>
      </c>
      <c r="Q103" s="81">
        <v>146</v>
      </c>
      <c r="R103" s="81">
        <v>0</v>
      </c>
      <c r="S103">
        <v>1</v>
      </c>
      <c r="T103" s="80" t="str">
        <f>REPLACE(INDEX(GroupVertices[Group],MATCH("~"&amp;Edges[[#This Row],[Vertex 1]],GroupVertices[Vertex],0)),1,1,"")</f>
        <v>1</v>
      </c>
      <c r="U103" s="80" t="str">
        <f>REPLACE(INDEX(GroupVertices[Group],MATCH("~"&amp;Edges[[#This Row],[Vertex 2]],GroupVertices[Vertex],0)),1,1,"")</f>
        <v>1</v>
      </c>
    </row>
    <row r="104" spans="1:21" ht="15">
      <c r="A104" s="65" t="s">
        <v>204</v>
      </c>
      <c r="B104" s="65" t="s">
        <v>209</v>
      </c>
      <c r="C104" s="66" t="s">
        <v>572</v>
      </c>
      <c r="D104" s="67">
        <v>3</v>
      </c>
      <c r="E104" s="68"/>
      <c r="F104" s="69">
        <v>40</v>
      </c>
      <c r="G104" s="66"/>
      <c r="H104" s="70"/>
      <c r="I104" s="71"/>
      <c r="J104" s="71"/>
      <c r="K104" s="35" t="s">
        <v>66</v>
      </c>
      <c r="L104" s="79">
        <v>104</v>
      </c>
      <c r="M104" s="79"/>
      <c r="N104" s="73"/>
      <c r="O104" s="81" t="s">
        <v>305</v>
      </c>
      <c r="P104" s="83">
        <v>42972.974282407406</v>
      </c>
      <c r="Q104" s="81">
        <v>338</v>
      </c>
      <c r="R104" s="81">
        <v>0</v>
      </c>
      <c r="S104">
        <v>1</v>
      </c>
      <c r="T104" s="80" t="str">
        <f>REPLACE(INDEX(GroupVertices[Group],MATCH("~"&amp;Edges[[#This Row],[Vertex 1]],GroupVertices[Vertex],0)),1,1,"")</f>
        <v>8</v>
      </c>
      <c r="U104" s="80" t="str">
        <f>REPLACE(INDEX(GroupVertices[Group],MATCH("~"&amp;Edges[[#This Row],[Vertex 2]],GroupVertices[Vertex],0)),1,1,"")</f>
        <v>1</v>
      </c>
    </row>
    <row r="105" spans="1:21" ht="15">
      <c r="A105" s="65" t="s">
        <v>209</v>
      </c>
      <c r="B105" s="65" t="s">
        <v>204</v>
      </c>
      <c r="C105" s="66" t="s">
        <v>572</v>
      </c>
      <c r="D105" s="67">
        <v>3</v>
      </c>
      <c r="E105" s="68"/>
      <c r="F105" s="69">
        <v>40</v>
      </c>
      <c r="G105" s="66"/>
      <c r="H105" s="70"/>
      <c r="I105" s="71"/>
      <c r="J105" s="71"/>
      <c r="K105" s="35" t="s">
        <v>66</v>
      </c>
      <c r="L105" s="79">
        <v>105</v>
      </c>
      <c r="M105" s="79"/>
      <c r="N105" s="73"/>
      <c r="O105" s="81" t="s">
        <v>305</v>
      </c>
      <c r="P105" s="83">
        <v>43697.87086805556</v>
      </c>
      <c r="Q105" s="81">
        <v>19</v>
      </c>
      <c r="R105" s="81">
        <v>0</v>
      </c>
      <c r="S105">
        <v>1</v>
      </c>
      <c r="T105" s="80" t="str">
        <f>REPLACE(INDEX(GroupVertices[Group],MATCH("~"&amp;Edges[[#This Row],[Vertex 1]],GroupVertices[Vertex],0)),1,1,"")</f>
        <v>1</v>
      </c>
      <c r="U105" s="80" t="str">
        <f>REPLACE(INDEX(GroupVertices[Group],MATCH("~"&amp;Edges[[#This Row],[Vertex 2]],GroupVertices[Vertex],0)),1,1,"")</f>
        <v>8</v>
      </c>
    </row>
    <row r="106" spans="1:21" ht="15">
      <c r="A106" s="65" t="s">
        <v>209</v>
      </c>
      <c r="B106" s="65" t="s">
        <v>296</v>
      </c>
      <c r="C106" s="66" t="s">
        <v>572</v>
      </c>
      <c r="D106" s="67">
        <v>3</v>
      </c>
      <c r="E106" s="68"/>
      <c r="F106" s="69">
        <v>40</v>
      </c>
      <c r="G106" s="66"/>
      <c r="H106" s="70"/>
      <c r="I106" s="71"/>
      <c r="J106" s="71"/>
      <c r="K106" s="35" t="s">
        <v>65</v>
      </c>
      <c r="L106" s="79">
        <v>106</v>
      </c>
      <c r="M106" s="79"/>
      <c r="N106" s="73"/>
      <c r="O106" s="81" t="s">
        <v>305</v>
      </c>
      <c r="P106" s="83">
        <v>45267.7634837963</v>
      </c>
      <c r="Q106" s="81">
        <v>101</v>
      </c>
      <c r="R106" s="81">
        <v>0</v>
      </c>
      <c r="S106">
        <v>1</v>
      </c>
      <c r="T106" s="80" t="str">
        <f>REPLACE(INDEX(GroupVertices[Group],MATCH("~"&amp;Edges[[#This Row],[Vertex 1]],GroupVertices[Vertex],0)),1,1,"")</f>
        <v>1</v>
      </c>
      <c r="U106" s="80" t="str">
        <f>REPLACE(INDEX(GroupVertices[Group],MATCH("~"&amp;Edges[[#This Row],[Vertex 2]],GroupVertices[Vertex],0)),1,1,"")</f>
        <v>1</v>
      </c>
    </row>
    <row r="107" spans="1:21" ht="15">
      <c r="A107" s="65" t="s">
        <v>209</v>
      </c>
      <c r="B107" s="65" t="s">
        <v>297</v>
      </c>
      <c r="C107" s="66" t="s">
        <v>572</v>
      </c>
      <c r="D107" s="67">
        <v>3</v>
      </c>
      <c r="E107" s="68"/>
      <c r="F107" s="69">
        <v>40</v>
      </c>
      <c r="G107" s="66"/>
      <c r="H107" s="70"/>
      <c r="I107" s="71"/>
      <c r="J107" s="71"/>
      <c r="K107" s="35" t="s">
        <v>65</v>
      </c>
      <c r="L107" s="79">
        <v>107</v>
      </c>
      <c r="M107" s="79"/>
      <c r="N107" s="73"/>
      <c r="O107" s="81" t="s">
        <v>305</v>
      </c>
      <c r="P107" s="83">
        <v>43685.83244212963</v>
      </c>
      <c r="Q107" s="81">
        <v>11</v>
      </c>
      <c r="R107" s="81">
        <v>0</v>
      </c>
      <c r="S107">
        <v>1</v>
      </c>
      <c r="T107" s="80" t="str">
        <f>REPLACE(INDEX(GroupVertices[Group],MATCH("~"&amp;Edges[[#This Row],[Vertex 1]],GroupVertices[Vertex],0)),1,1,"")</f>
        <v>1</v>
      </c>
      <c r="U107" s="80" t="str">
        <f>REPLACE(INDEX(GroupVertices[Group],MATCH("~"&amp;Edges[[#This Row],[Vertex 2]],GroupVertices[Vertex],0)),1,1,"")</f>
        <v>1</v>
      </c>
    </row>
    <row r="108" spans="1:21" ht="15">
      <c r="A108" s="65" t="s">
        <v>209</v>
      </c>
      <c r="B108" s="65" t="s">
        <v>298</v>
      </c>
      <c r="C108" s="66" t="s">
        <v>572</v>
      </c>
      <c r="D108" s="67">
        <v>3</v>
      </c>
      <c r="E108" s="68"/>
      <c r="F108" s="69">
        <v>40</v>
      </c>
      <c r="G108" s="66"/>
      <c r="H108" s="70"/>
      <c r="I108" s="71"/>
      <c r="J108" s="71"/>
      <c r="K108" s="35" t="s">
        <v>65</v>
      </c>
      <c r="L108" s="79">
        <v>108</v>
      </c>
      <c r="M108" s="79"/>
      <c r="N108" s="73"/>
      <c r="O108" s="81" t="s">
        <v>305</v>
      </c>
      <c r="P108" s="83">
        <v>43686.6828125</v>
      </c>
      <c r="Q108" s="81">
        <v>63</v>
      </c>
      <c r="R108" s="81">
        <v>0</v>
      </c>
      <c r="S108">
        <v>1</v>
      </c>
      <c r="T108" s="80" t="str">
        <f>REPLACE(INDEX(GroupVertices[Group],MATCH("~"&amp;Edges[[#This Row],[Vertex 1]],GroupVertices[Vertex],0)),1,1,"")</f>
        <v>1</v>
      </c>
      <c r="U108" s="80" t="str">
        <f>REPLACE(INDEX(GroupVertices[Group],MATCH("~"&amp;Edges[[#This Row],[Vertex 2]],GroupVertices[Vertex],0)),1,1,"")</f>
        <v>1</v>
      </c>
    </row>
    <row r="109" spans="1:21" ht="15">
      <c r="A109" s="65" t="s">
        <v>209</v>
      </c>
      <c r="B109" s="65" t="s">
        <v>299</v>
      </c>
      <c r="C109" s="66" t="s">
        <v>572</v>
      </c>
      <c r="D109" s="67">
        <v>3</v>
      </c>
      <c r="E109" s="68"/>
      <c r="F109" s="69">
        <v>40</v>
      </c>
      <c r="G109" s="66"/>
      <c r="H109" s="70"/>
      <c r="I109" s="71"/>
      <c r="J109" s="71"/>
      <c r="K109" s="35" t="s">
        <v>65</v>
      </c>
      <c r="L109" s="79">
        <v>109</v>
      </c>
      <c r="M109" s="79"/>
      <c r="N109" s="73"/>
      <c r="O109" s="81" t="s">
        <v>305</v>
      </c>
      <c r="P109" s="83">
        <v>43650.87457175926</v>
      </c>
      <c r="Q109" s="81">
        <v>10</v>
      </c>
      <c r="R109" s="81">
        <v>0</v>
      </c>
      <c r="S109">
        <v>1</v>
      </c>
      <c r="T109" s="80" t="str">
        <f>REPLACE(INDEX(GroupVertices[Group],MATCH("~"&amp;Edges[[#This Row],[Vertex 1]],GroupVertices[Vertex],0)),1,1,"")</f>
        <v>1</v>
      </c>
      <c r="U109" s="80" t="str">
        <f>REPLACE(INDEX(GroupVertices[Group],MATCH("~"&amp;Edges[[#This Row],[Vertex 2]],GroupVertices[Vertex],0)),1,1,"")</f>
        <v>1</v>
      </c>
    </row>
    <row r="110" spans="1:21" ht="15">
      <c r="A110" s="65" t="s">
        <v>209</v>
      </c>
      <c r="B110" s="65" t="s">
        <v>300</v>
      </c>
      <c r="C110" s="66" t="s">
        <v>572</v>
      </c>
      <c r="D110" s="67">
        <v>3</v>
      </c>
      <c r="E110" s="68"/>
      <c r="F110" s="69">
        <v>40</v>
      </c>
      <c r="G110" s="66"/>
      <c r="H110" s="70"/>
      <c r="I110" s="71"/>
      <c r="J110" s="71"/>
      <c r="K110" s="35" t="s">
        <v>65</v>
      </c>
      <c r="L110" s="79">
        <v>110</v>
      </c>
      <c r="M110" s="79"/>
      <c r="N110" s="73"/>
      <c r="O110" s="81" t="s">
        <v>305</v>
      </c>
      <c r="P110" s="83">
        <v>43628.72079861111</v>
      </c>
      <c r="Q110" s="81">
        <v>13</v>
      </c>
      <c r="R110" s="81">
        <v>0</v>
      </c>
      <c r="S110">
        <v>1</v>
      </c>
      <c r="T110" s="80" t="str">
        <f>REPLACE(INDEX(GroupVertices[Group],MATCH("~"&amp;Edges[[#This Row],[Vertex 1]],GroupVertices[Vertex],0)),1,1,"")</f>
        <v>1</v>
      </c>
      <c r="U110" s="80" t="str">
        <f>REPLACE(INDEX(GroupVertices[Group],MATCH("~"&amp;Edges[[#This Row],[Vertex 2]],GroupVertices[Vertex],0)),1,1,"")</f>
        <v>1</v>
      </c>
    </row>
    <row r="111" spans="1:21" ht="15">
      <c r="A111" s="65" t="s">
        <v>209</v>
      </c>
      <c r="B111" s="65" t="s">
        <v>301</v>
      </c>
      <c r="C111" s="66" t="s">
        <v>572</v>
      </c>
      <c r="D111" s="67">
        <v>3</v>
      </c>
      <c r="E111" s="68"/>
      <c r="F111" s="69">
        <v>40</v>
      </c>
      <c r="G111" s="66"/>
      <c r="H111" s="70"/>
      <c r="I111" s="71"/>
      <c r="J111" s="71"/>
      <c r="K111" s="35" t="s">
        <v>65</v>
      </c>
      <c r="L111" s="79">
        <v>111</v>
      </c>
      <c r="M111" s="79"/>
      <c r="N111" s="73"/>
      <c r="O111" s="81" t="s">
        <v>305</v>
      </c>
      <c r="P111" s="83">
        <v>43663.66956018518</v>
      </c>
      <c r="Q111" s="81">
        <v>4</v>
      </c>
      <c r="R111" s="81">
        <v>0</v>
      </c>
      <c r="S111">
        <v>1</v>
      </c>
      <c r="T111" s="80" t="str">
        <f>REPLACE(INDEX(GroupVertices[Group],MATCH("~"&amp;Edges[[#This Row],[Vertex 1]],GroupVertices[Vertex],0)),1,1,"")</f>
        <v>1</v>
      </c>
      <c r="U111" s="80" t="str">
        <f>REPLACE(INDEX(GroupVertices[Group],MATCH("~"&amp;Edges[[#This Row],[Vertex 2]],GroupVertices[Vertex],0)),1,1,"")</f>
        <v>1</v>
      </c>
    </row>
    <row r="112" spans="1:21" ht="15">
      <c r="A112" s="65" t="s">
        <v>209</v>
      </c>
      <c r="B112" s="65" t="s">
        <v>302</v>
      </c>
      <c r="C112" s="66" t="s">
        <v>572</v>
      </c>
      <c r="D112" s="67">
        <v>3</v>
      </c>
      <c r="E112" s="68"/>
      <c r="F112" s="69">
        <v>40</v>
      </c>
      <c r="G112" s="66"/>
      <c r="H112" s="70"/>
      <c r="I112" s="71"/>
      <c r="J112" s="71"/>
      <c r="K112" s="35" t="s">
        <v>65</v>
      </c>
      <c r="L112" s="79">
        <v>112</v>
      </c>
      <c r="M112" s="79"/>
      <c r="N112" s="73"/>
      <c r="O112" s="81" t="s">
        <v>305</v>
      </c>
      <c r="P112" s="83">
        <v>43650.869618055556</v>
      </c>
      <c r="Q112" s="81">
        <v>15</v>
      </c>
      <c r="R112" s="81">
        <v>0</v>
      </c>
      <c r="S112">
        <v>1</v>
      </c>
      <c r="T112" s="80" t="str">
        <f>REPLACE(INDEX(GroupVertices[Group],MATCH("~"&amp;Edges[[#This Row],[Vertex 1]],GroupVertices[Vertex],0)),1,1,"")</f>
        <v>1</v>
      </c>
      <c r="U112" s="80" t="str">
        <f>REPLACE(INDEX(GroupVertices[Group],MATCH("~"&amp;Edges[[#This Row],[Vertex 2]],GroupVertices[Vertex],0)),1,1,"")</f>
        <v>1</v>
      </c>
    </row>
    <row r="113" spans="1:21" ht="15">
      <c r="A113" s="65" t="s">
        <v>209</v>
      </c>
      <c r="B113" s="65" t="s">
        <v>205</v>
      </c>
      <c r="C113" s="66" t="s">
        <v>572</v>
      </c>
      <c r="D113" s="67">
        <v>3</v>
      </c>
      <c r="E113" s="68"/>
      <c r="F113" s="69">
        <v>40</v>
      </c>
      <c r="G113" s="66"/>
      <c r="H113" s="70"/>
      <c r="I113" s="71"/>
      <c r="J113" s="71"/>
      <c r="K113" s="35" t="s">
        <v>65</v>
      </c>
      <c r="L113" s="79">
        <v>113</v>
      </c>
      <c r="M113" s="79"/>
      <c r="N113" s="73"/>
      <c r="O113" s="81" t="s">
        <v>305</v>
      </c>
      <c r="P113" s="83">
        <v>43385.611597222225</v>
      </c>
      <c r="Q113" s="81">
        <v>509</v>
      </c>
      <c r="R113" s="81">
        <v>0</v>
      </c>
      <c r="S113">
        <v>1</v>
      </c>
      <c r="T113" s="80" t="str">
        <f>REPLACE(INDEX(GroupVertices[Group],MATCH("~"&amp;Edges[[#This Row],[Vertex 1]],GroupVertices[Vertex],0)),1,1,"")</f>
        <v>1</v>
      </c>
      <c r="U113" s="80" t="str">
        <f>REPLACE(INDEX(GroupVertices[Group],MATCH("~"&amp;Edges[[#This Row],[Vertex 2]],GroupVertices[Vertex],0)),1,1,"")</f>
        <v>2</v>
      </c>
    </row>
    <row r="114" spans="1:21" ht="15">
      <c r="A114" s="65" t="s">
        <v>206</v>
      </c>
      <c r="B114" s="65" t="s">
        <v>209</v>
      </c>
      <c r="C114" s="66" t="s">
        <v>572</v>
      </c>
      <c r="D114" s="67">
        <v>3</v>
      </c>
      <c r="E114" s="68"/>
      <c r="F114" s="69">
        <v>40</v>
      </c>
      <c r="G114" s="66"/>
      <c r="H114" s="70"/>
      <c r="I114" s="71"/>
      <c r="J114" s="71"/>
      <c r="K114" s="35" t="s">
        <v>66</v>
      </c>
      <c r="L114" s="79">
        <v>114</v>
      </c>
      <c r="M114" s="79"/>
      <c r="N114" s="73"/>
      <c r="O114" s="81" t="s">
        <v>305</v>
      </c>
      <c r="P114" s="83">
        <v>44608.611226851855</v>
      </c>
      <c r="Q114" s="81">
        <v>338</v>
      </c>
      <c r="R114" s="81">
        <v>0</v>
      </c>
      <c r="S114">
        <v>1</v>
      </c>
      <c r="T114" s="80" t="str">
        <f>REPLACE(INDEX(GroupVertices[Group],MATCH("~"&amp;Edges[[#This Row],[Vertex 1]],GroupVertices[Vertex],0)),1,1,"")</f>
        <v>4</v>
      </c>
      <c r="U114" s="80" t="str">
        <f>REPLACE(INDEX(GroupVertices[Group],MATCH("~"&amp;Edges[[#This Row],[Vertex 2]],GroupVertices[Vertex],0)),1,1,"")</f>
        <v>1</v>
      </c>
    </row>
    <row r="115" spans="1:21" ht="15">
      <c r="A115" s="65" t="s">
        <v>209</v>
      </c>
      <c r="B115" s="65" t="s">
        <v>206</v>
      </c>
      <c r="C115" s="66" t="s">
        <v>572</v>
      </c>
      <c r="D115" s="67">
        <v>3</v>
      </c>
      <c r="E115" s="68"/>
      <c r="F115" s="69">
        <v>40</v>
      </c>
      <c r="G115" s="66"/>
      <c r="H115" s="70"/>
      <c r="I115" s="71"/>
      <c r="J115" s="71"/>
      <c r="K115" s="35" t="s">
        <v>66</v>
      </c>
      <c r="L115" s="79">
        <v>115</v>
      </c>
      <c r="M115" s="79"/>
      <c r="N115" s="73"/>
      <c r="O115" s="81" t="s">
        <v>305</v>
      </c>
      <c r="P115" s="83">
        <v>44628.8737962963</v>
      </c>
      <c r="Q115" s="81">
        <v>448</v>
      </c>
      <c r="R115" s="81">
        <v>0</v>
      </c>
      <c r="S115">
        <v>1</v>
      </c>
      <c r="T115" s="80" t="str">
        <f>REPLACE(INDEX(GroupVertices[Group],MATCH("~"&amp;Edges[[#This Row],[Vertex 1]],GroupVertices[Vertex],0)),1,1,"")</f>
        <v>1</v>
      </c>
      <c r="U115" s="80" t="str">
        <f>REPLACE(INDEX(GroupVertices[Group],MATCH("~"&amp;Edges[[#This Row],[Vertex 2]],GroupVertices[Vertex],0)),1,1,"")</f>
        <v>4</v>
      </c>
    </row>
    <row r="116" spans="1:21" ht="15">
      <c r="A116" s="65" t="s">
        <v>209</v>
      </c>
      <c r="B116" s="65" t="s">
        <v>207</v>
      </c>
      <c r="C116" s="66" t="s">
        <v>572</v>
      </c>
      <c r="D116" s="67">
        <v>3</v>
      </c>
      <c r="E116" s="68"/>
      <c r="F116" s="69">
        <v>40</v>
      </c>
      <c r="G116" s="66"/>
      <c r="H116" s="70"/>
      <c r="I116" s="71"/>
      <c r="J116" s="71"/>
      <c r="K116" s="35" t="s">
        <v>65</v>
      </c>
      <c r="L116" s="79">
        <v>116</v>
      </c>
      <c r="M116" s="79"/>
      <c r="N116" s="73"/>
      <c r="O116" s="81" t="s">
        <v>305</v>
      </c>
      <c r="P116" s="83">
        <v>43637.72744212963</v>
      </c>
      <c r="Q116" s="81">
        <v>14</v>
      </c>
      <c r="R116" s="81">
        <v>0</v>
      </c>
      <c r="S116">
        <v>1</v>
      </c>
      <c r="T116" s="80" t="str">
        <f>REPLACE(INDEX(GroupVertices[Group],MATCH("~"&amp;Edges[[#This Row],[Vertex 1]],GroupVertices[Vertex],0)),1,1,"")</f>
        <v>1</v>
      </c>
      <c r="U116" s="80" t="str">
        <f>REPLACE(INDEX(GroupVertices[Group],MATCH("~"&amp;Edges[[#This Row],[Vertex 2]],GroupVertices[Vertex],0)),1,1,"")</f>
        <v>6</v>
      </c>
    </row>
    <row r="117" spans="1:21" ht="15">
      <c r="A117" s="65" t="s">
        <v>209</v>
      </c>
      <c r="B117" s="65" t="s">
        <v>208</v>
      </c>
      <c r="C117" s="66" t="s">
        <v>572</v>
      </c>
      <c r="D117" s="67">
        <v>3</v>
      </c>
      <c r="E117" s="68"/>
      <c r="F117" s="69">
        <v>40</v>
      </c>
      <c r="G117" s="66"/>
      <c r="H117" s="70"/>
      <c r="I117" s="71"/>
      <c r="J117" s="71"/>
      <c r="K117" s="35" t="s">
        <v>65</v>
      </c>
      <c r="L117" s="79">
        <v>117</v>
      </c>
      <c r="M117" s="79"/>
      <c r="N117" s="73"/>
      <c r="O117" s="81" t="s">
        <v>305</v>
      </c>
      <c r="P117" s="83">
        <v>43685.708865740744</v>
      </c>
      <c r="Q117" s="81">
        <v>17</v>
      </c>
      <c r="R117" s="81">
        <v>0</v>
      </c>
      <c r="S117">
        <v>1</v>
      </c>
      <c r="T117" s="80" t="str">
        <f>REPLACE(INDEX(GroupVertices[Group],MATCH("~"&amp;Edges[[#This Row],[Vertex 1]],GroupVertices[Vertex],0)),1,1,"")</f>
        <v>1</v>
      </c>
      <c r="U117" s="80" t="str">
        <f>REPLACE(INDEX(GroupVertices[Group],MATCH("~"&amp;Edges[[#This Row],[Vertex 2]],GroupVertices[Vertex],0)),1,1,"")</f>
        <v>5</v>
      </c>
    </row>
    <row r="118" spans="1:21" ht="15">
      <c r="A118" s="65" t="s">
        <v>209</v>
      </c>
      <c r="B118" s="65" t="s">
        <v>303</v>
      </c>
      <c r="C118" s="66" t="s">
        <v>572</v>
      </c>
      <c r="D118" s="67">
        <v>3</v>
      </c>
      <c r="E118" s="68"/>
      <c r="F118" s="69">
        <v>40</v>
      </c>
      <c r="G118" s="66"/>
      <c r="H118" s="70"/>
      <c r="I118" s="71"/>
      <c r="J118" s="71"/>
      <c r="K118" s="35" t="s">
        <v>65</v>
      </c>
      <c r="L118" s="79">
        <v>118</v>
      </c>
      <c r="M118" s="79"/>
      <c r="N118" s="73"/>
      <c r="O118" s="81" t="s">
        <v>305</v>
      </c>
      <c r="P118" s="83">
        <v>45274.89790509259</v>
      </c>
      <c r="Q118" s="81">
        <v>4</v>
      </c>
      <c r="R118" s="81">
        <v>0</v>
      </c>
      <c r="S118">
        <v>1</v>
      </c>
      <c r="T118" s="80" t="str">
        <f>REPLACE(INDEX(GroupVertices[Group],MATCH("~"&amp;Edges[[#This Row],[Vertex 1]],GroupVertices[Vertex],0)),1,1,"")</f>
        <v>1</v>
      </c>
      <c r="U118" s="8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FAD0-B52E-4D03-957E-6F79A6B720C9}">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566</v>
      </c>
      <c r="B2" s="108" t="s">
        <v>567</v>
      </c>
      <c r="C2" s="54" t="s">
        <v>568</v>
      </c>
    </row>
    <row r="3" spans="1:3" ht="15">
      <c r="A3" s="107" t="s">
        <v>545</v>
      </c>
      <c r="B3" s="107" t="s">
        <v>545</v>
      </c>
      <c r="C3" s="35">
        <v>35</v>
      </c>
    </row>
    <row r="4" spans="1:3" ht="15">
      <c r="A4" s="107" t="s">
        <v>545</v>
      </c>
      <c r="B4" s="107" t="s">
        <v>546</v>
      </c>
      <c r="C4" s="35">
        <v>1</v>
      </c>
    </row>
    <row r="5" spans="1:3" ht="15">
      <c r="A5" s="107" t="s">
        <v>545</v>
      </c>
      <c r="B5" s="107" t="s">
        <v>547</v>
      </c>
      <c r="C5" s="35">
        <v>1</v>
      </c>
    </row>
    <row r="6" spans="1:3" ht="15">
      <c r="A6" s="107" t="s">
        <v>545</v>
      </c>
      <c r="B6" s="107" t="s">
        <v>548</v>
      </c>
      <c r="C6" s="35">
        <v>2</v>
      </c>
    </row>
    <row r="7" spans="1:3" ht="15">
      <c r="A7" s="107" t="s">
        <v>545</v>
      </c>
      <c r="B7" s="107" t="s">
        <v>549</v>
      </c>
      <c r="C7" s="35">
        <v>1</v>
      </c>
    </row>
    <row r="8" spans="1:3" ht="15">
      <c r="A8" s="107" t="s">
        <v>545</v>
      </c>
      <c r="B8" s="107" t="s">
        <v>550</v>
      </c>
      <c r="C8" s="35">
        <v>1</v>
      </c>
    </row>
    <row r="9" spans="1:3" ht="15">
      <c r="A9" s="107" t="s">
        <v>545</v>
      </c>
      <c r="B9" s="107" t="s">
        <v>551</v>
      </c>
      <c r="C9" s="35">
        <v>1</v>
      </c>
    </row>
    <row r="10" spans="1:3" ht="15">
      <c r="A10" s="107" t="s">
        <v>545</v>
      </c>
      <c r="B10" s="107" t="s">
        <v>552</v>
      </c>
      <c r="C10" s="35">
        <v>1</v>
      </c>
    </row>
    <row r="11" spans="1:3" ht="15">
      <c r="A11" s="107" t="s">
        <v>545</v>
      </c>
      <c r="B11" s="107" t="s">
        <v>553</v>
      </c>
      <c r="C11" s="35">
        <v>1</v>
      </c>
    </row>
    <row r="12" spans="1:3" ht="15">
      <c r="A12" s="107" t="s">
        <v>546</v>
      </c>
      <c r="B12" s="107" t="s">
        <v>546</v>
      </c>
      <c r="C12" s="35">
        <v>18</v>
      </c>
    </row>
    <row r="13" spans="1:3" ht="15">
      <c r="A13" s="107" t="s">
        <v>546</v>
      </c>
      <c r="B13" s="107" t="s">
        <v>547</v>
      </c>
      <c r="C13" s="35">
        <v>1</v>
      </c>
    </row>
    <row r="14" spans="1:3" ht="15">
      <c r="A14" s="107" t="s">
        <v>546</v>
      </c>
      <c r="B14" s="107" t="s">
        <v>548</v>
      </c>
      <c r="C14" s="35">
        <v>3</v>
      </c>
    </row>
    <row r="15" spans="1:3" ht="15">
      <c r="A15" s="107" t="s">
        <v>546</v>
      </c>
      <c r="B15" s="107" t="s">
        <v>551</v>
      </c>
      <c r="C15" s="35">
        <v>2</v>
      </c>
    </row>
    <row r="16" spans="1:3" ht="15">
      <c r="A16" s="107" t="s">
        <v>547</v>
      </c>
      <c r="B16" s="107" t="s">
        <v>547</v>
      </c>
      <c r="C16" s="35">
        <v>13</v>
      </c>
    </row>
    <row r="17" spans="1:3" ht="15">
      <c r="A17" s="107" t="s">
        <v>548</v>
      </c>
      <c r="B17" s="107" t="s">
        <v>545</v>
      </c>
      <c r="C17" s="35">
        <v>1</v>
      </c>
    </row>
    <row r="18" spans="1:3" ht="15">
      <c r="A18" s="107" t="s">
        <v>548</v>
      </c>
      <c r="B18" s="107" t="s">
        <v>548</v>
      </c>
      <c r="C18" s="35">
        <v>11</v>
      </c>
    </row>
    <row r="19" spans="1:3" ht="15">
      <c r="A19" s="107" t="s">
        <v>548</v>
      </c>
      <c r="B19" s="107" t="s">
        <v>551</v>
      </c>
      <c r="C19" s="35">
        <v>1</v>
      </c>
    </row>
    <row r="20" spans="1:3" ht="15">
      <c r="A20" s="107" t="s">
        <v>549</v>
      </c>
      <c r="B20" s="107" t="s">
        <v>549</v>
      </c>
      <c r="C20" s="35">
        <v>6</v>
      </c>
    </row>
    <row r="21" spans="1:3" ht="15">
      <c r="A21" s="107" t="s">
        <v>550</v>
      </c>
      <c r="B21" s="107" t="s">
        <v>550</v>
      </c>
      <c r="C21" s="35">
        <v>5</v>
      </c>
    </row>
    <row r="22" spans="1:3" ht="15">
      <c r="A22" s="107" t="s">
        <v>551</v>
      </c>
      <c r="B22" s="107" t="s">
        <v>551</v>
      </c>
      <c r="C22" s="35">
        <v>5</v>
      </c>
    </row>
    <row r="23" spans="1:3" ht="15">
      <c r="A23" s="107" t="s">
        <v>552</v>
      </c>
      <c r="B23" s="107" t="s">
        <v>545</v>
      </c>
      <c r="C23" s="35">
        <v>1</v>
      </c>
    </row>
    <row r="24" spans="1:3" ht="15">
      <c r="A24" s="107" t="s">
        <v>552</v>
      </c>
      <c r="B24" s="107" t="s">
        <v>552</v>
      </c>
      <c r="C24" s="35">
        <v>3</v>
      </c>
    </row>
    <row r="25" spans="1:3" ht="15">
      <c r="A25" s="107" t="s">
        <v>553</v>
      </c>
      <c r="B25" s="107" t="s">
        <v>553</v>
      </c>
      <c r="C25" s="3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8"/>
  <sheetViews>
    <sheetView workbookViewId="0" topLeftCell="A1">
      <pane xSplit="1" ySplit="2" topLeftCell="B3" activePane="bottomRight" state="frozen"/>
      <selection pane="topRight" activeCell="B1" sqref="B1"/>
      <selection pane="bottomLeft" activeCell="A3" sqref="A3"/>
      <selection pane="bottomRight" activeCell="A2" sqref="A2:A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563</v>
      </c>
      <c r="AI2" s="3"/>
      <c r="AJ2" s="3"/>
    </row>
    <row r="3" spans="1:36" ht="15" customHeight="1">
      <c r="A3" s="65" t="s">
        <v>209</v>
      </c>
      <c r="B3" s="66"/>
      <c r="C3" s="66"/>
      <c r="D3" s="67">
        <v>70</v>
      </c>
      <c r="E3" s="69"/>
      <c r="F3" s="99" t="str">
        <f>HYPERLINK("https://yt3.ggpht.com/ytc/AIf8zZQONqiD4Nhg-cAu3Ocfk_ga8pJkTm-59qq9r-1H1Q=s88-c-k-c0x00ffffff-no-rj")</f>
        <v>https://yt3.ggpht.com/ytc/AIf8zZQONqiD4Nhg-cAu3Ocfk_ga8pJkTm-59qq9r-1H1Q=s88-c-k-c0x00ffffff-no-rj</v>
      </c>
      <c r="G3" s="66"/>
      <c r="H3" s="70" t="s">
        <v>384</v>
      </c>
      <c r="I3" s="71"/>
      <c r="J3" s="71" t="s">
        <v>159</v>
      </c>
      <c r="K3" s="70" t="s">
        <v>384</v>
      </c>
      <c r="L3" s="74">
        <v>9999</v>
      </c>
      <c r="M3" s="75">
        <v>4800.9580078125</v>
      </c>
      <c r="N3" s="75">
        <v>5569.87158203125</v>
      </c>
      <c r="O3" s="76"/>
      <c r="P3" s="77"/>
      <c r="Q3" s="77"/>
      <c r="R3" s="84"/>
      <c r="S3" s="49">
        <v>3</v>
      </c>
      <c r="T3" s="49">
        <v>41</v>
      </c>
      <c r="U3" s="50">
        <v>9143.109524</v>
      </c>
      <c r="V3" s="50">
        <v>0.621302</v>
      </c>
      <c r="W3" s="50">
        <v>0.630477</v>
      </c>
      <c r="X3" s="50">
        <v>0.049482</v>
      </c>
      <c r="Y3" s="50">
        <v>0.0012195121951219512</v>
      </c>
      <c r="Z3" s="50">
        <v>0.07317073170731707</v>
      </c>
      <c r="AA3" s="72">
        <v>77</v>
      </c>
      <c r="AB3" s="72"/>
      <c r="AC3" s="73"/>
      <c r="AD3" s="80" t="s">
        <v>310</v>
      </c>
      <c r="AE3" s="98" t="str">
        <f>HYPERLINK("http://www.youtube.com/channel/UC-htisi9TeqdRkTTpNtznrg")</f>
        <v>http://www.youtube.com/channel/UC-htisi9TeqdRkTTpNtznrg</v>
      </c>
      <c r="AF3" s="80" t="s">
        <v>384</v>
      </c>
      <c r="AG3" s="80" t="s">
        <v>479</v>
      </c>
      <c r="AH3" s="80" t="str">
        <f>REPLACE(INDEX(GroupVertices[Group],MATCH("~"&amp;Vertices[[#This Row],[Vertex]],GroupVertices[Vertex],0)),1,1,"")</f>
        <v>1</v>
      </c>
      <c r="AI3" s="3"/>
      <c r="AJ3" s="3"/>
    </row>
    <row r="4" spans="1:39" ht="15">
      <c r="A4" s="65" t="s">
        <v>205</v>
      </c>
      <c r="B4" s="66"/>
      <c r="C4" s="66"/>
      <c r="D4" s="67">
        <v>70</v>
      </c>
      <c r="E4" s="69"/>
      <c r="F4" s="99" t="str">
        <f>HYPERLINK("https://yt3.ggpht.com/ytc/AIf8zZQ2BFI3d4p62N0dDkD1vMWIMiM3GbbTd2NQIYK5mw=s88-c-k-c0x00ffffff-no-rj")</f>
        <v>https://yt3.ggpht.com/ytc/AIf8zZQ2BFI3d4p62N0dDkD1vMWIMiM3GbbTd2NQIYK5mw=s88-c-k-c0x00ffffff-no-rj</v>
      </c>
      <c r="G4" s="66"/>
      <c r="H4" s="70" t="s">
        <v>338</v>
      </c>
      <c r="I4" s="71"/>
      <c r="J4" s="71" t="s">
        <v>159</v>
      </c>
      <c r="K4" s="70" t="s">
        <v>338</v>
      </c>
      <c r="L4" s="74">
        <v>1</v>
      </c>
      <c r="M4" s="75">
        <v>2322.03759765625</v>
      </c>
      <c r="N4" s="75">
        <v>4069.1669921875</v>
      </c>
      <c r="O4" s="76"/>
      <c r="P4" s="77"/>
      <c r="Q4" s="77"/>
      <c r="R4" s="84"/>
      <c r="S4" s="49">
        <v>1</v>
      </c>
      <c r="T4" s="49">
        <v>24</v>
      </c>
      <c r="U4" s="50">
        <v>3826.12381</v>
      </c>
      <c r="V4" s="50">
        <v>0.464602</v>
      </c>
      <c r="W4" s="50">
        <v>0.286601</v>
      </c>
      <c r="X4" s="50">
        <v>0.033816</v>
      </c>
      <c r="Y4" s="50">
        <v>0.0016666666666666668</v>
      </c>
      <c r="Z4" s="50">
        <v>0</v>
      </c>
      <c r="AA4" s="72">
        <v>31</v>
      </c>
      <c r="AB4" s="72"/>
      <c r="AC4" s="73"/>
      <c r="AD4" s="80" t="s">
        <v>310</v>
      </c>
      <c r="AE4" s="98" t="str">
        <f>HYPERLINK("http://www.youtube.com/channel/UC6K5qD2KWFY8saNG0QpEWtQ")</f>
        <v>http://www.youtube.com/channel/UC6K5qD2KWFY8saNG0QpEWtQ</v>
      </c>
      <c r="AF4" s="80" t="s">
        <v>338</v>
      </c>
      <c r="AG4" s="80" t="s">
        <v>438</v>
      </c>
      <c r="AH4" s="80" t="str">
        <f>REPLACE(INDEX(GroupVertices[Group],MATCH("~"&amp;Vertices[[#This Row],[Vertex]],GroupVertices[Vertex],0)),1,1,"")</f>
        <v>2</v>
      </c>
      <c r="AI4" s="2"/>
      <c r="AJ4" s="3"/>
      <c r="AK4" s="3"/>
      <c r="AL4" s="3"/>
      <c r="AM4" s="3"/>
    </row>
    <row r="5" spans="1:39" ht="15">
      <c r="A5" s="65" t="s">
        <v>202</v>
      </c>
      <c r="B5" s="66"/>
      <c r="C5" s="66"/>
      <c r="D5" s="67">
        <v>70</v>
      </c>
      <c r="E5" s="69"/>
      <c r="F5" s="99" t="str">
        <f>HYPERLINK("https://yt3.ggpht.com/5Clz4J_vZuSmDUh3TsM-W4H58TKRJoStBAE87pHNUEWMWJiwHbmHOhldpoOvmhH6qLYIyfkL6g=s88-c-k-c0x00ffffff-no-rj")</f>
        <v>https://yt3.ggpht.com/5Clz4J_vZuSmDUh3TsM-W4H58TKRJoStBAE87pHNUEWMWJiwHbmHOhldpoOvmhH6qLYIyfkL6g=s88-c-k-c0x00ffffff-no-rj</v>
      </c>
      <c r="G5" s="66"/>
      <c r="H5" s="70" t="s">
        <v>319</v>
      </c>
      <c r="I5" s="71"/>
      <c r="J5" s="71" t="s">
        <v>159</v>
      </c>
      <c r="K5" s="70" t="s">
        <v>319</v>
      </c>
      <c r="L5" s="74">
        <v>1</v>
      </c>
      <c r="M5" s="75">
        <v>3432.5146484375</v>
      </c>
      <c r="N5" s="75">
        <v>8372.458984375</v>
      </c>
      <c r="O5" s="76"/>
      <c r="P5" s="77"/>
      <c r="Q5" s="77"/>
      <c r="R5" s="84"/>
      <c r="S5" s="49">
        <v>1</v>
      </c>
      <c r="T5" s="49">
        <v>13</v>
      </c>
      <c r="U5" s="50">
        <v>2424</v>
      </c>
      <c r="V5" s="50">
        <v>0.425101</v>
      </c>
      <c r="W5" s="50">
        <v>0.144876</v>
      </c>
      <c r="X5" s="50">
        <v>0.023728</v>
      </c>
      <c r="Y5" s="50">
        <v>0</v>
      </c>
      <c r="Z5" s="50">
        <v>0</v>
      </c>
      <c r="AA5" s="72">
        <v>12</v>
      </c>
      <c r="AB5" s="72"/>
      <c r="AC5" s="73"/>
      <c r="AD5" s="80" t="s">
        <v>310</v>
      </c>
      <c r="AE5" s="98" t="str">
        <f>HYPERLINK("http://www.youtube.com/channel/UCJ9OBmt5rb2pGzRZeSoYLUA")</f>
        <v>http://www.youtube.com/channel/UCJ9OBmt5rb2pGzRZeSoYLUA</v>
      </c>
      <c r="AF5" s="80" t="s">
        <v>319</v>
      </c>
      <c r="AG5" s="80" t="s">
        <v>423</v>
      </c>
      <c r="AH5" s="80" t="str">
        <f>REPLACE(INDEX(GroupVertices[Group],MATCH("~"&amp;Vertices[[#This Row],[Vertex]],GroupVertices[Vertex],0)),1,1,"")</f>
        <v>3</v>
      </c>
      <c r="AI5" s="2"/>
      <c r="AJ5" s="3"/>
      <c r="AK5" s="3"/>
      <c r="AL5" s="3"/>
      <c r="AM5" s="3"/>
    </row>
    <row r="6" spans="1:39" ht="15">
      <c r="A6" s="65" t="s">
        <v>206</v>
      </c>
      <c r="B6" s="66"/>
      <c r="C6" s="66"/>
      <c r="D6" s="67">
        <v>70</v>
      </c>
      <c r="E6" s="69"/>
      <c r="F6" s="99" t="str">
        <f>HYPERLINK("https://yt3.ggpht.com/zwK4TVUAmR5htfhLUuAsNyXPbh2jSz4UdFRslLATDvdfSDQyvhbxCttpz2TB_fpjvPAFZFx9=s88-c-k-c0x00ffffff-no-rj")</f>
        <v>https://yt3.ggpht.com/zwK4TVUAmR5htfhLUuAsNyXPbh2jSz4UdFRslLATDvdfSDQyvhbxCttpz2TB_fpjvPAFZFx9=s88-c-k-c0x00ffffff-no-rj</v>
      </c>
      <c r="G6" s="66"/>
      <c r="H6" s="70" t="s">
        <v>359</v>
      </c>
      <c r="I6" s="71"/>
      <c r="J6" s="71" t="s">
        <v>159</v>
      </c>
      <c r="K6" s="70" t="s">
        <v>359</v>
      </c>
      <c r="L6" s="74">
        <v>1</v>
      </c>
      <c r="M6" s="75">
        <v>2054.569580078125</v>
      </c>
      <c r="N6" s="75">
        <v>1313.3536376953125</v>
      </c>
      <c r="O6" s="76"/>
      <c r="P6" s="77"/>
      <c r="Q6" s="77"/>
      <c r="R6" s="84"/>
      <c r="S6" s="49">
        <v>1</v>
      </c>
      <c r="T6" s="49">
        <v>13</v>
      </c>
      <c r="U6" s="50">
        <v>1790.9</v>
      </c>
      <c r="V6" s="50">
        <v>0.42</v>
      </c>
      <c r="W6" s="50">
        <v>0.188408</v>
      </c>
      <c r="X6" s="50">
        <v>0.020243</v>
      </c>
      <c r="Y6" s="50">
        <v>0.00641025641025641</v>
      </c>
      <c r="Z6" s="50">
        <v>0.07692307692307693</v>
      </c>
      <c r="AA6" s="72">
        <v>52</v>
      </c>
      <c r="AB6" s="72"/>
      <c r="AC6" s="73"/>
      <c r="AD6" s="80" t="s">
        <v>310</v>
      </c>
      <c r="AE6" s="98" t="str">
        <f>HYPERLINK("http://www.youtube.com/channel/UC54-wrXsb11XOdqWcSi2_XQ")</f>
        <v>http://www.youtube.com/channel/UC54-wrXsb11XOdqWcSi2_XQ</v>
      </c>
      <c r="AF6" s="80" t="s">
        <v>359</v>
      </c>
      <c r="AG6" s="80" t="s">
        <v>458</v>
      </c>
      <c r="AH6" s="80" t="str">
        <f>REPLACE(INDEX(GroupVertices[Group],MATCH("~"&amp;Vertices[[#This Row],[Vertex]],GroupVertices[Vertex],0)),1,1,"")</f>
        <v>4</v>
      </c>
      <c r="AI6" s="2"/>
      <c r="AJ6" s="3"/>
      <c r="AK6" s="3"/>
      <c r="AL6" s="3"/>
      <c r="AM6" s="3"/>
    </row>
    <row r="7" spans="1:39" ht="15">
      <c r="A7" s="65" t="s">
        <v>208</v>
      </c>
      <c r="B7" s="66"/>
      <c r="C7" s="66"/>
      <c r="D7" s="67">
        <v>70</v>
      </c>
      <c r="E7" s="69"/>
      <c r="F7" s="99" t="str">
        <f>HYPERLINK("https://yt3.ggpht.com/ytc/AIf8zZSozwWnGs2Pr_edssVtZz1pMocINZAKoTlgp7RC=s88-c-k-c0x00ffffff-no-rj")</f>
        <v>https://yt3.ggpht.com/ytc/AIf8zZSozwWnGs2Pr_edssVtZz1pMocINZAKoTlgp7RC=s88-c-k-c0x00ffffff-no-rj</v>
      </c>
      <c r="G7" s="66"/>
      <c r="H7" s="70" t="s">
        <v>377</v>
      </c>
      <c r="I7" s="71"/>
      <c r="J7" s="71" t="s">
        <v>159</v>
      </c>
      <c r="K7" s="70" t="s">
        <v>377</v>
      </c>
      <c r="L7" s="74">
        <v>1</v>
      </c>
      <c r="M7" s="75">
        <v>8539.4853515625</v>
      </c>
      <c r="N7" s="75">
        <v>1882.4345703125</v>
      </c>
      <c r="O7" s="76"/>
      <c r="P7" s="77"/>
      <c r="Q7" s="77"/>
      <c r="R7" s="84"/>
      <c r="S7" s="49">
        <v>1</v>
      </c>
      <c r="T7" s="49">
        <v>6</v>
      </c>
      <c r="U7" s="50">
        <v>1218</v>
      </c>
      <c r="V7" s="50">
        <v>0.402299</v>
      </c>
      <c r="W7" s="50">
        <v>0.112192</v>
      </c>
      <c r="X7" s="50">
        <v>0.01572</v>
      </c>
      <c r="Y7" s="50">
        <v>0</v>
      </c>
      <c r="Z7" s="50">
        <v>0</v>
      </c>
      <c r="AA7" s="72">
        <v>70</v>
      </c>
      <c r="AB7" s="72"/>
      <c r="AC7" s="73"/>
      <c r="AD7" s="80" t="s">
        <v>310</v>
      </c>
      <c r="AE7" s="98" t="str">
        <f>HYPERLINK("http://www.youtube.com/channel/UC0U__GzHqCuIPwmmuXjdwtg")</f>
        <v>http://www.youtube.com/channel/UC0U__GzHqCuIPwmmuXjdwtg</v>
      </c>
      <c r="AF7" s="80" t="s">
        <v>377</v>
      </c>
      <c r="AG7" s="80" t="s">
        <v>473</v>
      </c>
      <c r="AH7" s="80" t="str">
        <f>REPLACE(INDEX(GroupVertices[Group],MATCH("~"&amp;Vertices[[#This Row],[Vertex]],GroupVertices[Vertex],0)),1,1,"")</f>
        <v>5</v>
      </c>
      <c r="AI7" s="2"/>
      <c r="AJ7" s="3"/>
      <c r="AK7" s="3"/>
      <c r="AL7" s="3"/>
      <c r="AM7" s="3"/>
    </row>
    <row r="8" spans="1:39" ht="15">
      <c r="A8" s="65" t="s">
        <v>207</v>
      </c>
      <c r="B8" s="66"/>
      <c r="C8" s="66"/>
      <c r="D8" s="67">
        <v>70</v>
      </c>
      <c r="E8" s="69"/>
      <c r="F8" s="99" t="str">
        <f>HYPERLINK("https://yt3.ggpht.com/ytc/AIf8zZTEEYMGBdTiQtwYhIV2tdiGsSVSg_coGZkV-o3rLA=s88-c-k-c0x00ffffff-no-rj")</f>
        <v>https://yt3.ggpht.com/ytc/AIf8zZTEEYMGBdTiQtwYhIV2tdiGsSVSg_coGZkV-o3rLA=s88-c-k-c0x00ffffff-no-rj</v>
      </c>
      <c r="G8" s="66"/>
      <c r="H8" s="70" t="s">
        <v>371</v>
      </c>
      <c r="I8" s="71"/>
      <c r="J8" s="71" t="s">
        <v>159</v>
      </c>
      <c r="K8" s="70" t="s">
        <v>371</v>
      </c>
      <c r="L8" s="74">
        <v>1</v>
      </c>
      <c r="M8" s="75">
        <v>9284.828125</v>
      </c>
      <c r="N8" s="75">
        <v>5865.60107421875</v>
      </c>
      <c r="O8" s="76"/>
      <c r="P8" s="77"/>
      <c r="Q8" s="77"/>
      <c r="R8" s="84"/>
      <c r="S8" s="49">
        <v>1</v>
      </c>
      <c r="T8" s="49">
        <v>5</v>
      </c>
      <c r="U8" s="50">
        <v>1020</v>
      </c>
      <c r="V8" s="50">
        <v>0.39924</v>
      </c>
      <c r="W8" s="50">
        <v>0.109442</v>
      </c>
      <c r="X8" s="50">
        <v>0.014486</v>
      </c>
      <c r="Y8" s="50">
        <v>0</v>
      </c>
      <c r="Z8" s="50">
        <v>0</v>
      </c>
      <c r="AA8" s="72">
        <v>64</v>
      </c>
      <c r="AB8" s="72"/>
      <c r="AC8" s="73"/>
      <c r="AD8" s="80" t="s">
        <v>310</v>
      </c>
      <c r="AE8" s="98" t="str">
        <f>HYPERLINK("http://www.youtube.com/channel/UC1q22y7y2dq2aNfKO_eU6_w")</f>
        <v>http://www.youtube.com/channel/UC1q22y7y2dq2aNfKO_eU6_w</v>
      </c>
      <c r="AF8" s="80" t="s">
        <v>371</v>
      </c>
      <c r="AG8" s="80"/>
      <c r="AH8" s="80" t="str">
        <f>REPLACE(INDEX(GroupVertices[Group],MATCH("~"&amp;Vertices[[#This Row],[Vertex]],GroupVertices[Vertex],0)),1,1,"")</f>
        <v>6</v>
      </c>
      <c r="AI8" s="2"/>
      <c r="AJ8" s="3"/>
      <c r="AK8" s="3"/>
      <c r="AL8" s="3"/>
      <c r="AM8" s="3"/>
    </row>
    <row r="9" spans="1:39" ht="15">
      <c r="A9" s="65" t="s">
        <v>199</v>
      </c>
      <c r="B9" s="66"/>
      <c r="C9" s="66"/>
      <c r="D9" s="67">
        <v>70</v>
      </c>
      <c r="E9" s="69"/>
      <c r="F9" s="99" t="str">
        <f>HYPERLINK("https://yt3.ggpht.com/ytc/AIf8zZR5bUaOSWKct-v5D6MLWS3kyHLoAQM1Kjbp7qwpWw=s88-c-k-c0x00ffffff-no-rj")</f>
        <v>https://yt3.ggpht.com/ytc/AIf8zZR5bUaOSWKct-v5D6MLWS3kyHLoAQM1Kjbp7qwpWw=s88-c-k-c0x00ffffff-no-rj</v>
      </c>
      <c r="G9" s="66"/>
      <c r="H9" s="70" t="s">
        <v>416</v>
      </c>
      <c r="I9" s="71"/>
      <c r="J9" s="71" t="s">
        <v>159</v>
      </c>
      <c r="K9" s="70" t="s">
        <v>416</v>
      </c>
      <c r="L9" s="74">
        <v>1</v>
      </c>
      <c r="M9" s="75">
        <v>4306.58251953125</v>
      </c>
      <c r="N9" s="75">
        <v>956.5596923828125</v>
      </c>
      <c r="O9" s="76"/>
      <c r="P9" s="77"/>
      <c r="Q9" s="77"/>
      <c r="R9" s="49"/>
      <c r="S9" s="49">
        <v>1</v>
      </c>
      <c r="T9" s="49">
        <v>5</v>
      </c>
      <c r="U9" s="50">
        <v>730.97619</v>
      </c>
      <c r="V9" s="50">
        <v>0.39924</v>
      </c>
      <c r="W9" s="50">
        <v>0.128106</v>
      </c>
      <c r="X9" s="50">
        <v>0.013035</v>
      </c>
      <c r="Y9" s="50">
        <v>0</v>
      </c>
      <c r="Z9" s="50">
        <v>0</v>
      </c>
      <c r="AA9" s="72">
        <v>3</v>
      </c>
      <c r="AB9" s="72"/>
      <c r="AC9" s="73"/>
      <c r="AD9" s="80" t="s">
        <v>310</v>
      </c>
      <c r="AE9" s="98" t="str">
        <f>HYPERLINK("http://www.youtube.com/channel/UCkbWev9P2Ax5-dBKjJnHsiw")</f>
        <v>http://www.youtube.com/channel/UCkbWev9P2Ax5-dBKjJnHsiw</v>
      </c>
      <c r="AF9" s="80" t="s">
        <v>416</v>
      </c>
      <c r="AG9" s="80" t="s">
        <v>499</v>
      </c>
      <c r="AH9" s="80" t="str">
        <f>REPLACE(INDEX(GroupVertices[Group],MATCH("~"&amp;Vertices[[#This Row],[Vertex]],GroupVertices[Vertex],0)),1,1,"")</f>
        <v>7</v>
      </c>
      <c r="AI9" s="2"/>
      <c r="AJ9" s="3"/>
      <c r="AK9" s="3"/>
      <c r="AL9" s="3"/>
      <c r="AM9" s="3"/>
    </row>
    <row r="10" spans="1:39" ht="15">
      <c r="A10" s="65" t="s">
        <v>204</v>
      </c>
      <c r="B10" s="66"/>
      <c r="C10" s="66"/>
      <c r="D10" s="67">
        <v>70</v>
      </c>
      <c r="E10" s="69"/>
      <c r="F10" s="99" t="str">
        <f>HYPERLINK("https://yt3.ggpht.com/ytc/AIf8zZTZVerYUcTdqjn1O1hf1wxoPYbu8FDpywh4PwTK=s88-c-k-c0x00ffffff-no-rj")</f>
        <v>https://yt3.ggpht.com/ytc/AIf8zZTZVerYUcTdqjn1O1hf1wxoPYbu8FDpywh4PwTK=s88-c-k-c0x00ffffff-no-rj</v>
      </c>
      <c r="G10" s="66"/>
      <c r="H10" s="70" t="s">
        <v>334</v>
      </c>
      <c r="I10" s="71"/>
      <c r="J10" s="71" t="s">
        <v>159</v>
      </c>
      <c r="K10" s="70" t="s">
        <v>334</v>
      </c>
      <c r="L10" s="74">
        <v>1</v>
      </c>
      <c r="M10" s="75">
        <v>329.05413818359375</v>
      </c>
      <c r="N10" s="75">
        <v>7278.2353515625</v>
      </c>
      <c r="O10" s="76"/>
      <c r="P10" s="77"/>
      <c r="Q10" s="77"/>
      <c r="R10" s="84"/>
      <c r="S10" s="49">
        <v>1</v>
      </c>
      <c r="T10" s="49">
        <v>4</v>
      </c>
      <c r="U10" s="50">
        <v>618</v>
      </c>
      <c r="V10" s="50">
        <v>0.393258</v>
      </c>
      <c r="W10" s="50">
        <v>0.104327</v>
      </c>
      <c r="X10" s="50">
        <v>0.012011</v>
      </c>
      <c r="Y10" s="50">
        <v>0</v>
      </c>
      <c r="Z10" s="50">
        <v>0.25</v>
      </c>
      <c r="AA10" s="72">
        <v>27</v>
      </c>
      <c r="AB10" s="72"/>
      <c r="AC10" s="73"/>
      <c r="AD10" s="80" t="s">
        <v>310</v>
      </c>
      <c r="AE10" s="98" t="str">
        <f>HYPERLINK("http://www.youtube.com/channel/UCCq8NGxzVTVw_PR-ryfNhkQ")</f>
        <v>http://www.youtube.com/channel/UCCq8NGxzVTVw_PR-ryfNhkQ</v>
      </c>
      <c r="AF10" s="80" t="s">
        <v>334</v>
      </c>
      <c r="AG10" s="80" t="s">
        <v>434</v>
      </c>
      <c r="AH10" s="80" t="str">
        <f>REPLACE(INDEX(GroupVertices[Group],MATCH("~"&amp;Vertices[[#This Row],[Vertex]],GroupVertices[Vertex],0)),1,1,"")</f>
        <v>8</v>
      </c>
      <c r="AI10" s="2"/>
      <c r="AJ10" s="3"/>
      <c r="AK10" s="3"/>
      <c r="AL10" s="3"/>
      <c r="AM10" s="3"/>
    </row>
    <row r="11" spans="1:39" ht="15">
      <c r="A11" s="65" t="s">
        <v>201</v>
      </c>
      <c r="B11" s="66"/>
      <c r="C11" s="66"/>
      <c r="D11" s="67">
        <v>70</v>
      </c>
      <c r="E11" s="69"/>
      <c r="F11" s="99" t="str">
        <f>HYPERLINK("https://yt3.ggpht.com/ytc/AIf8zZSKDH0s4TZXOnd_krRmNdt5MZ6Y2njMpSFR7K_M=s88-c-k-c0x00ffffff-no-rj")</f>
        <v>https://yt3.ggpht.com/ytc/AIf8zZSKDH0s4TZXOnd_krRmNdt5MZ6Y2njMpSFR7K_M=s88-c-k-c0x00ffffff-no-rj</v>
      </c>
      <c r="G11" s="66"/>
      <c r="H11" s="70" t="s">
        <v>316</v>
      </c>
      <c r="I11" s="71"/>
      <c r="J11" s="71" t="s">
        <v>159</v>
      </c>
      <c r="K11" s="70" t="s">
        <v>316</v>
      </c>
      <c r="L11" s="74">
        <v>1</v>
      </c>
      <c r="M11" s="75">
        <v>6920.75146484375</v>
      </c>
      <c r="N11" s="75">
        <v>9057.783203125</v>
      </c>
      <c r="O11" s="76"/>
      <c r="P11" s="77"/>
      <c r="Q11" s="77"/>
      <c r="R11" s="84"/>
      <c r="S11" s="49">
        <v>1</v>
      </c>
      <c r="T11" s="49">
        <v>2</v>
      </c>
      <c r="U11" s="50">
        <v>414</v>
      </c>
      <c r="V11" s="50">
        <v>0.390335</v>
      </c>
      <c r="W11" s="50">
        <v>0.101945</v>
      </c>
      <c r="X11" s="50">
        <v>0.010767</v>
      </c>
      <c r="Y11" s="50">
        <v>0</v>
      </c>
      <c r="Z11" s="50">
        <v>0</v>
      </c>
      <c r="AA11" s="72">
        <v>9</v>
      </c>
      <c r="AB11" s="72"/>
      <c r="AC11" s="73"/>
      <c r="AD11" s="80" t="s">
        <v>310</v>
      </c>
      <c r="AE11" s="98" t="str">
        <f>HYPERLINK("http://www.youtube.com/channel/UCNr-CbRKFGlXjb4K0rqgSjw")</f>
        <v>http://www.youtube.com/channel/UCNr-CbRKFGlXjb4K0rqgSjw</v>
      </c>
      <c r="AF11" s="80" t="s">
        <v>316</v>
      </c>
      <c r="AG11" s="80"/>
      <c r="AH11" s="80" t="str">
        <f>REPLACE(INDEX(GroupVertices[Group],MATCH("~"&amp;Vertices[[#This Row],[Vertex]],GroupVertices[Vertex],0)),1,1,"")</f>
        <v>9</v>
      </c>
      <c r="AI11" s="2"/>
      <c r="AJ11" s="3"/>
      <c r="AK11" s="3"/>
      <c r="AL11" s="3"/>
      <c r="AM11" s="3"/>
    </row>
    <row r="12" spans="1:39" ht="15">
      <c r="A12" s="65" t="s">
        <v>233</v>
      </c>
      <c r="B12" s="66"/>
      <c r="C12" s="66"/>
      <c r="D12" s="67">
        <v>70</v>
      </c>
      <c r="E12" s="69"/>
      <c r="F12" s="99" t="str">
        <f>HYPERLINK("https://yt3.ggpht.com/ytc/AIf8zZRWa3-l_1dCBZzu1StrtDgDkbpKmMYLsGPlkeTR=s88-c-k-c0x00ffffff-no-rj")</f>
        <v>https://yt3.ggpht.com/ytc/AIf8zZRWa3-l_1dCBZzu1StrtDgDkbpKmMYLsGPlkeTR=s88-c-k-c0x00ffffff-no-rj</v>
      </c>
      <c r="G12" s="66"/>
      <c r="H12" s="70" t="s">
        <v>341</v>
      </c>
      <c r="I12" s="71"/>
      <c r="J12" s="71" t="s">
        <v>159</v>
      </c>
      <c r="K12" s="70" t="s">
        <v>341</v>
      </c>
      <c r="L12" s="74">
        <v>5000</v>
      </c>
      <c r="M12" s="75">
        <v>4108.15625</v>
      </c>
      <c r="N12" s="75">
        <v>7605.998046875</v>
      </c>
      <c r="O12" s="76"/>
      <c r="P12" s="77"/>
      <c r="Q12" s="77"/>
      <c r="R12" s="84"/>
      <c r="S12" s="49">
        <v>2</v>
      </c>
      <c r="T12" s="49">
        <v>0</v>
      </c>
      <c r="U12" s="50">
        <v>279.5</v>
      </c>
      <c r="V12" s="50">
        <v>0.345395</v>
      </c>
      <c r="W12" s="50">
        <v>0.061125</v>
      </c>
      <c r="X12" s="50">
        <v>0.008476</v>
      </c>
      <c r="Y12" s="50">
        <v>0</v>
      </c>
      <c r="Z12" s="50">
        <v>0</v>
      </c>
      <c r="AA12" s="72">
        <v>34</v>
      </c>
      <c r="AB12" s="72"/>
      <c r="AC12" s="73"/>
      <c r="AD12" s="80" t="s">
        <v>310</v>
      </c>
      <c r="AE12" s="98" t="str">
        <f>HYPERLINK("http://www.youtube.com/channel/UCqDc1sk_nRJsWnJU-icexNA")</f>
        <v>http://www.youtube.com/channel/UCqDc1sk_nRJsWnJU-icexNA</v>
      </c>
      <c r="AF12" s="80" t="s">
        <v>341</v>
      </c>
      <c r="AG12" s="80" t="s">
        <v>441</v>
      </c>
      <c r="AH12" s="80" t="str">
        <f>REPLACE(INDEX(GroupVertices[Group],MATCH("~"&amp;Vertices[[#This Row],[Vertex]],GroupVertices[Vertex],0)),1,1,"")</f>
        <v>3</v>
      </c>
      <c r="AI12" s="2"/>
      <c r="AJ12" s="3"/>
      <c r="AK12" s="3"/>
      <c r="AL12" s="3"/>
      <c r="AM12" s="3"/>
    </row>
    <row r="13" spans="1:39" ht="15">
      <c r="A13" s="65" t="s">
        <v>200</v>
      </c>
      <c r="B13" s="66"/>
      <c r="C13" s="66"/>
      <c r="D13" s="67">
        <v>70</v>
      </c>
      <c r="E13" s="69"/>
      <c r="F13" s="99" t="str">
        <f>HYPERLINK("https://yt3.ggpht.com/ytc/AIf8zZQajAgcIvFOPTgsLURJgUSaiSWDcrpEF-RGvw=s88-c-k-c0x00ffffff-no-rj")</f>
        <v>https://yt3.ggpht.com/ytc/AIf8zZQajAgcIvFOPTgsLURJgUSaiSWDcrpEF-RGvw=s88-c-k-c0x00ffffff-no-rj</v>
      </c>
      <c r="G13" s="66"/>
      <c r="H13" s="70" t="s">
        <v>314</v>
      </c>
      <c r="I13" s="71"/>
      <c r="J13" s="71" t="s">
        <v>159</v>
      </c>
      <c r="K13" s="70" t="s">
        <v>314</v>
      </c>
      <c r="L13" s="74">
        <v>1</v>
      </c>
      <c r="M13" s="75">
        <v>4677.48876953125</v>
      </c>
      <c r="N13" s="75">
        <v>4106.17041015625</v>
      </c>
      <c r="O13" s="76"/>
      <c r="P13" s="77"/>
      <c r="Q13" s="77"/>
      <c r="R13" s="84"/>
      <c r="S13" s="49">
        <v>1</v>
      </c>
      <c r="T13" s="49">
        <v>2</v>
      </c>
      <c r="U13" s="50">
        <v>208</v>
      </c>
      <c r="V13" s="50">
        <v>0.387454</v>
      </c>
      <c r="W13" s="50">
        <v>0.099669</v>
      </c>
      <c r="X13" s="50">
        <v>0.00951</v>
      </c>
      <c r="Y13" s="50">
        <v>0</v>
      </c>
      <c r="Z13" s="50">
        <v>0.5</v>
      </c>
      <c r="AA13" s="72">
        <v>7</v>
      </c>
      <c r="AB13" s="72"/>
      <c r="AC13" s="73"/>
      <c r="AD13" s="80" t="s">
        <v>310</v>
      </c>
      <c r="AE13" s="98" t="str">
        <f>HYPERLINK("http://www.youtube.com/channel/UCf3pS-gvIJa_J_uY7D9sf9g")</f>
        <v>http://www.youtube.com/channel/UCf3pS-gvIJa_J_uY7D9sf9g</v>
      </c>
      <c r="AF13" s="80" t="s">
        <v>314</v>
      </c>
      <c r="AG13" s="80"/>
      <c r="AH13" s="80" t="str">
        <f>REPLACE(INDEX(GroupVertices[Group],MATCH("~"&amp;Vertices[[#This Row],[Vertex]],GroupVertices[Vertex],0)),1,1,"")</f>
        <v>1</v>
      </c>
      <c r="AI13" s="2"/>
      <c r="AJ13" s="3"/>
      <c r="AK13" s="3"/>
      <c r="AL13" s="3"/>
      <c r="AM13" s="3"/>
    </row>
    <row r="14" spans="1:39" ht="15">
      <c r="A14" s="65" t="s">
        <v>203</v>
      </c>
      <c r="B14" s="66"/>
      <c r="C14" s="66"/>
      <c r="D14" s="67">
        <v>70</v>
      </c>
      <c r="E14" s="69"/>
      <c r="F14" s="99" t="str">
        <f>HYPERLINK("https://yt3.ggpht.com/ytc/AIf8zZT0_GN19guw1dP1Pb8cku6Q9z6mrvzoo-zXJJXE=s88-c-k-c0x00ffffff-no-rj")</f>
        <v>https://yt3.ggpht.com/ytc/AIf8zZT0_GN19guw1dP1Pb8cku6Q9z6mrvzoo-zXJJXE=s88-c-k-c0x00ffffff-no-rj</v>
      </c>
      <c r="G14" s="66"/>
      <c r="H14" s="70" t="s">
        <v>332</v>
      </c>
      <c r="I14" s="71"/>
      <c r="J14" s="71" t="s">
        <v>159</v>
      </c>
      <c r="K14" s="70" t="s">
        <v>332</v>
      </c>
      <c r="L14" s="74">
        <v>1</v>
      </c>
      <c r="M14" s="75">
        <v>5861.560546875</v>
      </c>
      <c r="N14" s="75">
        <v>5844.31396484375</v>
      </c>
      <c r="O14" s="76"/>
      <c r="P14" s="77"/>
      <c r="Q14" s="77"/>
      <c r="R14" s="84"/>
      <c r="S14" s="49">
        <v>1</v>
      </c>
      <c r="T14" s="49">
        <v>1</v>
      </c>
      <c r="U14" s="50">
        <v>208</v>
      </c>
      <c r="V14" s="50">
        <v>0.387454</v>
      </c>
      <c r="W14" s="50">
        <v>0.099669</v>
      </c>
      <c r="X14" s="50">
        <v>0.00951</v>
      </c>
      <c r="Y14" s="50">
        <v>0</v>
      </c>
      <c r="Z14" s="50">
        <v>0</v>
      </c>
      <c r="AA14" s="72">
        <v>25</v>
      </c>
      <c r="AB14" s="72"/>
      <c r="AC14" s="73"/>
      <c r="AD14" s="80" t="s">
        <v>310</v>
      </c>
      <c r="AE14" s="98" t="str">
        <f>HYPERLINK("http://www.youtube.com/channel/UCENS-pJJ6n-TIWtn3yYTctQ")</f>
        <v>http://www.youtube.com/channel/UCENS-pJJ6n-TIWtn3yYTctQ</v>
      </c>
      <c r="AF14" s="80" t="s">
        <v>332</v>
      </c>
      <c r="AG14" s="80" t="s">
        <v>432</v>
      </c>
      <c r="AH14" s="80" t="str">
        <f>REPLACE(INDEX(GroupVertices[Group],MATCH("~"&amp;Vertices[[#This Row],[Vertex]],GroupVertices[Vertex],0)),1,1,"")</f>
        <v>1</v>
      </c>
      <c r="AI14" s="2"/>
      <c r="AJ14" s="3"/>
      <c r="AK14" s="3"/>
      <c r="AL14" s="3"/>
      <c r="AM14" s="3"/>
    </row>
    <row r="15" spans="1:39" ht="15">
      <c r="A15" s="65" t="s">
        <v>255</v>
      </c>
      <c r="B15" s="66"/>
      <c r="C15" s="66"/>
      <c r="D15" s="67">
        <v>70</v>
      </c>
      <c r="E15" s="69"/>
      <c r="F15" s="99" t="str">
        <f>HYPERLINK("https://yt3.ggpht.com/IW-82iWdbN7O_dH6seBqUmG20w6mDSA2R0B_xti1LV4mf4HWe583XC1XAkwEyJUpecKYKDLZdRQ=s88-c-k-c0x00ffffff-no-rj")</f>
        <v>https://yt3.ggpht.com/IW-82iWdbN7O_dH6seBqUmG20w6mDSA2R0B_xti1LV4mf4HWe583XC1XAkwEyJUpecKYKDLZdRQ=s88-c-k-c0x00ffffff-no-rj</v>
      </c>
      <c r="G15" s="66"/>
      <c r="H15" s="70" t="s">
        <v>364</v>
      </c>
      <c r="I15" s="71"/>
      <c r="J15" s="71" t="s">
        <v>159</v>
      </c>
      <c r="K15" s="70" t="s">
        <v>364</v>
      </c>
      <c r="L15" s="74">
        <v>9999</v>
      </c>
      <c r="M15" s="75">
        <v>4925.197265625</v>
      </c>
      <c r="N15" s="75">
        <v>894.579833984375</v>
      </c>
      <c r="O15" s="76"/>
      <c r="P15" s="77"/>
      <c r="Q15" s="77"/>
      <c r="R15" s="84"/>
      <c r="S15" s="49">
        <v>3</v>
      </c>
      <c r="T15" s="49">
        <v>0</v>
      </c>
      <c r="U15" s="50">
        <v>171.609524</v>
      </c>
      <c r="V15" s="50">
        <v>0.345395</v>
      </c>
      <c r="W15" s="50">
        <v>0.085606</v>
      </c>
      <c r="X15" s="50">
        <v>0.008781</v>
      </c>
      <c r="Y15" s="50">
        <v>0</v>
      </c>
      <c r="Z15" s="50">
        <v>0</v>
      </c>
      <c r="AA15" s="72">
        <v>57</v>
      </c>
      <c r="AB15" s="72"/>
      <c r="AC15" s="73"/>
      <c r="AD15" s="80" t="s">
        <v>310</v>
      </c>
      <c r="AE15" s="98" t="str">
        <f>HYPERLINK("http://www.youtube.com/channel/UCMPaviJxybo1RTdzvYcU91A")</f>
        <v>http://www.youtube.com/channel/UCMPaviJxybo1RTdzvYcU91A</v>
      </c>
      <c r="AF15" s="80" t="s">
        <v>364</v>
      </c>
      <c r="AG15" s="80" t="s">
        <v>463</v>
      </c>
      <c r="AH15" s="80" t="str">
        <f>REPLACE(INDEX(GroupVertices[Group],MATCH("~"&amp;Vertices[[#This Row],[Vertex]],GroupVertices[Vertex],0)),1,1,"")</f>
        <v>7</v>
      </c>
      <c r="AI15" s="2"/>
      <c r="AJ15" s="3"/>
      <c r="AK15" s="3"/>
      <c r="AL15" s="3"/>
      <c r="AM15" s="3"/>
    </row>
    <row r="16" spans="1:39" ht="15">
      <c r="A16" s="65" t="s">
        <v>256</v>
      </c>
      <c r="B16" s="66"/>
      <c r="C16" s="66"/>
      <c r="D16" s="67">
        <v>70</v>
      </c>
      <c r="E16" s="69"/>
      <c r="F16" s="99" t="str">
        <f>HYPERLINK("https://yt3.ggpht.com/ytc/AIf8zZT3-nskfAT1zoMKXSn-64P3bTRdqxXOaJwWoflGZQ=s88-c-k-c0x00ffffff-no-rj")</f>
        <v>https://yt3.ggpht.com/ytc/AIf8zZT3-nskfAT1zoMKXSn-64P3bTRdqxXOaJwWoflGZQ=s88-c-k-c0x00ffffff-no-rj</v>
      </c>
      <c r="G16" s="66"/>
      <c r="H16" s="70" t="s">
        <v>365</v>
      </c>
      <c r="I16" s="71"/>
      <c r="J16" s="71" t="s">
        <v>159</v>
      </c>
      <c r="K16" s="70" t="s">
        <v>365</v>
      </c>
      <c r="L16" s="74">
        <v>5000</v>
      </c>
      <c r="M16" s="75">
        <v>1884.023193359375</v>
      </c>
      <c r="N16" s="75">
        <v>2454.02294921875</v>
      </c>
      <c r="O16" s="76"/>
      <c r="P16" s="77"/>
      <c r="Q16" s="77"/>
      <c r="R16" s="84"/>
      <c r="S16" s="49">
        <v>2</v>
      </c>
      <c r="T16" s="49">
        <v>0</v>
      </c>
      <c r="U16" s="50">
        <v>73.971429</v>
      </c>
      <c r="V16" s="50">
        <v>0.336538</v>
      </c>
      <c r="W16" s="50">
        <v>0.067546</v>
      </c>
      <c r="X16" s="50">
        <v>0.008455</v>
      </c>
      <c r="Y16" s="50">
        <v>0</v>
      </c>
      <c r="Z16" s="50">
        <v>0</v>
      </c>
      <c r="AA16" s="72">
        <v>58</v>
      </c>
      <c r="AB16" s="72"/>
      <c r="AC16" s="73"/>
      <c r="AD16" s="80" t="s">
        <v>310</v>
      </c>
      <c r="AE16" s="98" t="str">
        <f>HYPERLINK("http://www.youtube.com/channel/UCFUxLT7uKrriWfY5MGmm6AQ")</f>
        <v>http://www.youtube.com/channel/UCFUxLT7uKrriWfY5MGmm6AQ</v>
      </c>
      <c r="AF16" s="80" t="s">
        <v>365</v>
      </c>
      <c r="AG16" s="80" t="s">
        <v>464</v>
      </c>
      <c r="AH16" s="80" t="str">
        <f>REPLACE(INDEX(GroupVertices[Group],MATCH("~"&amp;Vertices[[#This Row],[Vertex]],GroupVertices[Vertex],0)),1,1,"")</f>
        <v>4</v>
      </c>
      <c r="AI16" s="2"/>
      <c r="AJ16" s="3"/>
      <c r="AK16" s="3"/>
      <c r="AL16" s="3"/>
      <c r="AM16" s="3"/>
    </row>
    <row r="17" spans="1:39" ht="15">
      <c r="A17" s="65" t="s">
        <v>261</v>
      </c>
      <c r="B17" s="66"/>
      <c r="C17" s="66"/>
      <c r="D17" s="67">
        <v>70</v>
      </c>
      <c r="E17" s="69"/>
      <c r="F17" s="99" t="str">
        <f>HYPERLINK("https://yt3.ggpht.com/ytc/AIf8zZRV2ryN8FEvFfVlO5VBXeRDcEAAoFjL7N9SIVKWgA=s88-c-k-c0x00ffffff-no-rj")</f>
        <v>https://yt3.ggpht.com/ytc/AIf8zZRV2ryN8FEvFfVlO5VBXeRDcEAAoFjL7N9SIVKWgA=s88-c-k-c0x00ffffff-no-rj</v>
      </c>
      <c r="G17" s="66"/>
      <c r="H17" s="70" t="s">
        <v>370</v>
      </c>
      <c r="I17" s="71"/>
      <c r="J17" s="71" t="s">
        <v>159</v>
      </c>
      <c r="K17" s="70" t="s">
        <v>370</v>
      </c>
      <c r="L17" s="74">
        <v>5000</v>
      </c>
      <c r="M17" s="75">
        <v>1989.56787109375</v>
      </c>
      <c r="N17" s="75">
        <v>329.311279296875</v>
      </c>
      <c r="O17" s="76"/>
      <c r="P17" s="77"/>
      <c r="Q17" s="77"/>
      <c r="R17" s="84"/>
      <c r="S17" s="49">
        <v>2</v>
      </c>
      <c r="T17" s="49">
        <v>0</v>
      </c>
      <c r="U17" s="50">
        <v>73.971429</v>
      </c>
      <c r="V17" s="50">
        <v>0.336538</v>
      </c>
      <c r="W17" s="50">
        <v>0.067546</v>
      </c>
      <c r="X17" s="50">
        <v>0.008455</v>
      </c>
      <c r="Y17" s="50">
        <v>0</v>
      </c>
      <c r="Z17" s="50">
        <v>0</v>
      </c>
      <c r="AA17" s="72">
        <v>63</v>
      </c>
      <c r="AB17" s="72"/>
      <c r="AC17" s="73"/>
      <c r="AD17" s="80" t="s">
        <v>310</v>
      </c>
      <c r="AE17" s="98" t="str">
        <f>HYPERLINK("http://www.youtube.com/channel/UC1lhGQ0C_OOlaS1rbxlXM5Q")</f>
        <v>http://www.youtube.com/channel/UC1lhGQ0C_OOlaS1rbxlXM5Q</v>
      </c>
      <c r="AF17" s="80" t="s">
        <v>370</v>
      </c>
      <c r="AG17" s="80" t="s">
        <v>469</v>
      </c>
      <c r="AH17" s="80" t="str">
        <f>REPLACE(INDEX(GroupVertices[Group],MATCH("~"&amp;Vertices[[#This Row],[Vertex]],GroupVertices[Vertex],0)),1,1,"")</f>
        <v>4</v>
      </c>
      <c r="AI17" s="2"/>
      <c r="AJ17" s="3"/>
      <c r="AK17" s="3"/>
      <c r="AL17" s="3"/>
      <c r="AM17" s="3"/>
    </row>
    <row r="18" spans="1:39" ht="15">
      <c r="A18" s="65" t="s">
        <v>292</v>
      </c>
      <c r="B18" s="66"/>
      <c r="C18" s="66"/>
      <c r="D18" s="67">
        <v>70</v>
      </c>
      <c r="E18" s="69"/>
      <c r="F18" s="99" t="str">
        <f>HYPERLINK("https://yt3.ggpht.com/ytc/AIf8zZSkBzTv1nlZ9NH9ta5Re-QNvfyxZYCWO579HUzr=s88-c-k-c0x00ffffff-no-rj")</f>
        <v>https://yt3.ggpht.com/ytc/AIf8zZSkBzTv1nlZ9NH9ta5Re-QNvfyxZYCWO579HUzr=s88-c-k-c0x00ffffff-no-rj</v>
      </c>
      <c r="G18" s="66"/>
      <c r="H18" s="70" t="s">
        <v>404</v>
      </c>
      <c r="I18" s="71"/>
      <c r="J18" s="71" t="s">
        <v>159</v>
      </c>
      <c r="K18" s="70" t="s">
        <v>404</v>
      </c>
      <c r="L18" s="74">
        <v>9999</v>
      </c>
      <c r="M18" s="75">
        <v>2778.92431640625</v>
      </c>
      <c r="N18" s="75">
        <v>748.1287231445312</v>
      </c>
      <c r="O18" s="76"/>
      <c r="P18" s="77"/>
      <c r="Q18" s="77"/>
      <c r="R18" s="84"/>
      <c r="S18" s="49">
        <v>3</v>
      </c>
      <c r="T18" s="49">
        <v>0</v>
      </c>
      <c r="U18" s="50">
        <v>73.971429</v>
      </c>
      <c r="V18" s="50">
        <v>0.4375</v>
      </c>
      <c r="W18" s="50">
        <v>0.165039</v>
      </c>
      <c r="X18" s="50">
        <v>0.008636</v>
      </c>
      <c r="Y18" s="50">
        <v>0.5</v>
      </c>
      <c r="Z18" s="50">
        <v>0</v>
      </c>
      <c r="AA18" s="72">
        <v>97</v>
      </c>
      <c r="AB18" s="72"/>
      <c r="AC18" s="73"/>
      <c r="AD18" s="80" t="s">
        <v>310</v>
      </c>
      <c r="AE18" s="98" t="str">
        <f>HYPERLINK("http://www.youtube.com/channel/UCIktWSSCh5mLFKNHCHHDEiw")</f>
        <v>http://www.youtube.com/channel/UCIktWSSCh5mLFKNHCHHDEiw</v>
      </c>
      <c r="AF18" s="80" t="s">
        <v>404</v>
      </c>
      <c r="AG18" s="80" t="s">
        <v>492</v>
      </c>
      <c r="AH18" s="80" t="str">
        <f>REPLACE(INDEX(GroupVertices[Group],MATCH("~"&amp;Vertices[[#This Row],[Vertex]],GroupVertices[Vertex],0)),1,1,"")</f>
        <v>4</v>
      </c>
      <c r="AI18" s="2"/>
      <c r="AJ18" s="3"/>
      <c r="AK18" s="3"/>
      <c r="AL18" s="3"/>
      <c r="AM18" s="3"/>
    </row>
    <row r="19" spans="1:39" ht="15">
      <c r="A19" s="65" t="s">
        <v>241</v>
      </c>
      <c r="B19" s="66"/>
      <c r="C19" s="66"/>
      <c r="D19" s="67">
        <v>70</v>
      </c>
      <c r="E19" s="69"/>
      <c r="F19" s="99" t="str">
        <f>HYPERLINK("https://yt3.ggpht.com/ytc/AIf8zZSyvW-lB6SXdCEmY0b-2DZjQXjywidUswtHnQ7-aw=s88-c-k-c0x00ffffff-no-rj")</f>
        <v>https://yt3.ggpht.com/ytc/AIf8zZSyvW-lB6SXdCEmY0b-2DZjQXjywidUswtHnQ7-aw=s88-c-k-c0x00ffffff-no-rj</v>
      </c>
      <c r="G19" s="66"/>
      <c r="H19" s="70" t="s">
        <v>349</v>
      </c>
      <c r="I19" s="71"/>
      <c r="J19" s="71" t="s">
        <v>159</v>
      </c>
      <c r="K19" s="70" t="s">
        <v>349</v>
      </c>
      <c r="L19" s="74">
        <v>5000</v>
      </c>
      <c r="M19" s="75">
        <v>3833.407470703125</v>
      </c>
      <c r="N19" s="75">
        <v>1491.8421630859375</v>
      </c>
      <c r="O19" s="76"/>
      <c r="P19" s="77"/>
      <c r="Q19" s="77"/>
      <c r="R19" s="84"/>
      <c r="S19" s="49">
        <v>2</v>
      </c>
      <c r="T19" s="49">
        <v>0</v>
      </c>
      <c r="U19" s="50">
        <v>55.866667</v>
      </c>
      <c r="V19" s="50">
        <v>0.326087</v>
      </c>
      <c r="W19" s="50">
        <v>0.058788</v>
      </c>
      <c r="X19" s="50">
        <v>0.008548</v>
      </c>
      <c r="Y19" s="50">
        <v>0</v>
      </c>
      <c r="Z19" s="50">
        <v>0</v>
      </c>
      <c r="AA19" s="72">
        <v>42</v>
      </c>
      <c r="AB19" s="72"/>
      <c r="AC19" s="73"/>
      <c r="AD19" s="80" t="s">
        <v>310</v>
      </c>
      <c r="AE19" s="98" t="str">
        <f>HYPERLINK("http://www.youtube.com/channel/UCLPG_xkgSWeWnOhBsi-jxCA")</f>
        <v>http://www.youtube.com/channel/UCLPG_xkgSWeWnOhBsi-jxCA</v>
      </c>
      <c r="AF19" s="80" t="s">
        <v>349</v>
      </c>
      <c r="AG19" s="80" t="s">
        <v>448</v>
      </c>
      <c r="AH19" s="80" t="str">
        <f>REPLACE(INDEX(GroupVertices[Group],MATCH("~"&amp;Vertices[[#This Row],[Vertex]],GroupVertices[Vertex],0)),1,1,"")</f>
        <v>7</v>
      </c>
      <c r="AI19" s="2"/>
      <c r="AJ19" s="3"/>
      <c r="AK19" s="3"/>
      <c r="AL19" s="3"/>
      <c r="AM19" s="3"/>
    </row>
    <row r="20" spans="1:39" ht="15">
      <c r="A20" s="65" t="s">
        <v>304</v>
      </c>
      <c r="B20" s="66"/>
      <c r="C20" s="66"/>
      <c r="D20" s="67">
        <v>70</v>
      </c>
      <c r="E20" s="69"/>
      <c r="F20" s="99" t="str">
        <f>HYPERLINK("https://yt3.ggpht.com/ytc/AIf8zZTRiaQY90aP3kQK5PPd9zbKZDk82y9PJ12bnYiSHw=s88-c-k-c0x00ffffff-no-rj")</f>
        <v>https://yt3.ggpht.com/ytc/AIf8zZTRiaQY90aP3kQK5PPd9zbKZDk82y9PJ12bnYiSHw=s88-c-k-c0x00ffffff-no-rj</v>
      </c>
      <c r="G20" s="66"/>
      <c r="H20" s="70" t="s">
        <v>311</v>
      </c>
      <c r="I20" s="71"/>
      <c r="J20" s="71" t="s">
        <v>159</v>
      </c>
      <c r="K20" s="70" t="s">
        <v>311</v>
      </c>
      <c r="L20" s="74">
        <v>1</v>
      </c>
      <c r="M20" s="75">
        <v>3778.815185546875</v>
      </c>
      <c r="N20" s="75">
        <v>521.5416259765625</v>
      </c>
      <c r="O20" s="76"/>
      <c r="P20" s="77"/>
      <c r="Q20" s="77"/>
      <c r="R20" s="84"/>
      <c r="S20" s="49">
        <v>1</v>
      </c>
      <c r="T20" s="49">
        <v>0</v>
      </c>
      <c r="U20" s="50">
        <v>0</v>
      </c>
      <c r="V20" s="50">
        <v>0.286104</v>
      </c>
      <c r="W20" s="50">
        <v>0.01806</v>
      </c>
      <c r="X20" s="50">
        <v>0.008345</v>
      </c>
      <c r="Y20" s="50">
        <v>0</v>
      </c>
      <c r="Z20" s="50">
        <v>0</v>
      </c>
      <c r="AA20" s="72">
        <v>4</v>
      </c>
      <c r="AB20" s="72"/>
      <c r="AC20" s="73"/>
      <c r="AD20" s="80" t="s">
        <v>310</v>
      </c>
      <c r="AE20" s="98" t="str">
        <f>HYPERLINK("http://www.youtube.com/channel/UCw6E9hgCbubPf_IsofVkiqg")</f>
        <v>http://www.youtube.com/channel/UCw6E9hgCbubPf_IsofVkiqg</v>
      </c>
      <c r="AF20" s="80" t="s">
        <v>311</v>
      </c>
      <c r="AG20" s="80" t="s">
        <v>417</v>
      </c>
      <c r="AH20" s="80" t="str">
        <f>REPLACE(INDEX(GroupVertices[Group],MATCH("~"&amp;Vertices[[#This Row],[Vertex]],GroupVertices[Vertex],0)),1,1,"")</f>
        <v>7</v>
      </c>
      <c r="AI20" s="2"/>
      <c r="AJ20" s="3"/>
      <c r="AK20" s="3"/>
      <c r="AL20" s="3"/>
      <c r="AM20" s="3"/>
    </row>
    <row r="21" spans="1:39" ht="15">
      <c r="A21" s="65" t="s">
        <v>210</v>
      </c>
      <c r="B21" s="66"/>
      <c r="C21" s="66"/>
      <c r="D21" s="67">
        <v>70</v>
      </c>
      <c r="E21" s="69"/>
      <c r="F21" s="99" t="str">
        <f>HYPERLINK("https://yt3.ggpht.com/wb3EEh2TId2fMYOxDIF3Hu_kTmN5gB0hWGHSuRGru2oWT5jPtkr1fKIFBaI0aV3ERWUxAqYWNbQ=s88-c-k-c0x00ffffff-no-rj")</f>
        <v>https://yt3.ggpht.com/wb3EEh2TId2fMYOxDIF3Hu_kTmN5gB0hWGHSuRGru2oWT5jPtkr1fKIFBaI0aV3ERWUxAqYWNbQ=s88-c-k-c0x00ffffff-no-rj</v>
      </c>
      <c r="G21" s="66"/>
      <c r="H21" s="70" t="s">
        <v>312</v>
      </c>
      <c r="I21" s="71"/>
      <c r="J21" s="71" t="s">
        <v>159</v>
      </c>
      <c r="K21" s="70" t="s">
        <v>312</v>
      </c>
      <c r="L21" s="74">
        <v>1</v>
      </c>
      <c r="M21" s="75">
        <v>4453.57275390625</v>
      </c>
      <c r="N21" s="75">
        <v>329.311279296875</v>
      </c>
      <c r="O21" s="76"/>
      <c r="P21" s="77"/>
      <c r="Q21" s="77"/>
      <c r="R21" s="84"/>
      <c r="S21" s="49">
        <v>1</v>
      </c>
      <c r="T21" s="49">
        <v>0</v>
      </c>
      <c r="U21" s="50">
        <v>0</v>
      </c>
      <c r="V21" s="50">
        <v>0.286104</v>
      </c>
      <c r="W21" s="50">
        <v>0.01806</v>
      </c>
      <c r="X21" s="50">
        <v>0.008345</v>
      </c>
      <c r="Y21" s="50">
        <v>0</v>
      </c>
      <c r="Z21" s="50">
        <v>0</v>
      </c>
      <c r="AA21" s="72">
        <v>5</v>
      </c>
      <c r="AB21" s="72"/>
      <c r="AC21" s="73"/>
      <c r="AD21" s="80" t="s">
        <v>310</v>
      </c>
      <c r="AE21" s="98" t="str">
        <f>HYPERLINK("http://www.youtube.com/channel/UCvU4p_w08osQsrNi_I4ZtDA")</f>
        <v>http://www.youtube.com/channel/UCvU4p_w08osQsrNi_I4ZtDA</v>
      </c>
      <c r="AF21" s="80" t="s">
        <v>312</v>
      </c>
      <c r="AG21" s="80" t="s">
        <v>418</v>
      </c>
      <c r="AH21" s="80" t="str">
        <f>REPLACE(INDEX(GroupVertices[Group],MATCH("~"&amp;Vertices[[#This Row],[Vertex]],GroupVertices[Vertex],0)),1,1,"")</f>
        <v>7</v>
      </c>
      <c r="AI21" s="2"/>
      <c r="AJ21" s="3"/>
      <c r="AK21" s="3"/>
      <c r="AL21" s="3"/>
      <c r="AM21" s="3"/>
    </row>
    <row r="22" spans="1:39" ht="15">
      <c r="A22" s="65" t="s">
        <v>211</v>
      </c>
      <c r="B22" s="66"/>
      <c r="C22" s="66"/>
      <c r="D22" s="67">
        <v>70</v>
      </c>
      <c r="E22" s="69"/>
      <c r="F22" s="99" t="str">
        <f>HYPERLINK("https://yt3.ggpht.com/ytc/AIf8zZRE-2OapMylYKqzoPl5R8LTr72Qjm9LMFwIjdLsYQ=s88-c-k-c0x00ffffff-no-rj")</f>
        <v>https://yt3.ggpht.com/ytc/AIf8zZRE-2OapMylYKqzoPl5R8LTr72Qjm9LMFwIjdLsYQ=s88-c-k-c0x00ffffff-no-rj</v>
      </c>
      <c r="G22" s="66"/>
      <c r="H22" s="70" t="s">
        <v>313</v>
      </c>
      <c r="I22" s="71"/>
      <c r="J22" s="71" t="s">
        <v>159</v>
      </c>
      <c r="K22" s="70" t="s">
        <v>313</v>
      </c>
      <c r="L22" s="74">
        <v>1</v>
      </c>
      <c r="M22" s="75">
        <v>4541.931640625</v>
      </c>
      <c r="N22" s="75">
        <v>1722.388671875</v>
      </c>
      <c r="O22" s="76"/>
      <c r="P22" s="77"/>
      <c r="Q22" s="77"/>
      <c r="R22" s="84"/>
      <c r="S22" s="49">
        <v>1</v>
      </c>
      <c r="T22" s="49">
        <v>0</v>
      </c>
      <c r="U22" s="50">
        <v>0</v>
      </c>
      <c r="V22" s="50">
        <v>0.286104</v>
      </c>
      <c r="W22" s="50">
        <v>0.01806</v>
      </c>
      <c r="X22" s="50">
        <v>0.008345</v>
      </c>
      <c r="Y22" s="50">
        <v>0</v>
      </c>
      <c r="Z22" s="50">
        <v>0</v>
      </c>
      <c r="AA22" s="72">
        <v>6</v>
      </c>
      <c r="AB22" s="72"/>
      <c r="AC22" s="73"/>
      <c r="AD22" s="80" t="s">
        <v>310</v>
      </c>
      <c r="AE22" s="98" t="str">
        <f>HYPERLINK("http://www.youtube.com/channel/UCPdgh_omw_87X_N6fepuS_w")</f>
        <v>http://www.youtube.com/channel/UCPdgh_omw_87X_N6fepuS_w</v>
      </c>
      <c r="AF22" s="80" t="s">
        <v>313</v>
      </c>
      <c r="AG22" s="80" t="s">
        <v>419</v>
      </c>
      <c r="AH22" s="80" t="str">
        <f>REPLACE(INDEX(GroupVertices[Group],MATCH("~"&amp;Vertices[[#This Row],[Vertex]],GroupVertices[Vertex],0)),1,1,"")</f>
        <v>7</v>
      </c>
      <c r="AI22" s="2"/>
      <c r="AJ22" s="3"/>
      <c r="AK22" s="3"/>
      <c r="AL22" s="3"/>
      <c r="AM22" s="3"/>
    </row>
    <row r="23" spans="1:39" ht="15">
      <c r="A23" s="65" t="s">
        <v>212</v>
      </c>
      <c r="B23" s="66"/>
      <c r="C23" s="66"/>
      <c r="D23" s="67">
        <v>70</v>
      </c>
      <c r="E23" s="69"/>
      <c r="F23" s="99" t="str">
        <f>HYPERLINK("https://yt3.ggpht.com/0ONgpeAn7ygJ3Ktl24I2Nir1Bn-B_wJULn1bQDRoPK6tHSW6RElu2WAcWkVXR7K1-cdZEAbRjQ=s88-c-k-c0x00ffffff-no-rj")</f>
        <v>https://yt3.ggpht.com/0ONgpeAn7ygJ3Ktl24I2Nir1Bn-B_wJULn1bQDRoPK6tHSW6RElu2WAcWkVXR7K1-cdZEAbRjQ=s88-c-k-c0x00ffffff-no-rj</v>
      </c>
      <c r="G23" s="66"/>
      <c r="H23" s="70" t="s">
        <v>315</v>
      </c>
      <c r="I23" s="71"/>
      <c r="J23" s="71" t="s">
        <v>159</v>
      </c>
      <c r="K23" s="70" t="s">
        <v>315</v>
      </c>
      <c r="L23" s="74">
        <v>1</v>
      </c>
      <c r="M23" s="75">
        <v>4578.53515625</v>
      </c>
      <c r="N23" s="75">
        <v>2941.779052734375</v>
      </c>
      <c r="O23" s="76"/>
      <c r="P23" s="77"/>
      <c r="Q23" s="77"/>
      <c r="R23" s="84"/>
      <c r="S23" s="49">
        <v>1</v>
      </c>
      <c r="T23" s="49">
        <v>0</v>
      </c>
      <c r="U23" s="50">
        <v>0</v>
      </c>
      <c r="V23" s="50">
        <v>0.28</v>
      </c>
      <c r="W23" s="50">
        <v>0.01404</v>
      </c>
      <c r="X23" s="50">
        <v>0.008732</v>
      </c>
      <c r="Y23" s="50">
        <v>0</v>
      </c>
      <c r="Z23" s="50">
        <v>0</v>
      </c>
      <c r="AA23" s="72">
        <v>8</v>
      </c>
      <c r="AB23" s="72"/>
      <c r="AC23" s="73"/>
      <c r="AD23" s="80" t="s">
        <v>310</v>
      </c>
      <c r="AE23" s="98" t="str">
        <f>HYPERLINK("http://www.youtube.com/channel/UCyfZleh4w7buTzi0WfY8WqA")</f>
        <v>http://www.youtube.com/channel/UCyfZleh4w7buTzi0WfY8WqA</v>
      </c>
      <c r="AF23" s="80" t="s">
        <v>315</v>
      </c>
      <c r="AG23" s="80" t="s">
        <v>420</v>
      </c>
      <c r="AH23" s="80" t="str">
        <f>REPLACE(INDEX(GroupVertices[Group],MATCH("~"&amp;Vertices[[#This Row],[Vertex]],GroupVertices[Vertex],0)),1,1,"")</f>
        <v>1</v>
      </c>
      <c r="AI23" s="2"/>
      <c r="AJ23" s="3"/>
      <c r="AK23" s="3"/>
      <c r="AL23" s="3"/>
      <c r="AM23" s="3"/>
    </row>
    <row r="24" spans="1:39" ht="15">
      <c r="A24" s="65" t="s">
        <v>213</v>
      </c>
      <c r="B24" s="66"/>
      <c r="C24" s="66"/>
      <c r="D24" s="67">
        <v>70</v>
      </c>
      <c r="E24" s="69"/>
      <c r="F24" s="99" t="str">
        <f>HYPERLINK("https://yt3.ggpht.com/ytc/AIf8zZR0M0uZHi0cVQBXPfvvfkQuvtIM8cX1PSJdMsKSMw=s88-c-k-c0x00ffffff-no-rj")</f>
        <v>https://yt3.ggpht.com/ytc/AIf8zZR0M0uZHi0cVQBXPfvvfkQuvtIM8cX1PSJdMsKSMw=s88-c-k-c0x00ffffff-no-rj</v>
      </c>
      <c r="G24" s="66"/>
      <c r="H24" s="70" t="s">
        <v>317</v>
      </c>
      <c r="I24" s="71"/>
      <c r="J24" s="71" t="s">
        <v>159</v>
      </c>
      <c r="K24" s="70" t="s">
        <v>317</v>
      </c>
      <c r="L24" s="74">
        <v>1</v>
      </c>
      <c r="M24" s="75">
        <v>6920.75146484375</v>
      </c>
      <c r="N24" s="75">
        <v>9583.6455078125</v>
      </c>
      <c r="O24" s="76"/>
      <c r="P24" s="77"/>
      <c r="Q24" s="77"/>
      <c r="R24" s="84"/>
      <c r="S24" s="49">
        <v>1</v>
      </c>
      <c r="T24" s="49">
        <v>0</v>
      </c>
      <c r="U24" s="50">
        <v>0</v>
      </c>
      <c r="V24" s="50">
        <v>0.281501</v>
      </c>
      <c r="W24" s="50">
        <v>0.01436</v>
      </c>
      <c r="X24" s="50">
        <v>0.008557</v>
      </c>
      <c r="Y24" s="50">
        <v>0</v>
      </c>
      <c r="Z24" s="50">
        <v>0</v>
      </c>
      <c r="AA24" s="72">
        <v>10</v>
      </c>
      <c r="AB24" s="72"/>
      <c r="AC24" s="73"/>
      <c r="AD24" s="80" t="s">
        <v>310</v>
      </c>
      <c r="AE24" s="98" t="str">
        <f>HYPERLINK("http://www.youtube.com/channel/UCp5HM43r_5wV7kBhxAte4Cg")</f>
        <v>http://www.youtube.com/channel/UCp5HM43r_5wV7kBhxAte4Cg</v>
      </c>
      <c r="AF24" s="80" t="s">
        <v>317</v>
      </c>
      <c r="AG24" s="80" t="s">
        <v>421</v>
      </c>
      <c r="AH24" s="80" t="str">
        <f>REPLACE(INDEX(GroupVertices[Group],MATCH("~"&amp;Vertices[[#This Row],[Vertex]],GroupVertices[Vertex],0)),1,1,"")</f>
        <v>9</v>
      </c>
      <c r="AI24" s="2"/>
      <c r="AJ24" s="3"/>
      <c r="AK24" s="3"/>
      <c r="AL24" s="3"/>
      <c r="AM24" s="3"/>
    </row>
    <row r="25" spans="1:39" ht="15">
      <c r="A25" s="65" t="s">
        <v>214</v>
      </c>
      <c r="B25" s="66"/>
      <c r="C25" s="66"/>
      <c r="D25" s="67">
        <v>70</v>
      </c>
      <c r="E25" s="69"/>
      <c r="F25" s="99" t="str">
        <f>HYPERLINK("https://yt3.ggpht.com/anujo8QsRaEFX4weS-SiijFk7wJEDJIrCFrmZyiPa3psAKksiHMsWjdlaeWoaCU4FMXjknVg=s88-c-k-c0x00ffffff-no-rj")</f>
        <v>https://yt3.ggpht.com/anujo8QsRaEFX4weS-SiijFk7wJEDJIrCFrmZyiPa3psAKksiHMsWjdlaeWoaCU4FMXjknVg=s88-c-k-c0x00ffffff-no-rj</v>
      </c>
      <c r="G25" s="66"/>
      <c r="H25" s="70" t="s">
        <v>318</v>
      </c>
      <c r="I25" s="71"/>
      <c r="J25" s="71" t="s">
        <v>159</v>
      </c>
      <c r="K25" s="70" t="s">
        <v>318</v>
      </c>
      <c r="L25" s="74">
        <v>1</v>
      </c>
      <c r="M25" s="75">
        <v>7302.87890625</v>
      </c>
      <c r="N25" s="75">
        <v>9583.6455078125</v>
      </c>
      <c r="O25" s="76"/>
      <c r="P25" s="77"/>
      <c r="Q25" s="77"/>
      <c r="R25" s="84"/>
      <c r="S25" s="49">
        <v>1</v>
      </c>
      <c r="T25" s="49">
        <v>0</v>
      </c>
      <c r="U25" s="50">
        <v>0</v>
      </c>
      <c r="V25" s="50">
        <v>0.281501</v>
      </c>
      <c r="W25" s="50">
        <v>0.01436</v>
      </c>
      <c r="X25" s="50">
        <v>0.008557</v>
      </c>
      <c r="Y25" s="50">
        <v>0</v>
      </c>
      <c r="Z25" s="50">
        <v>0</v>
      </c>
      <c r="AA25" s="72">
        <v>11</v>
      </c>
      <c r="AB25" s="72"/>
      <c r="AC25" s="73"/>
      <c r="AD25" s="80" t="s">
        <v>310</v>
      </c>
      <c r="AE25" s="98" t="str">
        <f>HYPERLINK("http://www.youtube.com/channel/UCUpCShTEkFvbXHCQRiWczjQ")</f>
        <v>http://www.youtube.com/channel/UCUpCShTEkFvbXHCQRiWczjQ</v>
      </c>
      <c r="AF25" s="80" t="s">
        <v>318</v>
      </c>
      <c r="AG25" s="80" t="s">
        <v>422</v>
      </c>
      <c r="AH25" s="80" t="str">
        <f>REPLACE(INDEX(GroupVertices[Group],MATCH("~"&amp;Vertices[[#This Row],[Vertex]],GroupVertices[Vertex],0)),1,1,"")</f>
        <v>9</v>
      </c>
      <c r="AI25" s="2"/>
      <c r="AJ25" s="3"/>
      <c r="AK25" s="3"/>
      <c r="AL25" s="3"/>
      <c r="AM25" s="3"/>
    </row>
    <row r="26" spans="1:39" ht="15">
      <c r="A26" s="65" t="s">
        <v>215</v>
      </c>
      <c r="B26" s="66"/>
      <c r="C26" s="66"/>
      <c r="D26" s="67">
        <v>70</v>
      </c>
      <c r="E26" s="69"/>
      <c r="F26" s="99" t="str">
        <f>HYPERLINK("https://yt3.ggpht.com/ytc/AIf8zZQs1CBzb5QAJ5hSOMbPjv_bueNLkkthcRPDJxQ03g=s88-c-k-c0x00ffffff-no-rj")</f>
        <v>https://yt3.ggpht.com/ytc/AIf8zZQs1CBzb5QAJ5hSOMbPjv_bueNLkkthcRPDJxQ03g=s88-c-k-c0x00ffffff-no-rj</v>
      </c>
      <c r="G26" s="66"/>
      <c r="H26" s="70" t="s">
        <v>320</v>
      </c>
      <c r="I26" s="71"/>
      <c r="J26" s="71" t="s">
        <v>159</v>
      </c>
      <c r="K26" s="70" t="s">
        <v>320</v>
      </c>
      <c r="L26" s="74">
        <v>1</v>
      </c>
      <c r="M26" s="75">
        <v>3199.281982421875</v>
      </c>
      <c r="N26" s="75">
        <v>7118.1904296875</v>
      </c>
      <c r="O26" s="76"/>
      <c r="P26" s="77"/>
      <c r="Q26" s="77"/>
      <c r="R26" s="84"/>
      <c r="S26" s="49">
        <v>1</v>
      </c>
      <c r="T26" s="49">
        <v>0</v>
      </c>
      <c r="U26" s="50">
        <v>0</v>
      </c>
      <c r="V26" s="50">
        <v>0.299145</v>
      </c>
      <c r="W26" s="50">
        <v>0.020397</v>
      </c>
      <c r="X26" s="50">
        <v>0.008273</v>
      </c>
      <c r="Y26" s="50">
        <v>0</v>
      </c>
      <c r="Z26" s="50">
        <v>0</v>
      </c>
      <c r="AA26" s="72">
        <v>13</v>
      </c>
      <c r="AB26" s="72"/>
      <c r="AC26" s="73"/>
      <c r="AD26" s="80" t="s">
        <v>310</v>
      </c>
      <c r="AE26" s="98" t="str">
        <f>HYPERLINK("http://www.youtube.com/channel/UCpSDmUjS6dG0Mg7XPzp51ZQ")</f>
        <v>http://www.youtube.com/channel/UCpSDmUjS6dG0Mg7XPzp51ZQ</v>
      </c>
      <c r="AF26" s="80" t="s">
        <v>320</v>
      </c>
      <c r="AG26" s="80" t="s">
        <v>424</v>
      </c>
      <c r="AH26" s="80" t="str">
        <f>REPLACE(INDEX(GroupVertices[Group],MATCH("~"&amp;Vertices[[#This Row],[Vertex]],GroupVertices[Vertex],0)),1,1,"")</f>
        <v>3</v>
      </c>
      <c r="AI26" s="2"/>
      <c r="AJ26" s="3"/>
      <c r="AK26" s="3"/>
      <c r="AL26" s="3"/>
      <c r="AM26" s="3"/>
    </row>
    <row r="27" spans="1:39" ht="15">
      <c r="A27" s="65" t="s">
        <v>216</v>
      </c>
      <c r="B27" s="66"/>
      <c r="C27" s="66"/>
      <c r="D27" s="67">
        <v>70</v>
      </c>
      <c r="E27" s="69"/>
      <c r="F27" s="99" t="str">
        <f>HYPERLINK("https://yt3.ggpht.com/xwecztZY_z5kQigbovboDoLGQg-VG_o9BP10ZKFZaOyj4aB3J9765LXeSr2G9tC7h7vBtwNyhw=s88-c-k-c0x00ffffff-no-rj")</f>
        <v>https://yt3.ggpht.com/xwecztZY_z5kQigbovboDoLGQg-VG_o9BP10ZKFZaOyj4aB3J9765LXeSr2G9tC7h7vBtwNyhw=s88-c-k-c0x00ffffff-no-rj</v>
      </c>
      <c r="G27" s="66"/>
      <c r="H27" s="70" t="s">
        <v>321</v>
      </c>
      <c r="I27" s="71"/>
      <c r="J27" s="71" t="s">
        <v>159</v>
      </c>
      <c r="K27" s="70" t="s">
        <v>321</v>
      </c>
      <c r="L27" s="74">
        <v>1</v>
      </c>
      <c r="M27" s="75">
        <v>3017.0712890625</v>
      </c>
      <c r="N27" s="75">
        <v>9571.9140625</v>
      </c>
      <c r="O27" s="76"/>
      <c r="P27" s="77"/>
      <c r="Q27" s="77"/>
      <c r="R27" s="84"/>
      <c r="S27" s="49">
        <v>1</v>
      </c>
      <c r="T27" s="49">
        <v>0</v>
      </c>
      <c r="U27" s="50">
        <v>0</v>
      </c>
      <c r="V27" s="50">
        <v>0.299145</v>
      </c>
      <c r="W27" s="50">
        <v>0.020397</v>
      </c>
      <c r="X27" s="50">
        <v>0.008273</v>
      </c>
      <c r="Y27" s="50">
        <v>0</v>
      </c>
      <c r="Z27" s="50">
        <v>0</v>
      </c>
      <c r="AA27" s="72">
        <v>14</v>
      </c>
      <c r="AB27" s="72"/>
      <c r="AC27" s="73"/>
      <c r="AD27" s="80" t="s">
        <v>310</v>
      </c>
      <c r="AE27" s="98" t="str">
        <f>HYPERLINK("http://www.youtube.com/channel/UCl8QdQ9ZaBT65tF1yOmbMBQ")</f>
        <v>http://www.youtube.com/channel/UCl8QdQ9ZaBT65tF1yOmbMBQ</v>
      </c>
      <c r="AF27" s="80" t="s">
        <v>321</v>
      </c>
      <c r="AG27" s="80" t="s">
        <v>425</v>
      </c>
      <c r="AH27" s="80" t="str">
        <f>REPLACE(INDEX(GroupVertices[Group],MATCH("~"&amp;Vertices[[#This Row],[Vertex]],GroupVertices[Vertex],0)),1,1,"")</f>
        <v>3</v>
      </c>
      <c r="AI27" s="2"/>
      <c r="AJ27" s="3"/>
      <c r="AK27" s="3"/>
      <c r="AL27" s="3"/>
      <c r="AM27" s="3"/>
    </row>
    <row r="28" spans="1:39" ht="15">
      <c r="A28" s="65" t="s">
        <v>217</v>
      </c>
      <c r="B28" s="66"/>
      <c r="C28" s="66"/>
      <c r="D28" s="67">
        <v>70</v>
      </c>
      <c r="E28" s="69"/>
      <c r="F28" s="99" t="str">
        <f>HYPERLINK("https://yt3.ggpht.com/ytc/AIf8zZTx_MZHiUiG9-Vaaf8Ut5QYtZ22w0rNnZrzmuID=s88-c-k-c0x00ffffff-no-rj")</f>
        <v>https://yt3.ggpht.com/ytc/AIf8zZTx_MZHiUiG9-Vaaf8Ut5QYtZ22w0rNnZrzmuID=s88-c-k-c0x00ffffff-no-rj</v>
      </c>
      <c r="G28" s="66"/>
      <c r="H28" s="70" t="s">
        <v>322</v>
      </c>
      <c r="I28" s="71"/>
      <c r="J28" s="71" t="s">
        <v>159</v>
      </c>
      <c r="K28" s="70" t="s">
        <v>322</v>
      </c>
      <c r="L28" s="74">
        <v>1</v>
      </c>
      <c r="M28" s="75">
        <v>2494.442626953125</v>
      </c>
      <c r="N28" s="75">
        <v>8328.9814453125</v>
      </c>
      <c r="O28" s="76"/>
      <c r="P28" s="77"/>
      <c r="Q28" s="77"/>
      <c r="R28" s="84"/>
      <c r="S28" s="49">
        <v>1</v>
      </c>
      <c r="T28" s="49">
        <v>0</v>
      </c>
      <c r="U28" s="50">
        <v>0</v>
      </c>
      <c r="V28" s="50">
        <v>0.299145</v>
      </c>
      <c r="W28" s="50">
        <v>0.020397</v>
      </c>
      <c r="X28" s="50">
        <v>0.008273</v>
      </c>
      <c r="Y28" s="50">
        <v>0</v>
      </c>
      <c r="Z28" s="50">
        <v>0</v>
      </c>
      <c r="AA28" s="72">
        <v>15</v>
      </c>
      <c r="AB28" s="72"/>
      <c r="AC28" s="73"/>
      <c r="AD28" s="80" t="s">
        <v>310</v>
      </c>
      <c r="AE28" s="98" t="str">
        <f>HYPERLINK("http://www.youtube.com/channel/UCeH0P2N5lQyIslp2Z6zFudQ")</f>
        <v>http://www.youtube.com/channel/UCeH0P2N5lQyIslp2Z6zFudQ</v>
      </c>
      <c r="AF28" s="80" t="s">
        <v>322</v>
      </c>
      <c r="AG28" s="80" t="s">
        <v>426</v>
      </c>
      <c r="AH28" s="80" t="str">
        <f>REPLACE(INDEX(GroupVertices[Group],MATCH("~"&amp;Vertices[[#This Row],[Vertex]],GroupVertices[Vertex],0)),1,1,"")</f>
        <v>3</v>
      </c>
      <c r="AI28" s="2"/>
      <c r="AJ28" s="3"/>
      <c r="AK28" s="3"/>
      <c r="AL28" s="3"/>
      <c r="AM28" s="3"/>
    </row>
    <row r="29" spans="1:39" ht="15">
      <c r="A29" s="65" t="s">
        <v>218</v>
      </c>
      <c r="B29" s="66"/>
      <c r="C29" s="66"/>
      <c r="D29" s="67">
        <v>70</v>
      </c>
      <c r="E29" s="69"/>
      <c r="F29" s="99" t="str">
        <f>HYPERLINK("https://yt3.ggpht.com/ytc/AIf8zZRJ86uTpbtAStHXbQlfQK8cJWR8PZSQQWAE7fnx=s88-c-k-c0x00ffffff-no-rj")</f>
        <v>https://yt3.ggpht.com/ytc/AIf8zZRJ86uTpbtAStHXbQlfQK8cJWR8PZSQQWAE7fnx=s88-c-k-c0x00ffffff-no-rj</v>
      </c>
      <c r="G29" s="66"/>
      <c r="H29" s="70" t="s">
        <v>323</v>
      </c>
      <c r="I29" s="71"/>
      <c r="J29" s="71" t="s">
        <v>159</v>
      </c>
      <c r="K29" s="70" t="s">
        <v>323</v>
      </c>
      <c r="L29" s="74">
        <v>1</v>
      </c>
      <c r="M29" s="75">
        <v>4286.52001953125</v>
      </c>
      <c r="N29" s="75">
        <v>8730.4541015625</v>
      </c>
      <c r="O29" s="76"/>
      <c r="P29" s="77"/>
      <c r="Q29" s="77"/>
      <c r="R29" s="84"/>
      <c r="S29" s="49">
        <v>1</v>
      </c>
      <c r="T29" s="49">
        <v>0</v>
      </c>
      <c r="U29" s="50">
        <v>0</v>
      </c>
      <c r="V29" s="50">
        <v>0.299145</v>
      </c>
      <c r="W29" s="50">
        <v>0.020397</v>
      </c>
      <c r="X29" s="50">
        <v>0.008273</v>
      </c>
      <c r="Y29" s="50">
        <v>0</v>
      </c>
      <c r="Z29" s="50">
        <v>0</v>
      </c>
      <c r="AA29" s="72">
        <v>16</v>
      </c>
      <c r="AB29" s="72"/>
      <c r="AC29" s="73"/>
      <c r="AD29" s="80" t="s">
        <v>310</v>
      </c>
      <c r="AE29" s="98" t="str">
        <f>HYPERLINK("http://www.youtube.com/channel/UCYCib--ExaS3Rq2ggRTtWiQ")</f>
        <v>http://www.youtube.com/channel/UCYCib--ExaS3Rq2ggRTtWiQ</v>
      </c>
      <c r="AF29" s="80" t="s">
        <v>323</v>
      </c>
      <c r="AG29" s="80" t="s">
        <v>427</v>
      </c>
      <c r="AH29" s="80" t="str">
        <f>REPLACE(INDEX(GroupVertices[Group],MATCH("~"&amp;Vertices[[#This Row],[Vertex]],GroupVertices[Vertex],0)),1,1,"")</f>
        <v>3</v>
      </c>
      <c r="AI29" s="2"/>
      <c r="AJ29" s="3"/>
      <c r="AK29" s="3"/>
      <c r="AL29" s="3"/>
      <c r="AM29" s="3"/>
    </row>
    <row r="30" spans="1:39" ht="15">
      <c r="A30" s="65" t="s">
        <v>219</v>
      </c>
      <c r="B30" s="66"/>
      <c r="C30" s="66"/>
      <c r="D30" s="67">
        <v>70</v>
      </c>
      <c r="E30" s="69"/>
      <c r="F30" s="99" t="str">
        <f>HYPERLINK("https://yt3.ggpht.com/ytc/AIf8zZRLZs8uOIf2J8ab6o8DVL9hSqehc1OjyH0kkc8vRA=s88-c-k-c0x00ffffff-no-rj")</f>
        <v>https://yt3.ggpht.com/ytc/AIf8zZRLZs8uOIf2J8ab6o8DVL9hSqehc1OjyH0kkc8vRA=s88-c-k-c0x00ffffff-no-rj</v>
      </c>
      <c r="G30" s="66"/>
      <c r="H30" s="70" t="s">
        <v>324</v>
      </c>
      <c r="I30" s="71"/>
      <c r="J30" s="71" t="s">
        <v>159</v>
      </c>
      <c r="K30" s="70" t="s">
        <v>324</v>
      </c>
      <c r="L30" s="74">
        <v>1</v>
      </c>
      <c r="M30" s="75">
        <v>2613.307373046875</v>
      </c>
      <c r="N30" s="75">
        <v>7648.6162109375</v>
      </c>
      <c r="O30" s="76"/>
      <c r="P30" s="77"/>
      <c r="Q30" s="77"/>
      <c r="R30" s="84"/>
      <c r="S30" s="49">
        <v>1</v>
      </c>
      <c r="T30" s="49">
        <v>0</v>
      </c>
      <c r="U30" s="50">
        <v>0</v>
      </c>
      <c r="V30" s="50">
        <v>0.299145</v>
      </c>
      <c r="W30" s="50">
        <v>0.020397</v>
      </c>
      <c r="X30" s="50">
        <v>0.008273</v>
      </c>
      <c r="Y30" s="50">
        <v>0</v>
      </c>
      <c r="Z30" s="50">
        <v>0</v>
      </c>
      <c r="AA30" s="72">
        <v>17</v>
      </c>
      <c r="AB30" s="72"/>
      <c r="AC30" s="73"/>
      <c r="AD30" s="80" t="s">
        <v>310</v>
      </c>
      <c r="AE30" s="98" t="str">
        <f>HYPERLINK("http://www.youtube.com/channel/UCWqWkFMzjksaoWGhz6oWctQ")</f>
        <v>http://www.youtube.com/channel/UCWqWkFMzjksaoWGhz6oWctQ</v>
      </c>
      <c r="AF30" s="80" t="s">
        <v>324</v>
      </c>
      <c r="AG30" s="80"/>
      <c r="AH30" s="80" t="str">
        <f>REPLACE(INDEX(GroupVertices[Group],MATCH("~"&amp;Vertices[[#This Row],[Vertex]],GroupVertices[Vertex],0)),1,1,"")</f>
        <v>3</v>
      </c>
      <c r="AI30" s="2"/>
      <c r="AJ30" s="3"/>
      <c r="AK30" s="3"/>
      <c r="AL30" s="3"/>
      <c r="AM30" s="3"/>
    </row>
    <row r="31" spans="1:39" ht="15">
      <c r="A31" s="65" t="s">
        <v>220</v>
      </c>
      <c r="B31" s="66"/>
      <c r="C31" s="66"/>
      <c r="D31" s="67">
        <v>70</v>
      </c>
      <c r="E31" s="69"/>
      <c r="F31" s="99" t="str">
        <f>HYPERLINK("https://yt3.ggpht.com/JC6funLsbeS9-8TqU3Jm8W0Xt17KvlOyVF3wxaJuYVdTvHWbhLIkv32vrC0X6PF4Zc2mNzrmLA=s88-c-k-c0x00ffffff-no-rj")</f>
        <v>https://yt3.ggpht.com/JC6funLsbeS9-8TqU3Jm8W0Xt17KvlOyVF3wxaJuYVdTvHWbhLIkv32vrC0X6PF4Zc2mNzrmLA=s88-c-k-c0x00ffffff-no-rj</v>
      </c>
      <c r="G31" s="66"/>
      <c r="H31" s="70" t="s">
        <v>325</v>
      </c>
      <c r="I31" s="71"/>
      <c r="J31" s="71" t="s">
        <v>159</v>
      </c>
      <c r="K31" s="70" t="s">
        <v>325</v>
      </c>
      <c r="L31" s="74">
        <v>1</v>
      </c>
      <c r="M31" s="75">
        <v>3116.23876953125</v>
      </c>
      <c r="N31" s="75">
        <v>7744.65283203125</v>
      </c>
      <c r="O31" s="76"/>
      <c r="P31" s="77"/>
      <c r="Q31" s="77"/>
      <c r="R31" s="84"/>
      <c r="S31" s="49">
        <v>1</v>
      </c>
      <c r="T31" s="49">
        <v>0</v>
      </c>
      <c r="U31" s="50">
        <v>0</v>
      </c>
      <c r="V31" s="50">
        <v>0.299145</v>
      </c>
      <c r="W31" s="50">
        <v>0.020397</v>
      </c>
      <c r="X31" s="50">
        <v>0.008273</v>
      </c>
      <c r="Y31" s="50">
        <v>0</v>
      </c>
      <c r="Z31" s="50">
        <v>0</v>
      </c>
      <c r="AA31" s="72">
        <v>18</v>
      </c>
      <c r="AB31" s="72"/>
      <c r="AC31" s="73"/>
      <c r="AD31" s="80" t="s">
        <v>310</v>
      </c>
      <c r="AE31" s="98" t="str">
        <f>HYPERLINK("http://www.youtube.com/channel/UCSdDTUWSBvn5qp6yvKCmsNg")</f>
        <v>http://www.youtube.com/channel/UCSdDTUWSBvn5qp6yvKCmsNg</v>
      </c>
      <c r="AF31" s="80" t="s">
        <v>325</v>
      </c>
      <c r="AG31" s="80" t="s">
        <v>428</v>
      </c>
      <c r="AH31" s="80" t="str">
        <f>REPLACE(INDEX(GroupVertices[Group],MATCH("~"&amp;Vertices[[#This Row],[Vertex]],GroupVertices[Vertex],0)),1,1,"")</f>
        <v>3</v>
      </c>
      <c r="AI31" s="2"/>
      <c r="AJ31" s="3"/>
      <c r="AK31" s="3"/>
      <c r="AL31" s="3"/>
      <c r="AM31" s="3"/>
    </row>
    <row r="32" spans="1:39" ht="15">
      <c r="A32" s="65" t="s">
        <v>221</v>
      </c>
      <c r="B32" s="66"/>
      <c r="C32" s="66"/>
      <c r="D32" s="67">
        <v>70</v>
      </c>
      <c r="E32" s="69"/>
      <c r="F32" s="99" t="str">
        <f>HYPERLINK("https://yt3.ggpht.com/-6klHSBe9EsFHwesO8X9umU2mRT0HcRpuruGocl6EdtuFhS5Phbb87F1QL5PGi4kHWuMu-9VkA=s88-c-k-c0x00ffffff-no-rj")</f>
        <v>https://yt3.ggpht.com/-6klHSBe9EsFHwesO8X9umU2mRT0HcRpuruGocl6EdtuFhS5Phbb87F1QL5PGi4kHWuMu-9VkA=s88-c-k-c0x00ffffff-no-rj</v>
      </c>
      <c r="G32" s="66"/>
      <c r="H32" s="70" t="s">
        <v>326</v>
      </c>
      <c r="I32" s="71"/>
      <c r="J32" s="71" t="s">
        <v>159</v>
      </c>
      <c r="K32" s="70" t="s">
        <v>326</v>
      </c>
      <c r="L32" s="74">
        <v>1</v>
      </c>
      <c r="M32" s="75">
        <v>3204.70556640625</v>
      </c>
      <c r="N32" s="75">
        <v>9004.208984375</v>
      </c>
      <c r="O32" s="76"/>
      <c r="P32" s="77"/>
      <c r="Q32" s="77"/>
      <c r="R32" s="84"/>
      <c r="S32" s="49">
        <v>1</v>
      </c>
      <c r="T32" s="49">
        <v>0</v>
      </c>
      <c r="U32" s="50">
        <v>0</v>
      </c>
      <c r="V32" s="50">
        <v>0.299145</v>
      </c>
      <c r="W32" s="50">
        <v>0.020397</v>
      </c>
      <c r="X32" s="50">
        <v>0.008273</v>
      </c>
      <c r="Y32" s="50">
        <v>0</v>
      </c>
      <c r="Z32" s="50">
        <v>0</v>
      </c>
      <c r="AA32" s="72">
        <v>19</v>
      </c>
      <c r="AB32" s="72"/>
      <c r="AC32" s="73"/>
      <c r="AD32" s="80" t="s">
        <v>310</v>
      </c>
      <c r="AE32" s="98" t="str">
        <f>HYPERLINK("http://www.youtube.com/channel/UCNcOVyCtaFlM_hpImAcqe7w")</f>
        <v>http://www.youtube.com/channel/UCNcOVyCtaFlM_hpImAcqe7w</v>
      </c>
      <c r="AF32" s="80" t="s">
        <v>326</v>
      </c>
      <c r="AG32" s="80" t="s">
        <v>429</v>
      </c>
      <c r="AH32" s="80" t="str">
        <f>REPLACE(INDEX(GroupVertices[Group],MATCH("~"&amp;Vertices[[#This Row],[Vertex]],GroupVertices[Vertex],0)),1,1,"")</f>
        <v>3</v>
      </c>
      <c r="AI32" s="2"/>
      <c r="AJ32" s="3"/>
      <c r="AK32" s="3"/>
      <c r="AL32" s="3"/>
      <c r="AM32" s="3"/>
    </row>
    <row r="33" spans="1:39" ht="15">
      <c r="A33" s="65" t="s">
        <v>222</v>
      </c>
      <c r="B33" s="66"/>
      <c r="C33" s="66"/>
      <c r="D33" s="67">
        <v>70</v>
      </c>
      <c r="E33" s="69"/>
      <c r="F33" s="99" t="str">
        <f>HYPERLINK("https://yt3.ggpht.com/ytc/AIf8zZTLAiOC1hFIXvV0KxyKYHV6LgLm6Zk5rOJY_4S9=s88-c-k-c0x00ffffff-no-rj")</f>
        <v>https://yt3.ggpht.com/ytc/AIf8zZTLAiOC1hFIXvV0KxyKYHV6LgLm6Zk5rOJY_4S9=s88-c-k-c0x00ffffff-no-rj</v>
      </c>
      <c r="G33" s="66"/>
      <c r="H33" s="70" t="s">
        <v>327</v>
      </c>
      <c r="I33" s="71"/>
      <c r="J33" s="71" t="s">
        <v>159</v>
      </c>
      <c r="K33" s="70" t="s">
        <v>327</v>
      </c>
      <c r="L33" s="74">
        <v>1</v>
      </c>
      <c r="M33" s="75">
        <v>4039.144287109375</v>
      </c>
      <c r="N33" s="75">
        <v>9229.111328125</v>
      </c>
      <c r="O33" s="76"/>
      <c r="P33" s="77"/>
      <c r="Q33" s="77"/>
      <c r="R33" s="84"/>
      <c r="S33" s="49">
        <v>1</v>
      </c>
      <c r="T33" s="49">
        <v>0</v>
      </c>
      <c r="U33" s="50">
        <v>0</v>
      </c>
      <c r="V33" s="50">
        <v>0.299145</v>
      </c>
      <c r="W33" s="50">
        <v>0.020397</v>
      </c>
      <c r="X33" s="50">
        <v>0.008273</v>
      </c>
      <c r="Y33" s="50">
        <v>0</v>
      </c>
      <c r="Z33" s="50">
        <v>0</v>
      </c>
      <c r="AA33" s="72">
        <v>20</v>
      </c>
      <c r="AB33" s="72"/>
      <c r="AC33" s="73"/>
      <c r="AD33" s="80" t="s">
        <v>310</v>
      </c>
      <c r="AE33" s="98" t="str">
        <f>HYPERLINK("http://www.youtube.com/channel/UCD9tuW9wEA_m5z_rf_mQvCg")</f>
        <v>http://www.youtube.com/channel/UCD9tuW9wEA_m5z_rf_mQvCg</v>
      </c>
      <c r="AF33" s="80" t="s">
        <v>327</v>
      </c>
      <c r="AG33" s="80"/>
      <c r="AH33" s="80" t="str">
        <f>REPLACE(INDEX(GroupVertices[Group],MATCH("~"&amp;Vertices[[#This Row],[Vertex]],GroupVertices[Vertex],0)),1,1,"")</f>
        <v>3</v>
      </c>
      <c r="AI33" s="2"/>
      <c r="AJ33" s="3"/>
      <c r="AK33" s="3"/>
      <c r="AL33" s="3"/>
      <c r="AM33" s="3"/>
    </row>
    <row r="34" spans="1:39" ht="15">
      <c r="A34" s="65" t="s">
        <v>223</v>
      </c>
      <c r="B34" s="66"/>
      <c r="C34" s="66"/>
      <c r="D34" s="67">
        <v>70</v>
      </c>
      <c r="E34" s="69"/>
      <c r="F34" s="99" t="str">
        <f>HYPERLINK("https://yt3.ggpht.com/ytc/AIf8zZR8_sbRnCQicWaclfT4BzRAgP7d8Mze7cpYeiah=s88-c-k-c0x00ffffff-no-rj")</f>
        <v>https://yt3.ggpht.com/ytc/AIf8zZR8_sbRnCQicWaclfT4BzRAgP7d8Mze7cpYeiah=s88-c-k-c0x00ffffff-no-rj</v>
      </c>
      <c r="G34" s="66"/>
      <c r="H34" s="70" t="s">
        <v>328</v>
      </c>
      <c r="I34" s="71"/>
      <c r="J34" s="71" t="s">
        <v>159</v>
      </c>
      <c r="K34" s="70" t="s">
        <v>328</v>
      </c>
      <c r="L34" s="74">
        <v>1</v>
      </c>
      <c r="M34" s="75">
        <v>3638.280029296875</v>
      </c>
      <c r="N34" s="75">
        <v>9587.4560546875</v>
      </c>
      <c r="O34" s="76"/>
      <c r="P34" s="77"/>
      <c r="Q34" s="77"/>
      <c r="R34" s="84"/>
      <c r="S34" s="49">
        <v>1</v>
      </c>
      <c r="T34" s="49">
        <v>0</v>
      </c>
      <c r="U34" s="50">
        <v>0</v>
      </c>
      <c r="V34" s="50">
        <v>0.299145</v>
      </c>
      <c r="W34" s="50">
        <v>0.020397</v>
      </c>
      <c r="X34" s="50">
        <v>0.008273</v>
      </c>
      <c r="Y34" s="50">
        <v>0</v>
      </c>
      <c r="Z34" s="50">
        <v>0</v>
      </c>
      <c r="AA34" s="72">
        <v>21</v>
      </c>
      <c r="AB34" s="72"/>
      <c r="AC34" s="73"/>
      <c r="AD34" s="80" t="s">
        <v>310</v>
      </c>
      <c r="AE34" s="98" t="str">
        <f>HYPERLINK("http://www.youtube.com/channel/UC6Bo5Wr8yPUkleeZaaRzhdg")</f>
        <v>http://www.youtube.com/channel/UC6Bo5Wr8yPUkleeZaaRzhdg</v>
      </c>
      <c r="AF34" s="80" t="s">
        <v>328</v>
      </c>
      <c r="AG34" s="80" t="s">
        <v>328</v>
      </c>
      <c r="AH34" s="80" t="str">
        <f>REPLACE(INDEX(GroupVertices[Group],MATCH("~"&amp;Vertices[[#This Row],[Vertex]],GroupVertices[Vertex],0)),1,1,"")</f>
        <v>3</v>
      </c>
      <c r="AI34" s="2"/>
      <c r="AJ34" s="3"/>
      <c r="AK34" s="3"/>
      <c r="AL34" s="3"/>
      <c r="AM34" s="3"/>
    </row>
    <row r="35" spans="1:39" ht="15">
      <c r="A35" s="65" t="s">
        <v>224</v>
      </c>
      <c r="B35" s="66"/>
      <c r="C35" s="66"/>
      <c r="D35" s="67">
        <v>70</v>
      </c>
      <c r="E35" s="69"/>
      <c r="F35" s="99" t="str">
        <f>HYPERLINK("https://yt3.ggpht.com/ytc/AIf8zZR7LZceFizMF1_1hTY8_EwThGvmazpUfJ6IiP03=s88-c-k-c0x00ffffff-no-rj")</f>
        <v>https://yt3.ggpht.com/ytc/AIf8zZR7LZceFizMF1_1hTY8_EwThGvmazpUfJ6IiP03=s88-c-k-c0x00ffffff-no-rj</v>
      </c>
      <c r="G35" s="66"/>
      <c r="H35" s="70" t="s">
        <v>329</v>
      </c>
      <c r="I35" s="71"/>
      <c r="J35" s="71" t="s">
        <v>159</v>
      </c>
      <c r="K35" s="70" t="s">
        <v>329</v>
      </c>
      <c r="L35" s="74">
        <v>1</v>
      </c>
      <c r="M35" s="75">
        <v>3732.56982421875</v>
      </c>
      <c r="N35" s="75">
        <v>7253.3828125</v>
      </c>
      <c r="O35" s="76"/>
      <c r="P35" s="77"/>
      <c r="Q35" s="77"/>
      <c r="R35" s="84"/>
      <c r="S35" s="49">
        <v>1</v>
      </c>
      <c r="T35" s="49">
        <v>0</v>
      </c>
      <c r="U35" s="50">
        <v>0</v>
      </c>
      <c r="V35" s="50">
        <v>0.299145</v>
      </c>
      <c r="W35" s="50">
        <v>0.020397</v>
      </c>
      <c r="X35" s="50">
        <v>0.008273</v>
      </c>
      <c r="Y35" s="50">
        <v>0</v>
      </c>
      <c r="Z35" s="50">
        <v>0</v>
      </c>
      <c r="AA35" s="72">
        <v>22</v>
      </c>
      <c r="AB35" s="72"/>
      <c r="AC35" s="73"/>
      <c r="AD35" s="80" t="s">
        <v>310</v>
      </c>
      <c r="AE35" s="98" t="str">
        <f>HYPERLINK("http://www.youtube.com/channel/UC3nQ-3fd5OqCXdNflO5-IEQ")</f>
        <v>http://www.youtube.com/channel/UC3nQ-3fd5OqCXdNflO5-IEQ</v>
      </c>
      <c r="AF35" s="80" t="s">
        <v>329</v>
      </c>
      <c r="AG35" s="80"/>
      <c r="AH35" s="80" t="str">
        <f>REPLACE(INDEX(GroupVertices[Group],MATCH("~"&amp;Vertices[[#This Row],[Vertex]],GroupVertices[Vertex],0)),1,1,"")</f>
        <v>3</v>
      </c>
      <c r="AI35" s="2"/>
      <c r="AJ35" s="3"/>
      <c r="AK35" s="3"/>
      <c r="AL35" s="3"/>
      <c r="AM35" s="3"/>
    </row>
    <row r="36" spans="1:39" ht="15">
      <c r="A36" s="65" t="s">
        <v>225</v>
      </c>
      <c r="B36" s="66"/>
      <c r="C36" s="66"/>
      <c r="D36" s="67">
        <v>70</v>
      </c>
      <c r="E36" s="69"/>
      <c r="F36" s="99" t="str">
        <f>HYPERLINK("https://yt3.ggpht.com/Q9HfBtubs8bWwqq5NE0h_L62os6pMTcnU2s7GT4F3YLSNwmJQiLNvgy8PNaMZZdfJzeenMqzT2M=s88-c-k-c0x00ffffff-no-rj")</f>
        <v>https://yt3.ggpht.com/Q9HfBtubs8bWwqq5NE0h_L62os6pMTcnU2s7GT4F3YLSNwmJQiLNvgy8PNaMZZdfJzeenMqzT2M=s88-c-k-c0x00ffffff-no-rj</v>
      </c>
      <c r="G36" s="66"/>
      <c r="H36" s="70" t="s">
        <v>330</v>
      </c>
      <c r="I36" s="71"/>
      <c r="J36" s="71" t="s">
        <v>159</v>
      </c>
      <c r="K36" s="70" t="s">
        <v>330</v>
      </c>
      <c r="L36" s="74">
        <v>1</v>
      </c>
      <c r="M36" s="75">
        <v>4288.318359375</v>
      </c>
      <c r="N36" s="75">
        <v>8143.345703125</v>
      </c>
      <c r="O36" s="76"/>
      <c r="P36" s="77"/>
      <c r="Q36" s="77"/>
      <c r="R36" s="84"/>
      <c r="S36" s="49">
        <v>1</v>
      </c>
      <c r="T36" s="49">
        <v>0</v>
      </c>
      <c r="U36" s="50">
        <v>0</v>
      </c>
      <c r="V36" s="50">
        <v>0.299145</v>
      </c>
      <c r="W36" s="50">
        <v>0.020397</v>
      </c>
      <c r="X36" s="50">
        <v>0.008273</v>
      </c>
      <c r="Y36" s="50">
        <v>0</v>
      </c>
      <c r="Z36" s="50">
        <v>0</v>
      </c>
      <c r="AA36" s="72">
        <v>23</v>
      </c>
      <c r="AB36" s="72"/>
      <c r="AC36" s="73"/>
      <c r="AD36" s="80" t="s">
        <v>310</v>
      </c>
      <c r="AE36" s="98" t="str">
        <f>HYPERLINK("http://www.youtube.com/channel/UC0e9WmyLP34TtGF9Rcc3_bQ")</f>
        <v>http://www.youtube.com/channel/UC0e9WmyLP34TtGF9Rcc3_bQ</v>
      </c>
      <c r="AF36" s="80" t="s">
        <v>330</v>
      </c>
      <c r="AG36" s="80" t="s">
        <v>430</v>
      </c>
      <c r="AH36" s="80" t="str">
        <f>REPLACE(INDEX(GroupVertices[Group],MATCH("~"&amp;Vertices[[#This Row],[Vertex]],GroupVertices[Vertex],0)),1,1,"")</f>
        <v>3</v>
      </c>
      <c r="AI36" s="2"/>
      <c r="AJ36" s="3"/>
      <c r="AK36" s="3"/>
      <c r="AL36" s="3"/>
      <c r="AM36" s="3"/>
    </row>
    <row r="37" spans="1:39" ht="15">
      <c r="A37" s="65" t="s">
        <v>226</v>
      </c>
      <c r="B37" s="66"/>
      <c r="C37" s="66"/>
      <c r="D37" s="67">
        <v>70</v>
      </c>
      <c r="E37" s="69"/>
      <c r="F37" s="99" t="str">
        <f>HYPERLINK("https://yt3.ggpht.com/ytc/AIf8zZTmud6ayKYWbnXGJ0MNsrfQ3cZ53_mesqLYrGLS=s88-c-k-c0x00ffffff-no-rj")</f>
        <v>https://yt3.ggpht.com/ytc/AIf8zZTmud6ayKYWbnXGJ0MNsrfQ3cZ53_mesqLYrGLS=s88-c-k-c0x00ffffff-no-rj</v>
      </c>
      <c r="G37" s="66"/>
      <c r="H37" s="70" t="s">
        <v>331</v>
      </c>
      <c r="I37" s="71"/>
      <c r="J37" s="71" t="s">
        <v>159</v>
      </c>
      <c r="K37" s="70" t="s">
        <v>331</v>
      </c>
      <c r="L37" s="74">
        <v>1</v>
      </c>
      <c r="M37" s="75">
        <v>2580.464111328125</v>
      </c>
      <c r="N37" s="75">
        <v>8978.1455078125</v>
      </c>
      <c r="O37" s="76"/>
      <c r="P37" s="77"/>
      <c r="Q37" s="77"/>
      <c r="R37" s="84"/>
      <c r="S37" s="49">
        <v>1</v>
      </c>
      <c r="T37" s="49">
        <v>0</v>
      </c>
      <c r="U37" s="50">
        <v>0</v>
      </c>
      <c r="V37" s="50">
        <v>0.299145</v>
      </c>
      <c r="W37" s="50">
        <v>0.020397</v>
      </c>
      <c r="X37" s="50">
        <v>0.008273</v>
      </c>
      <c r="Y37" s="50">
        <v>0</v>
      </c>
      <c r="Z37" s="50">
        <v>0</v>
      </c>
      <c r="AA37" s="72">
        <v>24</v>
      </c>
      <c r="AB37" s="72"/>
      <c r="AC37" s="73"/>
      <c r="AD37" s="80" t="s">
        <v>310</v>
      </c>
      <c r="AE37" s="98" t="str">
        <f>HYPERLINK("http://www.youtube.com/channel/UC0Z0PhWypjhll0Ma3dK99uA")</f>
        <v>http://www.youtube.com/channel/UC0Z0PhWypjhll0Ma3dK99uA</v>
      </c>
      <c r="AF37" s="80" t="s">
        <v>331</v>
      </c>
      <c r="AG37" s="80" t="s">
        <v>431</v>
      </c>
      <c r="AH37" s="80" t="str">
        <f>REPLACE(INDEX(GroupVertices[Group],MATCH("~"&amp;Vertices[[#This Row],[Vertex]],GroupVertices[Vertex],0)),1,1,"")</f>
        <v>3</v>
      </c>
      <c r="AI37" s="2"/>
      <c r="AJ37" s="3"/>
      <c r="AK37" s="3"/>
      <c r="AL37" s="3"/>
      <c r="AM37" s="3"/>
    </row>
    <row r="38" spans="1:39" ht="15">
      <c r="A38" s="65" t="s">
        <v>227</v>
      </c>
      <c r="B38" s="66"/>
      <c r="C38" s="66"/>
      <c r="D38" s="67">
        <v>70</v>
      </c>
      <c r="E38" s="69"/>
      <c r="F38" s="99" t="str">
        <f>HYPERLINK("https://yt3.ggpht.com/ytc/AIf8zZSr9TDRjLyNxu6q2SHkI2x8TvNbcZMPIyY2DlCe=s88-c-k-c0x00ffffff-no-rj")</f>
        <v>https://yt3.ggpht.com/ytc/AIf8zZSr9TDRjLyNxu6q2SHkI2x8TvNbcZMPIyY2DlCe=s88-c-k-c0x00ffffff-no-rj</v>
      </c>
      <c r="G38" s="66"/>
      <c r="H38" s="70" t="s">
        <v>333</v>
      </c>
      <c r="I38" s="71"/>
      <c r="J38" s="71" t="s">
        <v>159</v>
      </c>
      <c r="K38" s="70" t="s">
        <v>333</v>
      </c>
      <c r="L38" s="74">
        <v>1</v>
      </c>
      <c r="M38" s="75">
        <v>6697.84375</v>
      </c>
      <c r="N38" s="75">
        <v>6039.92138671875</v>
      </c>
      <c r="O38" s="76"/>
      <c r="P38" s="77"/>
      <c r="Q38" s="77"/>
      <c r="R38" s="84"/>
      <c r="S38" s="49">
        <v>1</v>
      </c>
      <c r="T38" s="49">
        <v>0</v>
      </c>
      <c r="U38" s="50">
        <v>0</v>
      </c>
      <c r="V38" s="50">
        <v>0.28</v>
      </c>
      <c r="W38" s="50">
        <v>0.01404</v>
      </c>
      <c r="X38" s="50">
        <v>0.008732</v>
      </c>
      <c r="Y38" s="50">
        <v>0</v>
      </c>
      <c r="Z38" s="50">
        <v>0</v>
      </c>
      <c r="AA38" s="72">
        <v>26</v>
      </c>
      <c r="AB38" s="72"/>
      <c r="AC38" s="73"/>
      <c r="AD38" s="80" t="s">
        <v>310</v>
      </c>
      <c r="AE38" s="98" t="str">
        <f>HYPERLINK("http://www.youtube.com/channel/UCX1mra3UNedZg6QIVI54_9A")</f>
        <v>http://www.youtube.com/channel/UCX1mra3UNedZg6QIVI54_9A</v>
      </c>
      <c r="AF38" s="80" t="s">
        <v>333</v>
      </c>
      <c r="AG38" s="80" t="s">
        <v>433</v>
      </c>
      <c r="AH38" s="80" t="str">
        <f>REPLACE(INDEX(GroupVertices[Group],MATCH("~"&amp;Vertices[[#This Row],[Vertex]],GroupVertices[Vertex],0)),1,1,"")</f>
        <v>1</v>
      </c>
      <c r="AI38" s="2"/>
      <c r="AJ38" s="3"/>
      <c r="AK38" s="3"/>
      <c r="AL38" s="3"/>
      <c r="AM38" s="3"/>
    </row>
    <row r="39" spans="1:39" ht="15">
      <c r="A39" s="65" t="s">
        <v>228</v>
      </c>
      <c r="B39" s="66"/>
      <c r="C39" s="66"/>
      <c r="D39" s="67">
        <v>70</v>
      </c>
      <c r="E39" s="69"/>
      <c r="F39" s="99" t="str">
        <f>HYPERLINK("https://yt3.ggpht.com/ytc/AIf8zZSJ2tuO_MoD9xwmsJReZ3wrNPPaT6H82CDZnFa-=s88-c-k-c0x00ffffff-no-rj")</f>
        <v>https://yt3.ggpht.com/ytc/AIf8zZSJ2tuO_MoD9xwmsJReZ3wrNPPaT6H82CDZnFa-=s88-c-k-c0x00ffffff-no-rj</v>
      </c>
      <c r="G39" s="66"/>
      <c r="H39" s="70" t="s">
        <v>335</v>
      </c>
      <c r="I39" s="71"/>
      <c r="J39" s="71" t="s">
        <v>159</v>
      </c>
      <c r="K39" s="70" t="s">
        <v>335</v>
      </c>
      <c r="L39" s="74">
        <v>1</v>
      </c>
      <c r="M39" s="75">
        <v>774.8694458007812</v>
      </c>
      <c r="N39" s="75">
        <v>7903.1728515625</v>
      </c>
      <c r="O39" s="76"/>
      <c r="P39" s="77"/>
      <c r="Q39" s="77"/>
      <c r="R39" s="84"/>
      <c r="S39" s="49">
        <v>1</v>
      </c>
      <c r="T39" s="49">
        <v>0</v>
      </c>
      <c r="U39" s="50">
        <v>0</v>
      </c>
      <c r="V39" s="50">
        <v>0.283019</v>
      </c>
      <c r="W39" s="50">
        <v>0.014694</v>
      </c>
      <c r="X39" s="50">
        <v>0.008469</v>
      </c>
      <c r="Y39" s="50">
        <v>0</v>
      </c>
      <c r="Z39" s="50">
        <v>0</v>
      </c>
      <c r="AA39" s="72">
        <v>28</v>
      </c>
      <c r="AB39" s="72"/>
      <c r="AC39" s="73"/>
      <c r="AD39" s="80" t="s">
        <v>310</v>
      </c>
      <c r="AE39" s="98" t="str">
        <f>HYPERLINK("http://www.youtube.com/channel/UCMdx4ut9-1K0puAOT4WSq_Q")</f>
        <v>http://www.youtube.com/channel/UCMdx4ut9-1K0puAOT4WSq_Q</v>
      </c>
      <c r="AF39" s="80" t="s">
        <v>335</v>
      </c>
      <c r="AG39" s="80" t="s">
        <v>435</v>
      </c>
      <c r="AH39" s="80" t="str">
        <f>REPLACE(INDEX(GroupVertices[Group],MATCH("~"&amp;Vertices[[#This Row],[Vertex]],GroupVertices[Vertex],0)),1,1,"")</f>
        <v>8</v>
      </c>
      <c r="AI39" s="2"/>
      <c r="AJ39" s="3"/>
      <c r="AK39" s="3"/>
      <c r="AL39" s="3"/>
      <c r="AM39" s="3"/>
    </row>
    <row r="40" spans="1:39" ht="15">
      <c r="A40" s="65" t="s">
        <v>229</v>
      </c>
      <c r="B40" s="66"/>
      <c r="C40" s="66"/>
      <c r="D40" s="67">
        <v>70</v>
      </c>
      <c r="E40" s="69"/>
      <c r="F40" s="99" t="str">
        <f>HYPERLINK("https://yt3.ggpht.com/pQRHcW7BhENqfNbTtbKFT1v23ft8wIikDHaw2oRjt1GLPvDgL5LoiBsmG7Ugu5rzC1WmZjXIZw=s88-c-k-c0x00ffffff-no-rj")</f>
        <v>https://yt3.ggpht.com/pQRHcW7BhENqfNbTtbKFT1v23ft8wIikDHaw2oRjt1GLPvDgL5LoiBsmG7Ugu5rzC1WmZjXIZw=s88-c-k-c0x00ffffff-no-rj</v>
      </c>
      <c r="G40" s="66"/>
      <c r="H40" s="70" t="s">
        <v>336</v>
      </c>
      <c r="I40" s="71"/>
      <c r="J40" s="71" t="s">
        <v>159</v>
      </c>
      <c r="K40" s="70" t="s">
        <v>336</v>
      </c>
      <c r="L40" s="74">
        <v>1</v>
      </c>
      <c r="M40" s="75">
        <v>329.05413818359375</v>
      </c>
      <c r="N40" s="75">
        <v>7903.1728515625</v>
      </c>
      <c r="O40" s="76"/>
      <c r="P40" s="77"/>
      <c r="Q40" s="77"/>
      <c r="R40" s="84"/>
      <c r="S40" s="49">
        <v>1</v>
      </c>
      <c r="T40" s="49">
        <v>0</v>
      </c>
      <c r="U40" s="50">
        <v>0</v>
      </c>
      <c r="V40" s="50">
        <v>0.283019</v>
      </c>
      <c r="W40" s="50">
        <v>0.014694</v>
      </c>
      <c r="X40" s="50">
        <v>0.008469</v>
      </c>
      <c r="Y40" s="50">
        <v>0</v>
      </c>
      <c r="Z40" s="50">
        <v>0</v>
      </c>
      <c r="AA40" s="72">
        <v>29</v>
      </c>
      <c r="AB40" s="72"/>
      <c r="AC40" s="73"/>
      <c r="AD40" s="80" t="s">
        <v>310</v>
      </c>
      <c r="AE40" s="98" t="str">
        <f>HYPERLINK("http://www.youtube.com/channel/UCI0I3H-z2Wdjb__Ak2J8S8A")</f>
        <v>http://www.youtube.com/channel/UCI0I3H-z2Wdjb__Ak2J8S8A</v>
      </c>
      <c r="AF40" s="80" t="s">
        <v>336</v>
      </c>
      <c r="AG40" s="80" t="s">
        <v>436</v>
      </c>
      <c r="AH40" s="80" t="str">
        <f>REPLACE(INDEX(GroupVertices[Group],MATCH("~"&amp;Vertices[[#This Row],[Vertex]],GroupVertices[Vertex],0)),1,1,"")</f>
        <v>8</v>
      </c>
      <c r="AI40" s="2"/>
      <c r="AJ40" s="3"/>
      <c r="AK40" s="3"/>
      <c r="AL40" s="3"/>
      <c r="AM40" s="3"/>
    </row>
    <row r="41" spans="1:39" ht="15">
      <c r="A41" s="65" t="s">
        <v>230</v>
      </c>
      <c r="B41" s="66"/>
      <c r="C41" s="66"/>
      <c r="D41" s="67">
        <v>70</v>
      </c>
      <c r="E41" s="69"/>
      <c r="F41" s="99" t="str">
        <f>HYPERLINK("https://yt3.ggpht.com/ytc/AIf8zZRYvkGsUP1XQm_toSZNm6a_-XGdkmpBEnbZRTgv=s88-c-k-c0x00ffffff-no-rj")</f>
        <v>https://yt3.ggpht.com/ytc/AIf8zZRYvkGsUP1XQm_toSZNm6a_-XGdkmpBEnbZRTgv=s88-c-k-c0x00ffffff-no-rj</v>
      </c>
      <c r="G41" s="66"/>
      <c r="H41" s="70" t="s">
        <v>337</v>
      </c>
      <c r="I41" s="71"/>
      <c r="J41" s="71" t="s">
        <v>159</v>
      </c>
      <c r="K41" s="70" t="s">
        <v>337</v>
      </c>
      <c r="L41" s="74">
        <v>1</v>
      </c>
      <c r="M41" s="75">
        <v>774.8694458007812</v>
      </c>
      <c r="N41" s="75">
        <v>7278.2353515625</v>
      </c>
      <c r="O41" s="76"/>
      <c r="P41" s="77"/>
      <c r="Q41" s="77"/>
      <c r="R41" s="84"/>
      <c r="S41" s="49">
        <v>1</v>
      </c>
      <c r="T41" s="49">
        <v>0</v>
      </c>
      <c r="U41" s="50">
        <v>0</v>
      </c>
      <c r="V41" s="50">
        <v>0.283019</v>
      </c>
      <c r="W41" s="50">
        <v>0.014694</v>
      </c>
      <c r="X41" s="50">
        <v>0.008469</v>
      </c>
      <c r="Y41" s="50">
        <v>0</v>
      </c>
      <c r="Z41" s="50">
        <v>0</v>
      </c>
      <c r="AA41" s="72">
        <v>30</v>
      </c>
      <c r="AB41" s="72"/>
      <c r="AC41" s="73"/>
      <c r="AD41" s="80" t="s">
        <v>310</v>
      </c>
      <c r="AE41" s="98" t="str">
        <f>HYPERLINK("http://www.youtube.com/channel/UC5EVeMGLTLx-2ZlxBL1U-WA")</f>
        <v>http://www.youtube.com/channel/UC5EVeMGLTLx-2ZlxBL1U-WA</v>
      </c>
      <c r="AF41" s="80" t="s">
        <v>337</v>
      </c>
      <c r="AG41" s="80" t="s">
        <v>437</v>
      </c>
      <c r="AH41" s="80" t="str">
        <f>REPLACE(INDEX(GroupVertices[Group],MATCH("~"&amp;Vertices[[#This Row],[Vertex]],GroupVertices[Vertex],0)),1,1,"")</f>
        <v>8</v>
      </c>
      <c r="AI41" s="2"/>
      <c r="AJ41" s="3"/>
      <c r="AK41" s="3"/>
      <c r="AL41" s="3"/>
      <c r="AM41" s="3"/>
    </row>
    <row r="42" spans="1:39" ht="15">
      <c r="A42" s="65" t="s">
        <v>231</v>
      </c>
      <c r="B42" s="66"/>
      <c r="C42" s="66"/>
      <c r="D42" s="67">
        <v>70</v>
      </c>
      <c r="E42" s="69"/>
      <c r="F42" s="99" t="str">
        <f>HYPERLINK("https://yt3.ggpht.com/ytc/AIf8zZQAvqg5xJLZNYqXfN6EQCclhgF8E9zjkP4fWpPj4w=s88-c-k-c0x00ffffff-no-rj")</f>
        <v>https://yt3.ggpht.com/ytc/AIf8zZQAvqg5xJLZNYqXfN6EQCclhgF8E9zjkP4fWpPj4w=s88-c-k-c0x00ffffff-no-rj</v>
      </c>
      <c r="G42" s="66"/>
      <c r="H42" s="70" t="s">
        <v>339</v>
      </c>
      <c r="I42" s="71"/>
      <c r="J42" s="71" t="s">
        <v>159</v>
      </c>
      <c r="K42" s="70" t="s">
        <v>339</v>
      </c>
      <c r="L42" s="74">
        <v>1</v>
      </c>
      <c r="M42" s="75">
        <v>2869.65869140625</v>
      </c>
      <c r="N42" s="75">
        <v>4559.16064453125</v>
      </c>
      <c r="O42" s="76"/>
      <c r="P42" s="77"/>
      <c r="Q42" s="77"/>
      <c r="R42" s="84"/>
      <c r="S42" s="49">
        <v>1</v>
      </c>
      <c r="T42" s="49">
        <v>0</v>
      </c>
      <c r="U42" s="50">
        <v>0</v>
      </c>
      <c r="V42" s="50">
        <v>0.318182</v>
      </c>
      <c r="W42" s="50">
        <v>0.040728</v>
      </c>
      <c r="X42" s="50">
        <v>0.008222</v>
      </c>
      <c r="Y42" s="50">
        <v>0</v>
      </c>
      <c r="Z42" s="50">
        <v>0</v>
      </c>
      <c r="AA42" s="72">
        <v>32</v>
      </c>
      <c r="AB42" s="72"/>
      <c r="AC42" s="73"/>
      <c r="AD42" s="80" t="s">
        <v>310</v>
      </c>
      <c r="AE42" s="98" t="str">
        <f>HYPERLINK("http://www.youtube.com/channel/UCxHThrSvr-fQFJsFpsKcKpw")</f>
        <v>http://www.youtube.com/channel/UCxHThrSvr-fQFJsFpsKcKpw</v>
      </c>
      <c r="AF42" s="80" t="s">
        <v>339</v>
      </c>
      <c r="AG42" s="80" t="s">
        <v>439</v>
      </c>
      <c r="AH42" s="80" t="str">
        <f>REPLACE(INDEX(GroupVertices[Group],MATCH("~"&amp;Vertices[[#This Row],[Vertex]],GroupVertices[Vertex],0)),1,1,"")</f>
        <v>2</v>
      </c>
      <c r="AI42" s="2"/>
      <c r="AJ42" s="3"/>
      <c r="AK42" s="3"/>
      <c r="AL42" s="3"/>
      <c r="AM42" s="3"/>
    </row>
    <row r="43" spans="1:39" ht="15">
      <c r="A43" s="65" t="s">
        <v>232</v>
      </c>
      <c r="B43" s="66"/>
      <c r="C43" s="66"/>
      <c r="D43" s="67">
        <v>70</v>
      </c>
      <c r="E43" s="69"/>
      <c r="F43" s="99" t="str">
        <f>HYPERLINK("https://yt3.ggpht.com/ytc/AIf8zZQo4ZEMXlMU6OyrJuM-bONo7XRMVj-czdbccuGR=s88-c-k-c0x00ffffff-no-rj")</f>
        <v>https://yt3.ggpht.com/ytc/AIf8zZQo4ZEMXlMU6OyrJuM-bONo7XRMVj-czdbccuGR=s88-c-k-c0x00ffffff-no-rj</v>
      </c>
      <c r="G43" s="66"/>
      <c r="H43" s="70" t="s">
        <v>340</v>
      </c>
      <c r="I43" s="71"/>
      <c r="J43" s="71" t="s">
        <v>159</v>
      </c>
      <c r="K43" s="70" t="s">
        <v>340</v>
      </c>
      <c r="L43" s="74">
        <v>1</v>
      </c>
      <c r="M43" s="75">
        <v>3375.45849609375</v>
      </c>
      <c r="N43" s="75">
        <v>4405.27001953125</v>
      </c>
      <c r="O43" s="76"/>
      <c r="P43" s="77"/>
      <c r="Q43" s="77"/>
      <c r="R43" s="84"/>
      <c r="S43" s="49">
        <v>1</v>
      </c>
      <c r="T43" s="49">
        <v>0</v>
      </c>
      <c r="U43" s="50">
        <v>0</v>
      </c>
      <c r="V43" s="50">
        <v>0.318182</v>
      </c>
      <c r="W43" s="50">
        <v>0.040728</v>
      </c>
      <c r="X43" s="50">
        <v>0.008222</v>
      </c>
      <c r="Y43" s="50">
        <v>0</v>
      </c>
      <c r="Z43" s="50">
        <v>0</v>
      </c>
      <c r="AA43" s="72">
        <v>33</v>
      </c>
      <c r="AB43" s="72"/>
      <c r="AC43" s="73"/>
      <c r="AD43" s="80" t="s">
        <v>310</v>
      </c>
      <c r="AE43" s="98" t="str">
        <f>HYPERLINK("http://www.youtube.com/channel/UCvhco_i3akl_yhKLgsjEcNA")</f>
        <v>http://www.youtube.com/channel/UCvhco_i3akl_yhKLgsjEcNA</v>
      </c>
      <c r="AF43" s="80" t="s">
        <v>340</v>
      </c>
      <c r="AG43" s="80" t="s">
        <v>440</v>
      </c>
      <c r="AH43" s="80" t="str">
        <f>REPLACE(INDEX(GroupVertices[Group],MATCH("~"&amp;Vertices[[#This Row],[Vertex]],GroupVertices[Vertex],0)),1,1,"")</f>
        <v>2</v>
      </c>
      <c r="AI43" s="2"/>
      <c r="AJ43" s="3"/>
      <c r="AK43" s="3"/>
      <c r="AL43" s="3"/>
      <c r="AM43" s="3"/>
    </row>
    <row r="44" spans="1:39" ht="15">
      <c r="A44" s="65" t="s">
        <v>234</v>
      </c>
      <c r="B44" s="66"/>
      <c r="C44" s="66"/>
      <c r="D44" s="67">
        <v>70</v>
      </c>
      <c r="E44" s="69"/>
      <c r="F44" s="99" t="str">
        <f>HYPERLINK("https://yt3.ggpht.com/ytc/AIf8zZTEcpfiLMjibPJfDT-FK-dv-MKKz_r7KrUVMuud=s88-c-k-c0x00ffffff-no-rj")</f>
        <v>https://yt3.ggpht.com/ytc/AIf8zZTEcpfiLMjibPJfDT-FK-dv-MKKz_r7KrUVMuud=s88-c-k-c0x00ffffff-no-rj</v>
      </c>
      <c r="G44" s="66"/>
      <c r="H44" s="70" t="s">
        <v>342</v>
      </c>
      <c r="I44" s="71"/>
      <c r="J44" s="71" t="s">
        <v>159</v>
      </c>
      <c r="K44" s="70" t="s">
        <v>342</v>
      </c>
      <c r="L44" s="74">
        <v>1</v>
      </c>
      <c r="M44" s="75">
        <v>2714.1552734375</v>
      </c>
      <c r="N44" s="75">
        <v>2708.365234375</v>
      </c>
      <c r="O44" s="76"/>
      <c r="P44" s="77"/>
      <c r="Q44" s="77"/>
      <c r="R44" s="84"/>
      <c r="S44" s="49">
        <v>1</v>
      </c>
      <c r="T44" s="49">
        <v>0</v>
      </c>
      <c r="U44" s="50">
        <v>0</v>
      </c>
      <c r="V44" s="50">
        <v>0.318182</v>
      </c>
      <c r="W44" s="50">
        <v>0.040728</v>
      </c>
      <c r="X44" s="50">
        <v>0.008222</v>
      </c>
      <c r="Y44" s="50">
        <v>0</v>
      </c>
      <c r="Z44" s="50">
        <v>0</v>
      </c>
      <c r="AA44" s="72">
        <v>35</v>
      </c>
      <c r="AB44" s="72"/>
      <c r="AC44" s="73"/>
      <c r="AD44" s="80" t="s">
        <v>310</v>
      </c>
      <c r="AE44" s="98" t="str">
        <f>HYPERLINK("http://www.youtube.com/channel/UCZRifFCB0mF6_wat_NO-qjg")</f>
        <v>http://www.youtube.com/channel/UCZRifFCB0mF6_wat_NO-qjg</v>
      </c>
      <c r="AF44" s="80" t="s">
        <v>342</v>
      </c>
      <c r="AG44" s="80" t="s">
        <v>442</v>
      </c>
      <c r="AH44" s="80" t="str">
        <f>REPLACE(INDEX(GroupVertices[Group],MATCH("~"&amp;Vertices[[#This Row],[Vertex]],GroupVertices[Vertex],0)),1,1,"")</f>
        <v>2</v>
      </c>
      <c r="AI44" s="2"/>
      <c r="AJ44" s="3"/>
      <c r="AK44" s="3"/>
      <c r="AL44" s="3"/>
      <c r="AM44" s="3"/>
    </row>
    <row r="45" spans="1:39" ht="15">
      <c r="A45" s="65" t="s">
        <v>235</v>
      </c>
      <c r="B45" s="66"/>
      <c r="C45" s="66"/>
      <c r="D45" s="67">
        <v>70</v>
      </c>
      <c r="E45" s="69"/>
      <c r="F45" s="99" t="str">
        <f>HYPERLINK("https://yt3.ggpht.com/ytc/AIf8zZQJVwddtIGpPr0TK6NjxEnvhkxnqVU6TD-CRSC-XQ=s88-c-k-c0x00ffffff-no-rj")</f>
        <v>https://yt3.ggpht.com/ytc/AIf8zZQJVwddtIGpPr0TK6NjxEnvhkxnqVU6TD-CRSC-XQ=s88-c-k-c0x00ffffff-no-rj</v>
      </c>
      <c r="G45" s="66"/>
      <c r="H45" s="70" t="s">
        <v>343</v>
      </c>
      <c r="I45" s="71"/>
      <c r="J45" s="71" t="s">
        <v>159</v>
      </c>
      <c r="K45" s="70" t="s">
        <v>343</v>
      </c>
      <c r="L45" s="74">
        <v>1</v>
      </c>
      <c r="M45" s="75">
        <v>1273.7579345703125</v>
      </c>
      <c r="N45" s="75">
        <v>4473.9501953125</v>
      </c>
      <c r="O45" s="76"/>
      <c r="P45" s="77"/>
      <c r="Q45" s="77"/>
      <c r="R45" s="84"/>
      <c r="S45" s="49">
        <v>1</v>
      </c>
      <c r="T45" s="49">
        <v>0</v>
      </c>
      <c r="U45" s="50">
        <v>0</v>
      </c>
      <c r="V45" s="50">
        <v>0.318182</v>
      </c>
      <c r="W45" s="50">
        <v>0.040728</v>
      </c>
      <c r="X45" s="50">
        <v>0.008222</v>
      </c>
      <c r="Y45" s="50">
        <v>0</v>
      </c>
      <c r="Z45" s="50">
        <v>0</v>
      </c>
      <c r="AA45" s="72">
        <v>36</v>
      </c>
      <c r="AB45" s="72"/>
      <c r="AC45" s="73"/>
      <c r="AD45" s="80" t="s">
        <v>310</v>
      </c>
      <c r="AE45" s="98" t="str">
        <f>HYPERLINK("http://www.youtube.com/channel/UCYBQQU7VCu8M6djxI4dvpIg")</f>
        <v>http://www.youtube.com/channel/UCYBQQU7VCu8M6djxI4dvpIg</v>
      </c>
      <c r="AF45" s="80" t="s">
        <v>343</v>
      </c>
      <c r="AG45" s="80" t="s">
        <v>443</v>
      </c>
      <c r="AH45" s="80" t="str">
        <f>REPLACE(INDEX(GroupVertices[Group],MATCH("~"&amp;Vertices[[#This Row],[Vertex]],GroupVertices[Vertex],0)),1,1,"")</f>
        <v>2</v>
      </c>
      <c r="AI45" s="2"/>
      <c r="AJ45" s="3"/>
      <c r="AK45" s="3"/>
      <c r="AL45" s="3"/>
      <c r="AM45" s="3"/>
    </row>
    <row r="46" spans="1:39" ht="15">
      <c r="A46" s="65" t="s">
        <v>236</v>
      </c>
      <c r="B46" s="66"/>
      <c r="C46" s="66"/>
      <c r="D46" s="67">
        <v>70</v>
      </c>
      <c r="E46" s="69"/>
      <c r="F46" s="99" t="str">
        <f>HYPERLINK("https://yt3.ggpht.com/ytc/AIf8zZST2iuEvu3NBsYbqbuipiS34iMdPMbzdT70t-5pow=s88-c-k-c0x00ffffff-no-rj")</f>
        <v>https://yt3.ggpht.com/ytc/AIf8zZST2iuEvu3NBsYbqbuipiS34iMdPMbzdT70t-5pow=s88-c-k-c0x00ffffff-no-rj</v>
      </c>
      <c r="G46" s="66"/>
      <c r="H46" s="70" t="s">
        <v>344</v>
      </c>
      <c r="I46" s="71"/>
      <c r="J46" s="71" t="s">
        <v>159</v>
      </c>
      <c r="K46" s="70" t="s">
        <v>344</v>
      </c>
      <c r="L46" s="74">
        <v>1</v>
      </c>
      <c r="M46" s="75">
        <v>2811.484619140625</v>
      </c>
      <c r="N46" s="75">
        <v>3539.9091796875</v>
      </c>
      <c r="O46" s="76"/>
      <c r="P46" s="77"/>
      <c r="Q46" s="77"/>
      <c r="R46" s="84"/>
      <c r="S46" s="49">
        <v>1</v>
      </c>
      <c r="T46" s="49">
        <v>0</v>
      </c>
      <c r="U46" s="50">
        <v>0</v>
      </c>
      <c r="V46" s="50">
        <v>0.318182</v>
      </c>
      <c r="W46" s="50">
        <v>0.040728</v>
      </c>
      <c r="X46" s="50">
        <v>0.008222</v>
      </c>
      <c r="Y46" s="50">
        <v>0</v>
      </c>
      <c r="Z46" s="50">
        <v>0</v>
      </c>
      <c r="AA46" s="72">
        <v>37</v>
      </c>
      <c r="AB46" s="72"/>
      <c r="AC46" s="73"/>
      <c r="AD46" s="80" t="s">
        <v>310</v>
      </c>
      <c r="AE46" s="98" t="str">
        <f>HYPERLINK("http://www.youtube.com/channel/UCY6ozViZ-tNJqctsghUq1bQ")</f>
        <v>http://www.youtube.com/channel/UCY6ozViZ-tNJqctsghUq1bQ</v>
      </c>
      <c r="AF46" s="80" t="s">
        <v>344</v>
      </c>
      <c r="AG46" s="80" t="s">
        <v>444</v>
      </c>
      <c r="AH46" s="80" t="str">
        <f>REPLACE(INDEX(GroupVertices[Group],MATCH("~"&amp;Vertices[[#This Row],[Vertex]],GroupVertices[Vertex],0)),1,1,"")</f>
        <v>2</v>
      </c>
      <c r="AI46" s="2"/>
      <c r="AJ46" s="3"/>
      <c r="AK46" s="3"/>
      <c r="AL46" s="3"/>
      <c r="AM46" s="3"/>
    </row>
    <row r="47" spans="1:39" ht="15">
      <c r="A47" s="65" t="s">
        <v>237</v>
      </c>
      <c r="B47" s="66"/>
      <c r="C47" s="66"/>
      <c r="D47" s="67">
        <v>70</v>
      </c>
      <c r="E47" s="69"/>
      <c r="F47" s="99" t="str">
        <f>HYPERLINK("https://yt3.ggpht.com/ytc/AIf8zZQs0wORm5AxVt2cL7Gl7Ydo_grlttFbmS7_bdeZ=s88-c-k-c0x00ffffff-no-rj")</f>
        <v>https://yt3.ggpht.com/ytc/AIf8zZQs0wORm5AxVt2cL7Gl7Ydo_grlttFbmS7_bdeZ=s88-c-k-c0x00ffffff-no-rj</v>
      </c>
      <c r="G47" s="66"/>
      <c r="H47" s="70" t="s">
        <v>345</v>
      </c>
      <c r="I47" s="71"/>
      <c r="J47" s="71" t="s">
        <v>159</v>
      </c>
      <c r="K47" s="70" t="s">
        <v>345</v>
      </c>
      <c r="L47" s="74">
        <v>1</v>
      </c>
      <c r="M47" s="75">
        <v>3117.866455078125</v>
      </c>
      <c r="N47" s="75">
        <v>5114.53271484375</v>
      </c>
      <c r="O47" s="76"/>
      <c r="P47" s="77"/>
      <c r="Q47" s="77"/>
      <c r="R47" s="84"/>
      <c r="S47" s="49">
        <v>1</v>
      </c>
      <c r="T47" s="49">
        <v>0</v>
      </c>
      <c r="U47" s="50">
        <v>0</v>
      </c>
      <c r="V47" s="50">
        <v>0.318182</v>
      </c>
      <c r="W47" s="50">
        <v>0.040728</v>
      </c>
      <c r="X47" s="50">
        <v>0.008222</v>
      </c>
      <c r="Y47" s="50">
        <v>0</v>
      </c>
      <c r="Z47" s="50">
        <v>0</v>
      </c>
      <c r="AA47" s="72">
        <v>38</v>
      </c>
      <c r="AB47" s="72"/>
      <c r="AC47" s="73"/>
      <c r="AD47" s="80" t="s">
        <v>310</v>
      </c>
      <c r="AE47" s="98" t="str">
        <f>HYPERLINK("http://www.youtube.com/channel/UCVPWs0io8LzdXPvBAbLbg1g")</f>
        <v>http://www.youtube.com/channel/UCVPWs0io8LzdXPvBAbLbg1g</v>
      </c>
      <c r="AF47" s="80" t="s">
        <v>345</v>
      </c>
      <c r="AG47" s="80" t="s">
        <v>445</v>
      </c>
      <c r="AH47" s="80" t="str">
        <f>REPLACE(INDEX(GroupVertices[Group],MATCH("~"&amp;Vertices[[#This Row],[Vertex]],GroupVertices[Vertex],0)),1,1,"")</f>
        <v>2</v>
      </c>
      <c r="AI47" s="2"/>
      <c r="AJ47" s="3"/>
      <c r="AK47" s="3"/>
      <c r="AL47" s="3"/>
      <c r="AM47" s="3"/>
    </row>
    <row r="48" spans="1:39" ht="15">
      <c r="A48" s="65" t="s">
        <v>238</v>
      </c>
      <c r="B48" s="66"/>
      <c r="C48" s="66"/>
      <c r="D48" s="67">
        <v>70</v>
      </c>
      <c r="E48" s="69"/>
      <c r="F48" s="99" t="str">
        <f>HYPERLINK("https://yt3.ggpht.com/Z9Ms0t3OeNvjVDSnhup3kG2hwLcxvne8XcW1is_K5y1FAU9p2-qJuxG0J0bxinekqktXo3Tm1Q=s88-c-k-c0x00ffffff-no-rj")</f>
        <v>https://yt3.ggpht.com/Z9Ms0t3OeNvjVDSnhup3kG2hwLcxvne8XcW1is_K5y1FAU9p2-qJuxG0J0bxinekqktXo3Tm1Q=s88-c-k-c0x00ffffff-no-rj</v>
      </c>
      <c r="G48" s="66"/>
      <c r="H48" s="70" t="s">
        <v>346</v>
      </c>
      <c r="I48" s="71"/>
      <c r="J48" s="71" t="s">
        <v>159</v>
      </c>
      <c r="K48" s="70" t="s">
        <v>346</v>
      </c>
      <c r="L48" s="74">
        <v>1</v>
      </c>
      <c r="M48" s="75">
        <v>3147.512939453125</v>
      </c>
      <c r="N48" s="75">
        <v>3062.369873046875</v>
      </c>
      <c r="O48" s="76"/>
      <c r="P48" s="77"/>
      <c r="Q48" s="77"/>
      <c r="R48" s="84"/>
      <c r="S48" s="49">
        <v>1</v>
      </c>
      <c r="T48" s="49">
        <v>0</v>
      </c>
      <c r="U48" s="50">
        <v>0</v>
      </c>
      <c r="V48" s="50">
        <v>0.318182</v>
      </c>
      <c r="W48" s="50">
        <v>0.040728</v>
      </c>
      <c r="X48" s="50">
        <v>0.008222</v>
      </c>
      <c r="Y48" s="50">
        <v>0</v>
      </c>
      <c r="Z48" s="50">
        <v>0</v>
      </c>
      <c r="AA48" s="72">
        <v>39</v>
      </c>
      <c r="AB48" s="72"/>
      <c r="AC48" s="73"/>
      <c r="AD48" s="80" t="s">
        <v>310</v>
      </c>
      <c r="AE48" s="98" t="str">
        <f>HYPERLINK("http://www.youtube.com/channel/UCS-cKkzVAtZ4dM4PKUffu5g")</f>
        <v>http://www.youtube.com/channel/UCS-cKkzVAtZ4dM4PKUffu5g</v>
      </c>
      <c r="AF48" s="80" t="s">
        <v>346</v>
      </c>
      <c r="AG48" s="80" t="s">
        <v>446</v>
      </c>
      <c r="AH48" s="80" t="str">
        <f>REPLACE(INDEX(GroupVertices[Group],MATCH("~"&amp;Vertices[[#This Row],[Vertex]],GroupVertices[Vertex],0)),1,1,"")</f>
        <v>2</v>
      </c>
      <c r="AI48" s="2"/>
      <c r="AJ48" s="3"/>
      <c r="AK48" s="3"/>
      <c r="AL48" s="3"/>
      <c r="AM48" s="3"/>
    </row>
    <row r="49" spans="1:39" ht="15">
      <c r="A49" s="65" t="s">
        <v>239</v>
      </c>
      <c r="B49" s="66"/>
      <c r="C49" s="66"/>
      <c r="D49" s="67">
        <v>70</v>
      </c>
      <c r="E49" s="69"/>
      <c r="F49" s="99" t="str">
        <f>HYPERLINK("https://yt3.ggpht.com/ytc/AIf8zZSvDZjFTIpetNl0jtXNbPUbME6IzIzoBrL3pb4dLQ=s88-c-k-c0x00ffffff-no-rj")</f>
        <v>https://yt3.ggpht.com/ytc/AIf8zZSvDZjFTIpetNl0jtXNbPUbME6IzIzoBrL3pb4dLQ=s88-c-k-c0x00ffffff-no-rj</v>
      </c>
      <c r="G49" s="66"/>
      <c r="H49" s="70" t="s">
        <v>347</v>
      </c>
      <c r="I49" s="71"/>
      <c r="J49" s="71" t="s">
        <v>159</v>
      </c>
      <c r="K49" s="70" t="s">
        <v>347</v>
      </c>
      <c r="L49" s="74">
        <v>1</v>
      </c>
      <c r="M49" s="75">
        <v>1803.0986328125</v>
      </c>
      <c r="N49" s="75">
        <v>2741.357666015625</v>
      </c>
      <c r="O49" s="76"/>
      <c r="P49" s="77"/>
      <c r="Q49" s="77"/>
      <c r="R49" s="84"/>
      <c r="S49" s="49">
        <v>1</v>
      </c>
      <c r="T49" s="49">
        <v>0</v>
      </c>
      <c r="U49" s="50">
        <v>0</v>
      </c>
      <c r="V49" s="50">
        <v>0.318182</v>
      </c>
      <c r="W49" s="50">
        <v>0.040728</v>
      </c>
      <c r="X49" s="50">
        <v>0.008222</v>
      </c>
      <c r="Y49" s="50">
        <v>0</v>
      </c>
      <c r="Z49" s="50">
        <v>0</v>
      </c>
      <c r="AA49" s="72">
        <v>40</v>
      </c>
      <c r="AB49" s="72"/>
      <c r="AC49" s="73"/>
      <c r="AD49" s="80" t="s">
        <v>310</v>
      </c>
      <c r="AE49" s="98" t="str">
        <f>HYPERLINK("http://www.youtube.com/channel/UCRDSza4YNyaVATrAkQ3EguQ")</f>
        <v>http://www.youtube.com/channel/UCRDSza4YNyaVATrAkQ3EguQ</v>
      </c>
      <c r="AF49" s="80" t="s">
        <v>347</v>
      </c>
      <c r="AG49" s="80"/>
      <c r="AH49" s="80" t="str">
        <f>REPLACE(INDEX(GroupVertices[Group],MATCH("~"&amp;Vertices[[#This Row],[Vertex]],GroupVertices[Vertex],0)),1,1,"")</f>
        <v>2</v>
      </c>
      <c r="AI49" s="2"/>
      <c r="AJ49" s="3"/>
      <c r="AK49" s="3"/>
      <c r="AL49" s="3"/>
      <c r="AM49" s="3"/>
    </row>
    <row r="50" spans="1:39" ht="15">
      <c r="A50" s="65" t="s">
        <v>240</v>
      </c>
      <c r="B50" s="66"/>
      <c r="C50" s="66"/>
      <c r="D50" s="67">
        <v>70</v>
      </c>
      <c r="E50" s="69"/>
      <c r="F50" s="99" t="str">
        <f>HYPERLINK("https://yt3.ggpht.com/xhAm2yJc71h_9SmPb5urpZYbDcCL8E84wUdV56Tex-ob4tF9qEaiNccfw1pGKBbZ4rtDLgYy=s88-c-k-c0x00ffffff-no-rj")</f>
        <v>https://yt3.ggpht.com/xhAm2yJc71h_9SmPb5urpZYbDcCL8E84wUdV56Tex-ob4tF9qEaiNccfw1pGKBbZ4rtDLgYy=s88-c-k-c0x00ffffff-no-rj</v>
      </c>
      <c r="G50" s="66"/>
      <c r="H50" s="70" t="s">
        <v>348</v>
      </c>
      <c r="I50" s="71"/>
      <c r="J50" s="71" t="s">
        <v>159</v>
      </c>
      <c r="K50" s="70" t="s">
        <v>348</v>
      </c>
      <c r="L50" s="74">
        <v>1</v>
      </c>
      <c r="M50" s="75">
        <v>1776.6904296875</v>
      </c>
      <c r="N50" s="75">
        <v>4480.9921875</v>
      </c>
      <c r="O50" s="76"/>
      <c r="P50" s="77"/>
      <c r="Q50" s="77"/>
      <c r="R50" s="84"/>
      <c r="S50" s="49">
        <v>1</v>
      </c>
      <c r="T50" s="49">
        <v>0</v>
      </c>
      <c r="U50" s="50">
        <v>0</v>
      </c>
      <c r="V50" s="50">
        <v>0.318182</v>
      </c>
      <c r="W50" s="50">
        <v>0.040728</v>
      </c>
      <c r="X50" s="50">
        <v>0.008222</v>
      </c>
      <c r="Y50" s="50">
        <v>0</v>
      </c>
      <c r="Z50" s="50">
        <v>0</v>
      </c>
      <c r="AA50" s="72">
        <v>41</v>
      </c>
      <c r="AB50" s="72"/>
      <c r="AC50" s="73"/>
      <c r="AD50" s="80" t="s">
        <v>310</v>
      </c>
      <c r="AE50" s="98" t="str">
        <f>HYPERLINK("http://www.youtube.com/channel/UCLts4HFB_SFy8_55oaKAswg")</f>
        <v>http://www.youtube.com/channel/UCLts4HFB_SFy8_55oaKAswg</v>
      </c>
      <c r="AF50" s="80" t="s">
        <v>348</v>
      </c>
      <c r="AG50" s="80" t="s">
        <v>447</v>
      </c>
      <c r="AH50" s="80" t="str">
        <f>REPLACE(INDEX(GroupVertices[Group],MATCH("~"&amp;Vertices[[#This Row],[Vertex]],GroupVertices[Vertex],0)),1,1,"")</f>
        <v>2</v>
      </c>
      <c r="AI50" s="2"/>
      <c r="AJ50" s="3"/>
      <c r="AK50" s="3"/>
      <c r="AL50" s="3"/>
      <c r="AM50" s="3"/>
    </row>
    <row r="51" spans="1:39" ht="15">
      <c r="A51" s="65" t="s">
        <v>242</v>
      </c>
      <c r="B51" s="66"/>
      <c r="C51" s="66"/>
      <c r="D51" s="67">
        <v>70</v>
      </c>
      <c r="E51" s="69"/>
      <c r="F51" s="99" t="str">
        <f>HYPERLINK("https://yt3.ggpht.com/vldqHrlOMvtlfpf9fxFJ0klqIL9UL_6jS_SMto37PoaWblTdcTn5iCLgV7n9tDahMS7YmxynKtU=s88-c-k-c0x00ffffff-no-rj")</f>
        <v>https://yt3.ggpht.com/vldqHrlOMvtlfpf9fxFJ0klqIL9UL_6jS_SMto37PoaWblTdcTn5iCLgV7n9tDahMS7YmxynKtU=s88-c-k-c0x00ffffff-no-rj</v>
      </c>
      <c r="G51" s="66"/>
      <c r="H51" s="70" t="s">
        <v>350</v>
      </c>
      <c r="I51" s="71"/>
      <c r="J51" s="71" t="s">
        <v>159</v>
      </c>
      <c r="K51" s="70" t="s">
        <v>350</v>
      </c>
      <c r="L51" s="74">
        <v>1</v>
      </c>
      <c r="M51" s="75">
        <v>2669.603271484375</v>
      </c>
      <c r="N51" s="75">
        <v>5515.9912109375</v>
      </c>
      <c r="O51" s="76"/>
      <c r="P51" s="77"/>
      <c r="Q51" s="77"/>
      <c r="R51" s="84"/>
      <c r="S51" s="49">
        <v>1</v>
      </c>
      <c r="T51" s="49">
        <v>0</v>
      </c>
      <c r="U51" s="50">
        <v>0</v>
      </c>
      <c r="V51" s="50">
        <v>0.318182</v>
      </c>
      <c r="W51" s="50">
        <v>0.040728</v>
      </c>
      <c r="X51" s="50">
        <v>0.008222</v>
      </c>
      <c r="Y51" s="50">
        <v>0</v>
      </c>
      <c r="Z51" s="50">
        <v>0</v>
      </c>
      <c r="AA51" s="72">
        <v>43</v>
      </c>
      <c r="AB51" s="72"/>
      <c r="AC51" s="73"/>
      <c r="AD51" s="80" t="s">
        <v>310</v>
      </c>
      <c r="AE51" s="98" t="str">
        <f>HYPERLINK("http://www.youtube.com/channel/UCKasAEU4v-TWrzQMlIyodKw")</f>
        <v>http://www.youtube.com/channel/UCKasAEU4v-TWrzQMlIyodKw</v>
      </c>
      <c r="AF51" s="80" t="s">
        <v>350</v>
      </c>
      <c r="AG51" s="80" t="s">
        <v>449</v>
      </c>
      <c r="AH51" s="80" t="str">
        <f>REPLACE(INDEX(GroupVertices[Group],MATCH("~"&amp;Vertices[[#This Row],[Vertex]],GroupVertices[Vertex],0)),1,1,"")</f>
        <v>2</v>
      </c>
      <c r="AI51" s="2"/>
      <c r="AJ51" s="3"/>
      <c r="AK51" s="3"/>
      <c r="AL51" s="3"/>
      <c r="AM51" s="3"/>
    </row>
    <row r="52" spans="1:39" ht="15">
      <c r="A52" s="65" t="s">
        <v>243</v>
      </c>
      <c r="B52" s="66"/>
      <c r="C52" s="66"/>
      <c r="D52" s="67">
        <v>70</v>
      </c>
      <c r="E52" s="69"/>
      <c r="F52" s="99" t="str">
        <f>HYPERLINK("https://yt3.ggpht.com/ytc/AIf8zZRypN9RbAlLRL336cslpVauStBI_SqGNBcQhR0S=s88-c-k-c0x00ffffff-no-rj")</f>
        <v>https://yt3.ggpht.com/ytc/AIf8zZRypN9RbAlLRL336cslpVauStBI_SqGNBcQhR0S=s88-c-k-c0x00ffffff-no-rj</v>
      </c>
      <c r="G52" s="66"/>
      <c r="H52" s="70" t="s">
        <v>351</v>
      </c>
      <c r="I52" s="71"/>
      <c r="J52" s="71" t="s">
        <v>159</v>
      </c>
      <c r="K52" s="70" t="s">
        <v>351</v>
      </c>
      <c r="L52" s="74">
        <v>1</v>
      </c>
      <c r="M52" s="75">
        <v>1559.69091796875</v>
      </c>
      <c r="N52" s="75">
        <v>5130.51171875</v>
      </c>
      <c r="O52" s="76"/>
      <c r="P52" s="77"/>
      <c r="Q52" s="77"/>
      <c r="R52" s="84"/>
      <c r="S52" s="49">
        <v>1</v>
      </c>
      <c r="T52" s="49">
        <v>0</v>
      </c>
      <c r="U52" s="50">
        <v>0</v>
      </c>
      <c r="V52" s="50">
        <v>0.318182</v>
      </c>
      <c r="W52" s="50">
        <v>0.040728</v>
      </c>
      <c r="X52" s="50">
        <v>0.008222</v>
      </c>
      <c r="Y52" s="50">
        <v>0</v>
      </c>
      <c r="Z52" s="50">
        <v>0</v>
      </c>
      <c r="AA52" s="72">
        <v>44</v>
      </c>
      <c r="AB52" s="72"/>
      <c r="AC52" s="73"/>
      <c r="AD52" s="80" t="s">
        <v>310</v>
      </c>
      <c r="AE52" s="98" t="str">
        <f>HYPERLINK("http://www.youtube.com/channel/UCKBBzmtYEoV8Ec56y0K-4Gw")</f>
        <v>http://www.youtube.com/channel/UCKBBzmtYEoV8Ec56y0K-4Gw</v>
      </c>
      <c r="AF52" s="80" t="s">
        <v>351</v>
      </c>
      <c r="AG52" s="101" t="s">
        <v>450</v>
      </c>
      <c r="AH52" s="101" t="str">
        <f>REPLACE(INDEX(GroupVertices[Group],MATCH("~"&amp;Vertices[[#This Row],[Vertex]],GroupVertices[Vertex],0)),1,1,"")</f>
        <v>2</v>
      </c>
      <c r="AI52" s="2"/>
      <c r="AJ52" s="3"/>
      <c r="AK52" s="3"/>
      <c r="AL52" s="3"/>
      <c r="AM52" s="3"/>
    </row>
    <row r="53" spans="1:39" ht="15">
      <c r="A53" s="65" t="s">
        <v>244</v>
      </c>
      <c r="B53" s="66"/>
      <c r="C53" s="66"/>
      <c r="D53" s="67">
        <v>70</v>
      </c>
      <c r="E53" s="69"/>
      <c r="F53" s="99" t="str">
        <f>HYPERLINK("https://yt3.ggpht.com/kRt5sdLaMUGRfRGNby5M0PW9qx4FuJ2KzmnDkUqINpTcFbfKrP1muhdwiLITTqdhSkpqbEHl=s88-c-k-c0x00ffffff-no-rj")</f>
        <v>https://yt3.ggpht.com/kRt5sdLaMUGRfRGNby5M0PW9qx4FuJ2KzmnDkUqINpTcFbfKrP1muhdwiLITTqdhSkpqbEHl=s88-c-k-c0x00ffffff-no-rj</v>
      </c>
      <c r="G53" s="66"/>
      <c r="H53" s="70" t="s">
        <v>352</v>
      </c>
      <c r="I53" s="71"/>
      <c r="J53" s="71" t="s">
        <v>159</v>
      </c>
      <c r="K53" s="70" t="s">
        <v>352</v>
      </c>
      <c r="L53" s="74">
        <v>1</v>
      </c>
      <c r="M53" s="75">
        <v>2281.62841796875</v>
      </c>
      <c r="N53" s="75">
        <v>2606.446533203125</v>
      </c>
      <c r="O53" s="76"/>
      <c r="P53" s="77"/>
      <c r="Q53" s="77"/>
      <c r="R53" s="84"/>
      <c r="S53" s="49">
        <v>1</v>
      </c>
      <c r="T53" s="49">
        <v>0</v>
      </c>
      <c r="U53" s="50">
        <v>0</v>
      </c>
      <c r="V53" s="50">
        <v>0.318182</v>
      </c>
      <c r="W53" s="50">
        <v>0.040728</v>
      </c>
      <c r="X53" s="50">
        <v>0.008222</v>
      </c>
      <c r="Y53" s="50">
        <v>0</v>
      </c>
      <c r="Z53" s="50">
        <v>0</v>
      </c>
      <c r="AA53" s="72">
        <v>45</v>
      </c>
      <c r="AB53" s="72"/>
      <c r="AC53" s="73"/>
      <c r="AD53" s="80" t="s">
        <v>310</v>
      </c>
      <c r="AE53" s="98" t="str">
        <f>HYPERLINK("http://www.youtube.com/channel/UCIGDNQXh830kJSMzo2n9Oiw")</f>
        <v>http://www.youtube.com/channel/UCIGDNQXh830kJSMzo2n9Oiw</v>
      </c>
      <c r="AF53" s="80" t="s">
        <v>352</v>
      </c>
      <c r="AG53" s="80" t="s">
        <v>451</v>
      </c>
      <c r="AH53" s="80" t="str">
        <f>REPLACE(INDEX(GroupVertices[Group],MATCH("~"&amp;Vertices[[#This Row],[Vertex]],GroupVertices[Vertex],0)),1,1,"")</f>
        <v>2</v>
      </c>
      <c r="AI53" s="2"/>
      <c r="AJ53" s="3"/>
      <c r="AK53" s="3"/>
      <c r="AL53" s="3"/>
      <c r="AM53" s="3"/>
    </row>
    <row r="54" spans="1:39" ht="15">
      <c r="A54" s="65" t="s">
        <v>245</v>
      </c>
      <c r="B54" s="66"/>
      <c r="C54" s="66"/>
      <c r="D54" s="67">
        <v>70</v>
      </c>
      <c r="E54" s="69"/>
      <c r="F54" s="99" t="str">
        <f>HYPERLINK("https://yt3.ggpht.com/ytc/AIf8zZTFxG6crkTSkRhViSJHUZ8bQ1-_WzrzFZHXfdT8=s88-c-k-c0x00ffffff-no-rj")</f>
        <v>https://yt3.ggpht.com/ytc/AIf8zZTFxG6crkTSkRhViSJHUZ8bQ1-_WzrzFZHXfdT8=s88-c-k-c0x00ffffff-no-rj</v>
      </c>
      <c r="G54" s="66"/>
      <c r="H54" s="70" t="s">
        <v>353</v>
      </c>
      <c r="I54" s="71"/>
      <c r="J54" s="71" t="s">
        <v>159</v>
      </c>
      <c r="K54" s="70" t="s">
        <v>353</v>
      </c>
      <c r="L54" s="74">
        <v>1</v>
      </c>
      <c r="M54" s="75">
        <v>3364.986083984375</v>
      </c>
      <c r="N54" s="75">
        <v>3741.20751953125</v>
      </c>
      <c r="O54" s="76"/>
      <c r="P54" s="77"/>
      <c r="Q54" s="77"/>
      <c r="R54" s="84"/>
      <c r="S54" s="49">
        <v>1</v>
      </c>
      <c r="T54" s="49">
        <v>0</v>
      </c>
      <c r="U54" s="50">
        <v>0</v>
      </c>
      <c r="V54" s="50">
        <v>0.318182</v>
      </c>
      <c r="W54" s="50">
        <v>0.040728</v>
      </c>
      <c r="X54" s="50">
        <v>0.008222</v>
      </c>
      <c r="Y54" s="50">
        <v>0</v>
      </c>
      <c r="Z54" s="50">
        <v>0</v>
      </c>
      <c r="AA54" s="72">
        <v>46</v>
      </c>
      <c r="AB54" s="72"/>
      <c r="AC54" s="73"/>
      <c r="AD54" s="80" t="s">
        <v>310</v>
      </c>
      <c r="AE54" s="98" t="str">
        <f>HYPERLINK("http://www.youtube.com/channel/UCAbX3Dh0uLJ3fewn8o2mf0Q")</f>
        <v>http://www.youtube.com/channel/UCAbX3Dh0uLJ3fewn8o2mf0Q</v>
      </c>
      <c r="AF54" s="80" t="s">
        <v>353</v>
      </c>
      <c r="AG54" s="80" t="s">
        <v>452</v>
      </c>
      <c r="AH54" s="80" t="str">
        <f>REPLACE(INDEX(GroupVertices[Group],MATCH("~"&amp;Vertices[[#This Row],[Vertex]],GroupVertices[Vertex],0)),1,1,"")</f>
        <v>2</v>
      </c>
      <c r="AI54" s="2"/>
      <c r="AJ54" s="3"/>
      <c r="AK54" s="3"/>
      <c r="AL54" s="3"/>
      <c r="AM54" s="3"/>
    </row>
    <row r="55" spans="1:39" ht="15">
      <c r="A55" s="65" t="s">
        <v>246</v>
      </c>
      <c r="B55" s="66"/>
      <c r="C55" s="66"/>
      <c r="D55" s="67">
        <v>70</v>
      </c>
      <c r="E55" s="69"/>
      <c r="F55" s="99" t="str">
        <f>HYPERLINK("https://yt3.ggpht.com/ytc/AIf8zZRLf_IvW7Nc3ZdYhLqVlfhl0XkrvucxN1jBnGLW=s88-c-k-c0x00ffffff-no-rj")</f>
        <v>https://yt3.ggpht.com/ytc/AIf8zZRLf_IvW7Nc3ZdYhLqVlfhl0XkrvucxN1jBnGLW=s88-c-k-c0x00ffffff-no-rj</v>
      </c>
      <c r="G55" s="66"/>
      <c r="H55" s="70" t="s">
        <v>354</v>
      </c>
      <c r="I55" s="71"/>
      <c r="J55" s="71" t="s">
        <v>159</v>
      </c>
      <c r="K55" s="70" t="s">
        <v>354</v>
      </c>
      <c r="L55" s="74">
        <v>1</v>
      </c>
      <c r="M55" s="75">
        <v>1437.7003173828125</v>
      </c>
      <c r="N55" s="75">
        <v>3235.78369140625</v>
      </c>
      <c r="O55" s="76"/>
      <c r="P55" s="77"/>
      <c r="Q55" s="77"/>
      <c r="R55" s="84"/>
      <c r="S55" s="49">
        <v>1</v>
      </c>
      <c r="T55" s="49">
        <v>0</v>
      </c>
      <c r="U55" s="50">
        <v>0</v>
      </c>
      <c r="V55" s="50">
        <v>0.318182</v>
      </c>
      <c r="W55" s="50">
        <v>0.040728</v>
      </c>
      <c r="X55" s="50">
        <v>0.008222</v>
      </c>
      <c r="Y55" s="50">
        <v>0</v>
      </c>
      <c r="Z55" s="50">
        <v>0</v>
      </c>
      <c r="AA55" s="72">
        <v>47</v>
      </c>
      <c r="AB55" s="72"/>
      <c r="AC55" s="73"/>
      <c r="AD55" s="80" t="s">
        <v>310</v>
      </c>
      <c r="AE55" s="98" t="str">
        <f>HYPERLINK("http://www.youtube.com/channel/UC9emZ4AlBYk7tp5zeYfjRfg")</f>
        <v>http://www.youtube.com/channel/UC9emZ4AlBYk7tp5zeYfjRfg</v>
      </c>
      <c r="AF55" s="80" t="s">
        <v>354</v>
      </c>
      <c r="AG55" s="80" t="s">
        <v>453</v>
      </c>
      <c r="AH55" s="80" t="str">
        <f>REPLACE(INDEX(GroupVertices[Group],MATCH("~"&amp;Vertices[[#This Row],[Vertex]],GroupVertices[Vertex],0)),1,1,"")</f>
        <v>2</v>
      </c>
      <c r="AI55" s="2"/>
      <c r="AJ55" s="3"/>
      <c r="AK55" s="3"/>
      <c r="AL55" s="3"/>
      <c r="AM55" s="3"/>
    </row>
    <row r="56" spans="1:39" ht="15">
      <c r="A56" s="65" t="s">
        <v>247</v>
      </c>
      <c r="B56" s="66"/>
      <c r="C56" s="66"/>
      <c r="D56" s="67">
        <v>70</v>
      </c>
      <c r="E56" s="69"/>
      <c r="F56" s="99" t="str">
        <f>HYPERLINK("https://yt3.ggpht.com/ytc/AIf8zZQ7J3hRS0IzceQMetjww6MIuI1YiUTLtFEQV5xrNA=s88-c-k-c0x00ffffff-no-rj")</f>
        <v>https://yt3.ggpht.com/ytc/AIf8zZQ7J3hRS0IzceQMetjww6MIuI1YiUTLtFEQV5xrNA=s88-c-k-c0x00ffffff-no-rj</v>
      </c>
      <c r="G56" s="66"/>
      <c r="H56" s="70" t="s">
        <v>355</v>
      </c>
      <c r="I56" s="71"/>
      <c r="J56" s="71" t="s">
        <v>159</v>
      </c>
      <c r="K56" s="70" t="s">
        <v>355</v>
      </c>
      <c r="L56" s="74">
        <v>1</v>
      </c>
      <c r="M56" s="75">
        <v>1983.06201171875</v>
      </c>
      <c r="N56" s="75">
        <v>5517.74072265625</v>
      </c>
      <c r="O56" s="76"/>
      <c r="P56" s="77"/>
      <c r="Q56" s="77"/>
      <c r="R56" s="84"/>
      <c r="S56" s="49">
        <v>1</v>
      </c>
      <c r="T56" s="49">
        <v>0</v>
      </c>
      <c r="U56" s="50">
        <v>0</v>
      </c>
      <c r="V56" s="50">
        <v>0.318182</v>
      </c>
      <c r="W56" s="50">
        <v>0.040728</v>
      </c>
      <c r="X56" s="50">
        <v>0.008222</v>
      </c>
      <c r="Y56" s="50">
        <v>0</v>
      </c>
      <c r="Z56" s="50">
        <v>0</v>
      </c>
      <c r="AA56" s="72">
        <v>48</v>
      </c>
      <c r="AB56" s="72"/>
      <c r="AC56" s="73"/>
      <c r="AD56" s="80" t="s">
        <v>310</v>
      </c>
      <c r="AE56" s="98" t="str">
        <f>HYPERLINK("http://www.youtube.com/channel/UC8gqtMa1oTeBQmKyoYaZjfA")</f>
        <v>http://www.youtube.com/channel/UC8gqtMa1oTeBQmKyoYaZjfA</v>
      </c>
      <c r="AF56" s="80" t="s">
        <v>355</v>
      </c>
      <c r="AG56" s="80" t="s">
        <v>454</v>
      </c>
      <c r="AH56" s="80" t="str">
        <f>REPLACE(INDEX(GroupVertices[Group],MATCH("~"&amp;Vertices[[#This Row],[Vertex]],GroupVertices[Vertex],0)),1,1,"")</f>
        <v>2</v>
      </c>
      <c r="AI56" s="2"/>
      <c r="AJ56" s="3"/>
      <c r="AK56" s="3"/>
      <c r="AL56" s="3"/>
      <c r="AM56" s="3"/>
    </row>
    <row r="57" spans="1:39" ht="15">
      <c r="A57" s="65" t="s">
        <v>248</v>
      </c>
      <c r="B57" s="66"/>
      <c r="C57" s="66"/>
      <c r="D57" s="67">
        <v>70</v>
      </c>
      <c r="E57" s="69"/>
      <c r="F57" s="99" t="str">
        <f>HYPERLINK("https://yt3.ggpht.com/ytc/AIf8zZTAcAi43YqBPz1dsiM8in_BEbpfBaw5OgdHt60j=s88-c-k-c0x00ffffff-no-rj")</f>
        <v>https://yt3.ggpht.com/ytc/AIf8zZTAcAi43YqBPz1dsiM8in_BEbpfBaw5OgdHt60j=s88-c-k-c0x00ffffff-no-rj</v>
      </c>
      <c r="G57" s="66"/>
      <c r="H57" s="70" t="s">
        <v>356</v>
      </c>
      <c r="I57" s="71"/>
      <c r="J57" s="71" t="s">
        <v>159</v>
      </c>
      <c r="K57" s="70" t="s">
        <v>356</v>
      </c>
      <c r="L57" s="74">
        <v>1</v>
      </c>
      <c r="M57" s="75">
        <v>1297.3172607421875</v>
      </c>
      <c r="N57" s="75">
        <v>3822.707275390625</v>
      </c>
      <c r="O57" s="76"/>
      <c r="P57" s="77"/>
      <c r="Q57" s="77"/>
      <c r="R57" s="84"/>
      <c r="S57" s="49">
        <v>1</v>
      </c>
      <c r="T57" s="49">
        <v>0</v>
      </c>
      <c r="U57" s="50">
        <v>0</v>
      </c>
      <c r="V57" s="50">
        <v>0.318182</v>
      </c>
      <c r="W57" s="50">
        <v>0.040728</v>
      </c>
      <c r="X57" s="50">
        <v>0.008222</v>
      </c>
      <c r="Y57" s="50">
        <v>0</v>
      </c>
      <c r="Z57" s="50">
        <v>0</v>
      </c>
      <c r="AA57" s="72">
        <v>49</v>
      </c>
      <c r="AB57" s="72"/>
      <c r="AC57" s="73"/>
      <c r="AD57" s="80" t="s">
        <v>310</v>
      </c>
      <c r="AE57" s="98" t="str">
        <f>HYPERLINK("http://www.youtube.com/channel/UC40ATpFoPP0MXWm0SPkIYQg")</f>
        <v>http://www.youtube.com/channel/UC40ATpFoPP0MXWm0SPkIYQg</v>
      </c>
      <c r="AF57" s="80" t="s">
        <v>356</v>
      </c>
      <c r="AG57" s="80" t="s">
        <v>455</v>
      </c>
      <c r="AH57" s="80" t="str">
        <f>REPLACE(INDEX(GroupVertices[Group],MATCH("~"&amp;Vertices[[#This Row],[Vertex]],GroupVertices[Vertex],0)),1,1,"")</f>
        <v>2</v>
      </c>
      <c r="AI57" s="2"/>
      <c r="AJ57" s="3"/>
      <c r="AK57" s="3"/>
      <c r="AL57" s="3"/>
      <c r="AM57" s="3"/>
    </row>
    <row r="58" spans="1:39" ht="15">
      <c r="A58" s="65" t="s">
        <v>249</v>
      </c>
      <c r="B58" s="66"/>
      <c r="C58" s="66"/>
      <c r="D58" s="67">
        <v>70</v>
      </c>
      <c r="E58" s="69"/>
      <c r="F58" s="99" t="str">
        <f>HYPERLINK("https://yt3.ggpht.com/ytc/AIf8zZRi3CK-4dRMUKdu0wGG3HtQ6FNq7J2HKZcMikID=s88-c-k-c0x00ffffff-no-rj")</f>
        <v>https://yt3.ggpht.com/ytc/AIf8zZRi3CK-4dRMUKdu0wGG3HtQ6FNq7J2HKZcMikID=s88-c-k-c0x00ffffff-no-rj</v>
      </c>
      <c r="G58" s="66"/>
      <c r="H58" s="70" t="s">
        <v>357</v>
      </c>
      <c r="I58" s="71"/>
      <c r="J58" s="71" t="s">
        <v>159</v>
      </c>
      <c r="K58" s="70" t="s">
        <v>357</v>
      </c>
      <c r="L58" s="74">
        <v>1</v>
      </c>
      <c r="M58" s="75">
        <v>1998.5770263671875</v>
      </c>
      <c r="N58" s="75">
        <v>3389.093994140625</v>
      </c>
      <c r="O58" s="76"/>
      <c r="P58" s="77"/>
      <c r="Q58" s="77"/>
      <c r="R58" s="84"/>
      <c r="S58" s="49">
        <v>1</v>
      </c>
      <c r="T58" s="49">
        <v>0</v>
      </c>
      <c r="U58" s="50">
        <v>0</v>
      </c>
      <c r="V58" s="50">
        <v>0.318182</v>
      </c>
      <c r="W58" s="50">
        <v>0.040728</v>
      </c>
      <c r="X58" s="50">
        <v>0.008222</v>
      </c>
      <c r="Y58" s="50">
        <v>0</v>
      </c>
      <c r="Z58" s="50">
        <v>0</v>
      </c>
      <c r="AA58" s="72">
        <v>50</v>
      </c>
      <c r="AB58" s="72"/>
      <c r="AC58" s="73"/>
      <c r="AD58" s="80" t="s">
        <v>310</v>
      </c>
      <c r="AE58" s="98" t="str">
        <f>HYPERLINK("http://www.youtube.com/channel/UC3jNWAzme-zsL07aYNs11vg")</f>
        <v>http://www.youtube.com/channel/UC3jNWAzme-zsL07aYNs11vg</v>
      </c>
      <c r="AF58" s="80" t="s">
        <v>357</v>
      </c>
      <c r="AG58" s="80" t="s">
        <v>456</v>
      </c>
      <c r="AH58" s="80" t="str">
        <f>REPLACE(INDEX(GroupVertices[Group],MATCH("~"&amp;Vertices[[#This Row],[Vertex]],GroupVertices[Vertex],0)),1,1,"")</f>
        <v>2</v>
      </c>
      <c r="AI58" s="2"/>
      <c r="AJ58" s="3"/>
      <c r="AK58" s="3"/>
      <c r="AL58" s="3"/>
      <c r="AM58" s="3"/>
    </row>
    <row r="59" spans="1:39" ht="15">
      <c r="A59" s="65" t="s">
        <v>250</v>
      </c>
      <c r="B59" s="66"/>
      <c r="C59" s="66"/>
      <c r="D59" s="67">
        <v>70</v>
      </c>
      <c r="E59" s="69"/>
      <c r="F59" s="99" t="str">
        <f>HYPERLINK("https://yt3.ggpht.com/fnLd0Vg3NzpSTPCEU7Njat-yHqHsRtMaBkH93S2UPlrhbWJx3Av6KTV4QwHEga-VCjRSf1Z6=s88-c-k-c0x00ffffff-no-rj")</f>
        <v>https://yt3.ggpht.com/fnLd0Vg3NzpSTPCEU7Njat-yHqHsRtMaBkH93S2UPlrhbWJx3Av6KTV4QwHEga-VCjRSf1Z6=s88-c-k-c0x00ffffff-no-rj</v>
      </c>
      <c r="G59" s="66"/>
      <c r="H59" s="70" t="s">
        <v>358</v>
      </c>
      <c r="I59" s="71"/>
      <c r="J59" s="71" t="s">
        <v>159</v>
      </c>
      <c r="K59" s="70" t="s">
        <v>358</v>
      </c>
      <c r="L59" s="74">
        <v>1</v>
      </c>
      <c r="M59" s="75">
        <v>2320.583984375</v>
      </c>
      <c r="N59" s="75">
        <v>5139.6767578125</v>
      </c>
      <c r="O59" s="76"/>
      <c r="P59" s="77"/>
      <c r="Q59" s="77"/>
      <c r="R59" s="84"/>
      <c r="S59" s="49">
        <v>1</v>
      </c>
      <c r="T59" s="49">
        <v>0</v>
      </c>
      <c r="U59" s="50">
        <v>0</v>
      </c>
      <c r="V59" s="50">
        <v>0.318182</v>
      </c>
      <c r="W59" s="50">
        <v>0.040728</v>
      </c>
      <c r="X59" s="50">
        <v>0.008222</v>
      </c>
      <c r="Y59" s="50">
        <v>0</v>
      </c>
      <c r="Z59" s="50">
        <v>0</v>
      </c>
      <c r="AA59" s="72">
        <v>51</v>
      </c>
      <c r="AB59" s="72"/>
      <c r="AC59" s="73"/>
      <c r="AD59" s="80" t="s">
        <v>310</v>
      </c>
      <c r="AE59" s="98" t="str">
        <f>HYPERLINK("http://www.youtube.com/channel/UC1WcsP820ey_ZpDvZrFy0JQ")</f>
        <v>http://www.youtube.com/channel/UC1WcsP820ey_ZpDvZrFy0JQ</v>
      </c>
      <c r="AF59" s="80" t="s">
        <v>358</v>
      </c>
      <c r="AG59" s="80" t="s">
        <v>457</v>
      </c>
      <c r="AH59" s="80" t="str">
        <f>REPLACE(INDEX(GroupVertices[Group],MATCH("~"&amp;Vertices[[#This Row],[Vertex]],GroupVertices[Vertex],0)),1,1,"")</f>
        <v>2</v>
      </c>
      <c r="AI59" s="2"/>
      <c r="AJ59" s="3"/>
      <c r="AK59" s="3"/>
      <c r="AL59" s="3"/>
      <c r="AM59" s="3"/>
    </row>
    <row r="60" spans="1:39" ht="15">
      <c r="A60" s="65" t="s">
        <v>251</v>
      </c>
      <c r="B60" s="66"/>
      <c r="C60" s="66"/>
      <c r="D60" s="67">
        <v>70</v>
      </c>
      <c r="E60" s="69"/>
      <c r="F60" s="99" t="str">
        <f>HYPERLINK("https://yt3.ggpht.com/GF5YuNziMKbuWdPSoI5ipVyp37nL3JvfrXUHvbxRYuIeB94YpNsz9WJ6uSmSRRy6cywPPKw1HA=s88-c-k-c0x00ffffff-no-rj")</f>
        <v>https://yt3.ggpht.com/GF5YuNziMKbuWdPSoI5ipVyp37nL3JvfrXUHvbxRYuIeB94YpNsz9WJ6uSmSRRy6cywPPKw1HA=s88-c-k-c0x00ffffff-no-rj</v>
      </c>
      <c r="G60" s="66"/>
      <c r="H60" s="70" t="s">
        <v>360</v>
      </c>
      <c r="I60" s="71"/>
      <c r="J60" s="71" t="s">
        <v>159</v>
      </c>
      <c r="K60" s="70" t="s">
        <v>360</v>
      </c>
      <c r="L60" s="74">
        <v>1</v>
      </c>
      <c r="M60" s="75">
        <v>1275.2852783203125</v>
      </c>
      <c r="N60" s="75">
        <v>913.8700561523438</v>
      </c>
      <c r="O60" s="76"/>
      <c r="P60" s="77"/>
      <c r="Q60" s="77"/>
      <c r="R60" s="84"/>
      <c r="S60" s="49">
        <v>1</v>
      </c>
      <c r="T60" s="49">
        <v>0</v>
      </c>
      <c r="U60" s="50">
        <v>0</v>
      </c>
      <c r="V60" s="50">
        <v>0.29661</v>
      </c>
      <c r="W60" s="50">
        <v>0.026818</v>
      </c>
      <c r="X60" s="50">
        <v>0.008252</v>
      </c>
      <c r="Y60" s="50">
        <v>0</v>
      </c>
      <c r="Z60" s="50">
        <v>0</v>
      </c>
      <c r="AA60" s="72">
        <v>53</v>
      </c>
      <c r="AB60" s="72"/>
      <c r="AC60" s="73"/>
      <c r="AD60" s="80" t="s">
        <v>310</v>
      </c>
      <c r="AE60" s="98" t="str">
        <f>HYPERLINK("http://www.youtube.com/channel/UCoPYWV3JuoKq_ohy8OaEEQg")</f>
        <v>http://www.youtube.com/channel/UCoPYWV3JuoKq_ohy8OaEEQg</v>
      </c>
      <c r="AF60" s="80" t="s">
        <v>360</v>
      </c>
      <c r="AG60" s="80" t="s">
        <v>459</v>
      </c>
      <c r="AH60" s="80" t="str">
        <f>REPLACE(INDEX(GroupVertices[Group],MATCH("~"&amp;Vertices[[#This Row],[Vertex]],GroupVertices[Vertex],0)),1,1,"")</f>
        <v>4</v>
      </c>
      <c r="AI60" s="2"/>
      <c r="AJ60" s="3"/>
      <c r="AK60" s="3"/>
      <c r="AL60" s="3"/>
      <c r="AM60" s="3"/>
    </row>
    <row r="61" spans="1:39" ht="15">
      <c r="A61" s="65" t="s">
        <v>252</v>
      </c>
      <c r="B61" s="66"/>
      <c r="C61" s="66"/>
      <c r="D61" s="67">
        <v>70</v>
      </c>
      <c r="E61" s="69"/>
      <c r="F61" s="99" t="str">
        <f>HYPERLINK("https://yt3.ggpht.com/ytc/AIf8zZRLaUn3JqCAUMawDOMR7NXXAotwdWQy9kjJ6DGdFQ=s88-c-k-c0x00ffffff-no-rj")</f>
        <v>https://yt3.ggpht.com/ytc/AIf8zZRLaUn3JqCAUMawDOMR7NXXAotwdWQy9kjJ6DGdFQ=s88-c-k-c0x00ffffff-no-rj</v>
      </c>
      <c r="G61" s="66"/>
      <c r="H61" s="70" t="s">
        <v>361</v>
      </c>
      <c r="I61" s="71"/>
      <c r="J61" s="71" t="s">
        <v>159</v>
      </c>
      <c r="K61" s="70" t="s">
        <v>361</v>
      </c>
      <c r="L61" s="74">
        <v>1</v>
      </c>
      <c r="M61" s="75">
        <v>1241.9140625</v>
      </c>
      <c r="N61" s="75">
        <v>1570.2152099609375</v>
      </c>
      <c r="O61" s="76"/>
      <c r="P61" s="77"/>
      <c r="Q61" s="77"/>
      <c r="R61" s="84"/>
      <c r="S61" s="49">
        <v>1</v>
      </c>
      <c r="T61" s="49">
        <v>0</v>
      </c>
      <c r="U61" s="50">
        <v>0</v>
      </c>
      <c r="V61" s="50">
        <v>0.29661</v>
      </c>
      <c r="W61" s="50">
        <v>0.026818</v>
      </c>
      <c r="X61" s="50">
        <v>0.008252</v>
      </c>
      <c r="Y61" s="50">
        <v>0</v>
      </c>
      <c r="Z61" s="50">
        <v>0</v>
      </c>
      <c r="AA61" s="72">
        <v>54</v>
      </c>
      <c r="AB61" s="72"/>
      <c r="AC61" s="73"/>
      <c r="AD61" s="80" t="s">
        <v>310</v>
      </c>
      <c r="AE61" s="98" t="str">
        <f>HYPERLINK("http://www.youtube.com/channel/UCZzwQDDag5eP4Rs-2d4nX5g")</f>
        <v>http://www.youtube.com/channel/UCZzwQDDag5eP4Rs-2d4nX5g</v>
      </c>
      <c r="AF61" s="80" t="s">
        <v>361</v>
      </c>
      <c r="AG61" s="80" t="s">
        <v>460</v>
      </c>
      <c r="AH61" s="80" t="str">
        <f>REPLACE(INDEX(GroupVertices[Group],MATCH("~"&amp;Vertices[[#This Row],[Vertex]],GroupVertices[Vertex],0)),1,1,"")</f>
        <v>4</v>
      </c>
      <c r="AI61" s="2"/>
      <c r="AJ61" s="3"/>
      <c r="AK61" s="3"/>
      <c r="AL61" s="3"/>
      <c r="AM61" s="3"/>
    </row>
    <row r="62" spans="1:39" ht="15">
      <c r="A62" s="65" t="s">
        <v>253</v>
      </c>
      <c r="B62" s="66"/>
      <c r="C62" s="66"/>
      <c r="D62" s="67">
        <v>70</v>
      </c>
      <c r="E62" s="69"/>
      <c r="F62" s="99" t="str">
        <f>HYPERLINK("https://yt3.ggpht.com/ytc/AIf8zZQOCSl1h5UWqU0SJY3jhsZ4n1kk5K12hvrj9WEZuA=s88-c-k-c0x00ffffff-no-rj")</f>
        <v>https://yt3.ggpht.com/ytc/AIf8zZQOCSl1h5UWqU0SJY3jhsZ4n1kk5K12hvrj9WEZuA=s88-c-k-c0x00ffffff-no-rj</v>
      </c>
      <c r="G62" s="66"/>
      <c r="H62" s="70" t="s">
        <v>362</v>
      </c>
      <c r="I62" s="71"/>
      <c r="J62" s="71" t="s">
        <v>159</v>
      </c>
      <c r="K62" s="70" t="s">
        <v>362</v>
      </c>
      <c r="L62" s="74">
        <v>1</v>
      </c>
      <c r="M62" s="75">
        <v>1550.177734375</v>
      </c>
      <c r="N62" s="75">
        <v>380.5012512207031</v>
      </c>
      <c r="O62" s="76"/>
      <c r="P62" s="77"/>
      <c r="Q62" s="77"/>
      <c r="R62" s="84"/>
      <c r="S62" s="49">
        <v>1</v>
      </c>
      <c r="T62" s="49">
        <v>0</v>
      </c>
      <c r="U62" s="50">
        <v>0</v>
      </c>
      <c r="V62" s="50">
        <v>0.29661</v>
      </c>
      <c r="W62" s="50">
        <v>0.026818</v>
      </c>
      <c r="X62" s="50">
        <v>0.008252</v>
      </c>
      <c r="Y62" s="50">
        <v>0</v>
      </c>
      <c r="Z62" s="50">
        <v>0</v>
      </c>
      <c r="AA62" s="72">
        <v>55</v>
      </c>
      <c r="AB62" s="72"/>
      <c r="AC62" s="73"/>
      <c r="AD62" s="80" t="s">
        <v>310</v>
      </c>
      <c r="AE62" s="98" t="str">
        <f>HYPERLINK("http://www.youtube.com/channel/UCS8A0H0xlnzUmnIC1LX82AA")</f>
        <v>http://www.youtube.com/channel/UCS8A0H0xlnzUmnIC1LX82AA</v>
      </c>
      <c r="AF62" s="80" t="s">
        <v>362</v>
      </c>
      <c r="AG62" s="80" t="s">
        <v>461</v>
      </c>
      <c r="AH62" s="80" t="str">
        <f>REPLACE(INDEX(GroupVertices[Group],MATCH("~"&amp;Vertices[[#This Row],[Vertex]],GroupVertices[Vertex],0)),1,1,"")</f>
        <v>4</v>
      </c>
      <c r="AI62" s="2"/>
      <c r="AJ62" s="3"/>
      <c r="AK62" s="3"/>
      <c r="AL62" s="3"/>
      <c r="AM62" s="3"/>
    </row>
    <row r="63" spans="1:39" ht="15">
      <c r="A63" s="65" t="s">
        <v>254</v>
      </c>
      <c r="B63" s="66"/>
      <c r="C63" s="66"/>
      <c r="D63" s="67">
        <v>70</v>
      </c>
      <c r="E63" s="69"/>
      <c r="F63" s="99" t="str">
        <f>HYPERLINK("https://yt3.ggpht.com/a8uWwsxdYuJybcPZRgvJ--GBDMuUmEyotpuXrd6XSFeylahcWGEIjg19p-AGS6ucrYKfOz7l=s88-c-k-c0x00ffffff-no-rj")</f>
        <v>https://yt3.ggpht.com/a8uWwsxdYuJybcPZRgvJ--GBDMuUmEyotpuXrd6XSFeylahcWGEIjg19p-AGS6ucrYKfOz7l=s88-c-k-c0x00ffffff-no-rj</v>
      </c>
      <c r="G63" s="66"/>
      <c r="H63" s="70" t="s">
        <v>363</v>
      </c>
      <c r="I63" s="71"/>
      <c r="J63" s="71" t="s">
        <v>159</v>
      </c>
      <c r="K63" s="70" t="s">
        <v>363</v>
      </c>
      <c r="L63" s="74">
        <v>1</v>
      </c>
      <c r="M63" s="75">
        <v>2887.184814453125</v>
      </c>
      <c r="N63" s="75">
        <v>1388.5728759765625</v>
      </c>
      <c r="O63" s="76"/>
      <c r="P63" s="77"/>
      <c r="Q63" s="77"/>
      <c r="R63" s="84"/>
      <c r="S63" s="49">
        <v>1</v>
      </c>
      <c r="T63" s="49">
        <v>0</v>
      </c>
      <c r="U63" s="50">
        <v>0</v>
      </c>
      <c r="V63" s="50">
        <v>0.29661</v>
      </c>
      <c r="W63" s="50">
        <v>0.026818</v>
      </c>
      <c r="X63" s="50">
        <v>0.008252</v>
      </c>
      <c r="Y63" s="50">
        <v>0</v>
      </c>
      <c r="Z63" s="50">
        <v>0</v>
      </c>
      <c r="AA63" s="72">
        <v>56</v>
      </c>
      <c r="AB63" s="72"/>
      <c r="AC63" s="73"/>
      <c r="AD63" s="80" t="s">
        <v>310</v>
      </c>
      <c r="AE63" s="98" t="str">
        <f>HYPERLINK("http://www.youtube.com/channel/UCO_4hjDNaOctacgzkTWgJxg")</f>
        <v>http://www.youtube.com/channel/UCO_4hjDNaOctacgzkTWgJxg</v>
      </c>
      <c r="AF63" s="80" t="s">
        <v>363</v>
      </c>
      <c r="AG63" s="80" t="s">
        <v>462</v>
      </c>
      <c r="AH63" s="80" t="str">
        <f>REPLACE(INDEX(GroupVertices[Group],MATCH("~"&amp;Vertices[[#This Row],[Vertex]],GroupVertices[Vertex],0)),1,1,"")</f>
        <v>4</v>
      </c>
      <c r="AI63" s="2"/>
      <c r="AJ63" s="3"/>
      <c r="AK63" s="3"/>
      <c r="AL63" s="3"/>
      <c r="AM63" s="3"/>
    </row>
    <row r="64" spans="1:39" ht="15">
      <c r="A64" s="65" t="s">
        <v>257</v>
      </c>
      <c r="B64" s="66"/>
      <c r="C64" s="66"/>
      <c r="D64" s="67">
        <v>70</v>
      </c>
      <c r="E64" s="69"/>
      <c r="F64" s="99" t="str">
        <f>HYPERLINK("https://yt3.ggpht.com/ytc/AIf8zZSr-LEXaPG7WDjyKT2zqWQ5s-smErY8WJ7ABio6NA=s88-c-k-c0x00ffffff-no-rj")</f>
        <v>https://yt3.ggpht.com/ytc/AIf8zZSr-LEXaPG7WDjyKT2zqWQ5s-smErY8WJ7ABio6NA=s88-c-k-c0x00ffffff-no-rj</v>
      </c>
      <c r="G64" s="66"/>
      <c r="H64" s="70" t="s">
        <v>366</v>
      </c>
      <c r="I64" s="71"/>
      <c r="J64" s="71" t="s">
        <v>159</v>
      </c>
      <c r="K64" s="70" t="s">
        <v>366</v>
      </c>
      <c r="L64" s="74">
        <v>1</v>
      </c>
      <c r="M64" s="75">
        <v>2351.823486328125</v>
      </c>
      <c r="N64" s="75">
        <v>2409.04052734375</v>
      </c>
      <c r="O64" s="76"/>
      <c r="P64" s="77"/>
      <c r="Q64" s="77"/>
      <c r="R64" s="84"/>
      <c r="S64" s="49">
        <v>1</v>
      </c>
      <c r="T64" s="49">
        <v>0</v>
      </c>
      <c r="U64" s="50">
        <v>0</v>
      </c>
      <c r="V64" s="50">
        <v>0.29661</v>
      </c>
      <c r="W64" s="50">
        <v>0.026818</v>
      </c>
      <c r="X64" s="50">
        <v>0.008252</v>
      </c>
      <c r="Y64" s="50">
        <v>0</v>
      </c>
      <c r="Z64" s="50">
        <v>0</v>
      </c>
      <c r="AA64" s="72">
        <v>59</v>
      </c>
      <c r="AB64" s="72"/>
      <c r="AC64" s="73"/>
      <c r="AD64" s="80" t="s">
        <v>310</v>
      </c>
      <c r="AE64" s="98" t="str">
        <f>HYPERLINK("http://www.youtube.com/channel/UCDic9AVxO1PP1SqoKbHMwrA")</f>
        <v>http://www.youtube.com/channel/UCDic9AVxO1PP1SqoKbHMwrA</v>
      </c>
      <c r="AF64" s="80" t="s">
        <v>366</v>
      </c>
      <c r="AG64" s="80" t="s">
        <v>465</v>
      </c>
      <c r="AH64" s="80" t="str">
        <f>REPLACE(INDEX(GroupVertices[Group],MATCH("~"&amp;Vertices[[#This Row],[Vertex]],GroupVertices[Vertex],0)),1,1,"")</f>
        <v>4</v>
      </c>
      <c r="AI64" s="2"/>
      <c r="AJ64" s="3"/>
      <c r="AK64" s="3"/>
      <c r="AL64" s="3"/>
      <c r="AM64" s="3"/>
    </row>
    <row r="65" spans="1:39" ht="15">
      <c r="A65" s="65" t="s">
        <v>258</v>
      </c>
      <c r="B65" s="66"/>
      <c r="C65" s="66"/>
      <c r="D65" s="67">
        <v>70</v>
      </c>
      <c r="E65" s="69"/>
      <c r="F65" s="99" t="str">
        <f>HYPERLINK("https://yt3.ggpht.com/ytc/AIf8zZShi9MdkhhVcICwgiY8TKNk3mXfoTdKqcQZlLANZA=s88-c-k-c0x00ffffff-no-rj")</f>
        <v>https://yt3.ggpht.com/ytc/AIf8zZShi9MdkhhVcICwgiY8TKNk3mXfoTdKqcQZlLANZA=s88-c-k-c0x00ffffff-no-rj</v>
      </c>
      <c r="G65" s="66"/>
      <c r="H65" s="70" t="s">
        <v>367</v>
      </c>
      <c r="I65" s="71"/>
      <c r="J65" s="71" t="s">
        <v>159</v>
      </c>
      <c r="K65" s="70" t="s">
        <v>367</v>
      </c>
      <c r="L65" s="74">
        <v>1</v>
      </c>
      <c r="M65" s="75">
        <v>2721.645751953125</v>
      </c>
      <c r="N65" s="75">
        <v>2004.3988037109375</v>
      </c>
      <c r="O65" s="76"/>
      <c r="P65" s="77"/>
      <c r="Q65" s="77"/>
      <c r="R65" s="84"/>
      <c r="S65" s="49">
        <v>1</v>
      </c>
      <c r="T65" s="49">
        <v>0</v>
      </c>
      <c r="U65" s="50">
        <v>0</v>
      </c>
      <c r="V65" s="50">
        <v>0.29661</v>
      </c>
      <c r="W65" s="50">
        <v>0.026818</v>
      </c>
      <c r="X65" s="50">
        <v>0.008252</v>
      </c>
      <c r="Y65" s="50">
        <v>0</v>
      </c>
      <c r="Z65" s="50">
        <v>0</v>
      </c>
      <c r="AA65" s="72">
        <v>60</v>
      </c>
      <c r="AB65" s="72"/>
      <c r="AC65" s="73"/>
      <c r="AD65" s="80" t="s">
        <v>310</v>
      </c>
      <c r="AE65" s="98" t="str">
        <f>HYPERLINK("http://www.youtube.com/channel/UCBpZBhY1OFzZMAf3yuC-4kg")</f>
        <v>http://www.youtube.com/channel/UCBpZBhY1OFzZMAf3yuC-4kg</v>
      </c>
      <c r="AF65" s="80" t="s">
        <v>367</v>
      </c>
      <c r="AG65" s="80" t="s">
        <v>466</v>
      </c>
      <c r="AH65" s="80" t="str">
        <f>REPLACE(INDEX(GroupVertices[Group],MATCH("~"&amp;Vertices[[#This Row],[Vertex]],GroupVertices[Vertex],0)),1,1,"")</f>
        <v>4</v>
      </c>
      <c r="AI65" s="2"/>
      <c r="AJ65" s="3"/>
      <c r="AK65" s="3"/>
      <c r="AL65" s="3"/>
      <c r="AM65" s="3"/>
    </row>
    <row r="66" spans="1:39" ht="15">
      <c r="A66" s="65" t="s">
        <v>259</v>
      </c>
      <c r="B66" s="66"/>
      <c r="C66" s="66"/>
      <c r="D66" s="67">
        <v>70</v>
      </c>
      <c r="E66" s="69"/>
      <c r="F66" s="99" t="str">
        <f>HYPERLINK("https://yt3.ggpht.com/ytc/AIf8zZTnY4Kg6M7hX_TA4HtEZ6ko5Epe9e8bulE1UhxO=s88-c-k-c0x00ffffff-no-rj")</f>
        <v>https://yt3.ggpht.com/ytc/AIf8zZTnY4Kg6M7hX_TA4HtEZ6ko5Epe9e8bulE1UhxO=s88-c-k-c0x00ffffff-no-rj</v>
      </c>
      <c r="G66" s="66"/>
      <c r="H66" s="70" t="s">
        <v>368</v>
      </c>
      <c r="I66" s="71"/>
      <c r="J66" s="71" t="s">
        <v>159</v>
      </c>
      <c r="K66" s="70" t="s">
        <v>368</v>
      </c>
      <c r="L66" s="74">
        <v>1</v>
      </c>
      <c r="M66" s="75">
        <v>2449.54052734375</v>
      </c>
      <c r="N66" s="75">
        <v>329.311279296875</v>
      </c>
      <c r="O66" s="76"/>
      <c r="P66" s="77"/>
      <c r="Q66" s="77"/>
      <c r="R66" s="84"/>
      <c r="S66" s="49">
        <v>1</v>
      </c>
      <c r="T66" s="49">
        <v>0</v>
      </c>
      <c r="U66" s="50">
        <v>0</v>
      </c>
      <c r="V66" s="50">
        <v>0.29661</v>
      </c>
      <c r="W66" s="50">
        <v>0.026818</v>
      </c>
      <c r="X66" s="50">
        <v>0.008252</v>
      </c>
      <c r="Y66" s="50">
        <v>0</v>
      </c>
      <c r="Z66" s="50">
        <v>0</v>
      </c>
      <c r="AA66" s="72">
        <v>61</v>
      </c>
      <c r="AB66" s="72"/>
      <c r="AC66" s="73"/>
      <c r="AD66" s="80" t="s">
        <v>310</v>
      </c>
      <c r="AE66" s="98" t="str">
        <f>HYPERLINK("http://www.youtube.com/channel/UC9bLNeemB1FG_k5cep1uukQ")</f>
        <v>http://www.youtube.com/channel/UC9bLNeemB1FG_k5cep1uukQ</v>
      </c>
      <c r="AF66" s="80" t="s">
        <v>368</v>
      </c>
      <c r="AG66" s="80" t="s">
        <v>467</v>
      </c>
      <c r="AH66" s="80" t="str">
        <f>REPLACE(INDEX(GroupVertices[Group],MATCH("~"&amp;Vertices[[#This Row],[Vertex]],GroupVertices[Vertex],0)),1,1,"")</f>
        <v>4</v>
      </c>
      <c r="AI66" s="2"/>
      <c r="AJ66" s="3"/>
      <c r="AK66" s="3"/>
      <c r="AL66" s="3"/>
      <c r="AM66" s="3"/>
    </row>
    <row r="67" spans="1:39" ht="15">
      <c r="A67" s="65" t="s">
        <v>260</v>
      </c>
      <c r="B67" s="66"/>
      <c r="C67" s="66"/>
      <c r="D67" s="67">
        <v>70</v>
      </c>
      <c r="E67" s="69"/>
      <c r="F67" s="99" t="str">
        <f>HYPERLINK("https://yt3.ggpht.com/ytc/AIf8zZSws406_EsDvgD1ed7l41sEuGjj190ebXMcogqDUQ=s88-c-k-c0x00ffffff-no-rj")</f>
        <v>https://yt3.ggpht.com/ytc/AIf8zZSws406_EsDvgD1ed7l41sEuGjj190ebXMcogqDUQ=s88-c-k-c0x00ffffff-no-rj</v>
      </c>
      <c r="G67" s="66"/>
      <c r="H67" s="70" t="s">
        <v>369</v>
      </c>
      <c r="I67" s="71"/>
      <c r="J67" s="71" t="s">
        <v>159</v>
      </c>
      <c r="K67" s="70" t="s">
        <v>369</v>
      </c>
      <c r="L67" s="74">
        <v>1</v>
      </c>
      <c r="M67" s="75">
        <v>1470.8330078125</v>
      </c>
      <c r="N67" s="75">
        <v>2146.223388671875</v>
      </c>
      <c r="O67" s="76"/>
      <c r="P67" s="77"/>
      <c r="Q67" s="77"/>
      <c r="R67" s="84"/>
      <c r="S67" s="49">
        <v>1</v>
      </c>
      <c r="T67" s="49">
        <v>0</v>
      </c>
      <c r="U67" s="50">
        <v>0</v>
      </c>
      <c r="V67" s="50">
        <v>0.29661</v>
      </c>
      <c r="W67" s="50">
        <v>0.026818</v>
      </c>
      <c r="X67" s="50">
        <v>0.008252</v>
      </c>
      <c r="Y67" s="50">
        <v>0</v>
      </c>
      <c r="Z67" s="50">
        <v>0</v>
      </c>
      <c r="AA67" s="72">
        <v>62</v>
      </c>
      <c r="AB67" s="72"/>
      <c r="AC67" s="73"/>
      <c r="AD67" s="80" t="s">
        <v>310</v>
      </c>
      <c r="AE67" s="98" t="str">
        <f>HYPERLINK("http://www.youtube.com/channel/UC4MazGEQbiYg6GSka4AxzxQ")</f>
        <v>http://www.youtube.com/channel/UC4MazGEQbiYg6GSka4AxzxQ</v>
      </c>
      <c r="AF67" s="80" t="s">
        <v>369</v>
      </c>
      <c r="AG67" s="80" t="s">
        <v>468</v>
      </c>
      <c r="AH67" s="80" t="str">
        <f>REPLACE(INDEX(GroupVertices[Group],MATCH("~"&amp;Vertices[[#This Row],[Vertex]],GroupVertices[Vertex],0)),1,1,"")</f>
        <v>4</v>
      </c>
      <c r="AI67" s="2"/>
      <c r="AJ67" s="3"/>
      <c r="AK67" s="3"/>
      <c r="AL67" s="3"/>
      <c r="AM67" s="3"/>
    </row>
    <row r="68" spans="1:39" ht="15">
      <c r="A68" s="65" t="s">
        <v>262</v>
      </c>
      <c r="B68" s="66"/>
      <c r="C68" s="66"/>
      <c r="D68" s="67">
        <v>70</v>
      </c>
      <c r="E68" s="69"/>
      <c r="F68" s="99" t="str">
        <f>HYPERLINK("https://yt3.ggpht.com/ytc/AIf8zZRfOs1vt2QCNfoO_a35tWonQDsz5x3FxefV27X-AA=s88-c-k-c0x00ffffff-no-rj")</f>
        <v>https://yt3.ggpht.com/ytc/AIf8zZRfOs1vt2QCNfoO_a35tWonQDsz5x3FxefV27X-AA=s88-c-k-c0x00ffffff-no-rj</v>
      </c>
      <c r="G68" s="66"/>
      <c r="H68" s="70" t="s">
        <v>372</v>
      </c>
      <c r="I68" s="71"/>
      <c r="J68" s="71" t="s">
        <v>159</v>
      </c>
      <c r="K68" s="70" t="s">
        <v>372</v>
      </c>
      <c r="L68" s="74">
        <v>1</v>
      </c>
      <c r="M68" s="75">
        <v>8757.0859375</v>
      </c>
      <c r="N68" s="75">
        <v>6283.7822265625</v>
      </c>
      <c r="O68" s="76"/>
      <c r="P68" s="77"/>
      <c r="Q68" s="77"/>
      <c r="R68" s="84"/>
      <c r="S68" s="49">
        <v>1</v>
      </c>
      <c r="T68" s="49">
        <v>0</v>
      </c>
      <c r="U68" s="50">
        <v>0</v>
      </c>
      <c r="V68" s="50">
        <v>0.286104</v>
      </c>
      <c r="W68" s="50">
        <v>0.015413</v>
      </c>
      <c r="X68" s="50">
        <v>0.008381</v>
      </c>
      <c r="Y68" s="50">
        <v>0</v>
      </c>
      <c r="Z68" s="50">
        <v>0</v>
      </c>
      <c r="AA68" s="72">
        <v>65</v>
      </c>
      <c r="AB68" s="72"/>
      <c r="AC68" s="73"/>
      <c r="AD68" s="80" t="s">
        <v>310</v>
      </c>
      <c r="AE68" s="98" t="str">
        <f>HYPERLINK("http://www.youtube.com/channel/UCvEh7T0-DR2pEw6NyeplMTw")</f>
        <v>http://www.youtube.com/channel/UCvEh7T0-DR2pEw6NyeplMTw</v>
      </c>
      <c r="AF68" s="80" t="s">
        <v>372</v>
      </c>
      <c r="AG68" s="80"/>
      <c r="AH68" s="80" t="str">
        <f>REPLACE(INDEX(GroupVertices[Group],MATCH("~"&amp;Vertices[[#This Row],[Vertex]],GroupVertices[Vertex],0)),1,1,"")</f>
        <v>6</v>
      </c>
      <c r="AI68" s="2"/>
      <c r="AJ68" s="3"/>
      <c r="AK68" s="3"/>
      <c r="AL68" s="3"/>
      <c r="AM68" s="3"/>
    </row>
    <row r="69" spans="1:39" ht="15">
      <c r="A69" s="65" t="s">
        <v>263</v>
      </c>
      <c r="B69" s="66"/>
      <c r="C69" s="66"/>
      <c r="D69" s="67">
        <v>70</v>
      </c>
      <c r="E69" s="69"/>
      <c r="F69" s="99" t="str">
        <f>HYPERLINK("https://yt3.ggpht.com/Pco92eL2t4Qno-ORJaDvq0HAAGby7OeofSUd326HWMYXv2laHZL9_reWydl-csEiKwSkAKm8ww=s88-c-k-c0x00ffffff-no-rj")</f>
        <v>https://yt3.ggpht.com/Pco92eL2t4Qno-ORJaDvq0HAAGby7OeofSUd326HWMYXv2laHZL9_reWydl-csEiKwSkAKm8ww=s88-c-k-c0x00ffffff-no-rj</v>
      </c>
      <c r="G69" s="66"/>
      <c r="H69" s="70" t="s">
        <v>373</v>
      </c>
      <c r="I69" s="71"/>
      <c r="J69" s="71" t="s">
        <v>159</v>
      </c>
      <c r="K69" s="70" t="s">
        <v>373</v>
      </c>
      <c r="L69" s="74">
        <v>1</v>
      </c>
      <c r="M69" s="75">
        <v>8828.767578125</v>
      </c>
      <c r="N69" s="75">
        <v>5313.490234375</v>
      </c>
      <c r="O69" s="76"/>
      <c r="P69" s="77"/>
      <c r="Q69" s="77"/>
      <c r="R69" s="84"/>
      <c r="S69" s="49">
        <v>1</v>
      </c>
      <c r="T69" s="49">
        <v>0</v>
      </c>
      <c r="U69" s="50">
        <v>0</v>
      </c>
      <c r="V69" s="50">
        <v>0.286104</v>
      </c>
      <c r="W69" s="50">
        <v>0.015413</v>
      </c>
      <c r="X69" s="50">
        <v>0.008381</v>
      </c>
      <c r="Y69" s="50">
        <v>0</v>
      </c>
      <c r="Z69" s="50">
        <v>0</v>
      </c>
      <c r="AA69" s="72">
        <v>66</v>
      </c>
      <c r="AB69" s="72"/>
      <c r="AC69" s="73"/>
      <c r="AD69" s="80" t="s">
        <v>310</v>
      </c>
      <c r="AE69" s="98" t="str">
        <f>HYPERLINK("http://www.youtube.com/channel/UCg6OElsAGYmkuSySkZpaNGw")</f>
        <v>http://www.youtube.com/channel/UCg6OElsAGYmkuSySkZpaNGw</v>
      </c>
      <c r="AF69" s="80" t="s">
        <v>373</v>
      </c>
      <c r="AG69" s="80" t="s">
        <v>470</v>
      </c>
      <c r="AH69" s="80" t="str">
        <f>REPLACE(INDEX(GroupVertices[Group],MATCH("~"&amp;Vertices[[#This Row],[Vertex]],GroupVertices[Vertex],0)),1,1,"")</f>
        <v>6</v>
      </c>
      <c r="AI69" s="2"/>
      <c r="AJ69" s="3"/>
      <c r="AK69" s="3"/>
      <c r="AL69" s="3"/>
      <c r="AM69" s="3"/>
    </row>
    <row r="70" spans="1:39" ht="15">
      <c r="A70" s="65" t="s">
        <v>264</v>
      </c>
      <c r="B70" s="66"/>
      <c r="C70" s="66"/>
      <c r="D70" s="67">
        <v>70</v>
      </c>
      <c r="E70" s="69"/>
      <c r="F70" s="99" t="str">
        <f>HYPERLINK("https://yt3.ggpht.com/ytc/AIf8zZQOFNZbhlppI-ELX-mQO5FK1KF8KyQpOIu1ZYjomw=s88-c-k-c0x00ffffff-no-rj")</f>
        <v>https://yt3.ggpht.com/ytc/AIf8zZQOFNZbhlppI-ELX-mQO5FK1KF8KyQpOIu1ZYjomw=s88-c-k-c0x00ffffff-no-rj</v>
      </c>
      <c r="G70" s="66"/>
      <c r="H70" s="70" t="s">
        <v>374</v>
      </c>
      <c r="I70" s="71"/>
      <c r="J70" s="71" t="s">
        <v>159</v>
      </c>
      <c r="K70" s="70" t="s">
        <v>374</v>
      </c>
      <c r="L70" s="74">
        <v>1</v>
      </c>
      <c r="M70" s="75">
        <v>9769.6708984375</v>
      </c>
      <c r="N70" s="75">
        <v>5948.3740234375</v>
      </c>
      <c r="O70" s="76"/>
      <c r="P70" s="77"/>
      <c r="Q70" s="77"/>
      <c r="R70" s="84"/>
      <c r="S70" s="49">
        <v>1</v>
      </c>
      <c r="T70" s="49">
        <v>0</v>
      </c>
      <c r="U70" s="50">
        <v>0</v>
      </c>
      <c r="V70" s="50">
        <v>0.286104</v>
      </c>
      <c r="W70" s="50">
        <v>0.015413</v>
      </c>
      <c r="X70" s="50">
        <v>0.008381</v>
      </c>
      <c r="Y70" s="50">
        <v>0</v>
      </c>
      <c r="Z70" s="50">
        <v>0</v>
      </c>
      <c r="AA70" s="72">
        <v>67</v>
      </c>
      <c r="AB70" s="72"/>
      <c r="AC70" s="73"/>
      <c r="AD70" s="80" t="s">
        <v>310</v>
      </c>
      <c r="AE70" s="98" t="str">
        <f>HYPERLINK("http://www.youtube.com/channel/UCW1szeraXeZX1DAdRXKR_Zg")</f>
        <v>http://www.youtube.com/channel/UCW1szeraXeZX1DAdRXKR_Zg</v>
      </c>
      <c r="AF70" s="80" t="s">
        <v>374</v>
      </c>
      <c r="AG70" s="80" t="s">
        <v>471</v>
      </c>
      <c r="AH70" s="80" t="str">
        <f>REPLACE(INDEX(GroupVertices[Group],MATCH("~"&amp;Vertices[[#This Row],[Vertex]],GroupVertices[Vertex],0)),1,1,"")</f>
        <v>6</v>
      </c>
      <c r="AI70" s="2"/>
      <c r="AJ70" s="3"/>
      <c r="AK70" s="3"/>
      <c r="AL70" s="3"/>
      <c r="AM70" s="3"/>
    </row>
    <row r="71" spans="1:39" ht="15">
      <c r="A71" s="65" t="s">
        <v>265</v>
      </c>
      <c r="B71" s="66"/>
      <c r="C71" s="66"/>
      <c r="D71" s="67">
        <v>70</v>
      </c>
      <c r="E71" s="69"/>
      <c r="F71" s="99" t="str">
        <f>HYPERLINK("https://yt3.ggpht.com/ytc/AIf8zZQGUddW2nWr0l-p30sdQ964dsTM0o1gac2xVv55=s88-c-k-c0x00ffffff-no-rj")</f>
        <v>https://yt3.ggpht.com/ytc/AIf8zZQGUddW2nWr0l-p30sdQ964dsTM0o1gac2xVv55=s88-c-k-c0x00ffffff-no-rj</v>
      </c>
      <c r="G71" s="66"/>
      <c r="H71" s="70" t="s">
        <v>375</v>
      </c>
      <c r="I71" s="71"/>
      <c r="J71" s="71" t="s">
        <v>159</v>
      </c>
      <c r="K71" s="70" t="s">
        <v>375</v>
      </c>
      <c r="L71" s="74">
        <v>1</v>
      </c>
      <c r="M71" s="75">
        <v>9414.7275390625</v>
      </c>
      <c r="N71" s="75">
        <v>6676.16162109375</v>
      </c>
      <c r="O71" s="76"/>
      <c r="P71" s="77"/>
      <c r="Q71" s="77"/>
      <c r="R71" s="84"/>
      <c r="S71" s="49">
        <v>1</v>
      </c>
      <c r="T71" s="49">
        <v>0</v>
      </c>
      <c r="U71" s="50">
        <v>0</v>
      </c>
      <c r="V71" s="50">
        <v>0.286104</v>
      </c>
      <c r="W71" s="50">
        <v>0.015413</v>
      </c>
      <c r="X71" s="50">
        <v>0.008381</v>
      </c>
      <c r="Y71" s="50">
        <v>0</v>
      </c>
      <c r="Z71" s="50">
        <v>0</v>
      </c>
      <c r="AA71" s="72">
        <v>68</v>
      </c>
      <c r="AB71" s="72"/>
      <c r="AC71" s="73"/>
      <c r="AD71" s="80" t="s">
        <v>310</v>
      </c>
      <c r="AE71" s="98" t="str">
        <f>HYPERLINK("http://www.youtube.com/channel/UCPp3K2x0fHapiUsFmcaeLzA")</f>
        <v>http://www.youtube.com/channel/UCPp3K2x0fHapiUsFmcaeLzA</v>
      </c>
      <c r="AF71" s="80" t="s">
        <v>375</v>
      </c>
      <c r="AG71" s="80"/>
      <c r="AH71" s="80" t="str">
        <f>REPLACE(INDEX(GroupVertices[Group],MATCH("~"&amp;Vertices[[#This Row],[Vertex]],GroupVertices[Vertex],0)),1,1,"")</f>
        <v>6</v>
      </c>
      <c r="AI71" s="2"/>
      <c r="AJ71" s="3"/>
      <c r="AK71" s="3"/>
      <c r="AL71" s="3"/>
      <c r="AM71" s="3"/>
    </row>
    <row r="72" spans="1:39" ht="15">
      <c r="A72" s="65" t="s">
        <v>266</v>
      </c>
      <c r="B72" s="66"/>
      <c r="C72" s="66"/>
      <c r="D72" s="67">
        <v>70</v>
      </c>
      <c r="E72" s="69"/>
      <c r="F72" s="99" t="str">
        <f>HYPERLINK("https://yt3.ggpht.com/zlcwpEnu2PznfyJ8dopSV8Ff9Kh3Lt6XQkTUWspqHwVWyKMtYUZRXdTHcAvVF8mG8js3FjONcg=s88-c-k-c0x00ffffff-no-rj")</f>
        <v>https://yt3.ggpht.com/zlcwpEnu2PznfyJ8dopSV8Ff9Kh3Lt6XQkTUWspqHwVWyKMtYUZRXdTHcAvVF8mG8js3FjONcg=s88-c-k-c0x00ffffff-no-rj</v>
      </c>
      <c r="G72" s="66"/>
      <c r="H72" s="70" t="s">
        <v>376</v>
      </c>
      <c r="I72" s="71"/>
      <c r="J72" s="71" t="s">
        <v>159</v>
      </c>
      <c r="K72" s="70" t="s">
        <v>376</v>
      </c>
      <c r="L72" s="74">
        <v>1</v>
      </c>
      <c r="M72" s="75">
        <v>9530.7099609375</v>
      </c>
      <c r="N72" s="75">
        <v>5106.19677734375</v>
      </c>
      <c r="O72" s="76"/>
      <c r="P72" s="77"/>
      <c r="Q72" s="77"/>
      <c r="R72" s="84"/>
      <c r="S72" s="49">
        <v>1</v>
      </c>
      <c r="T72" s="49">
        <v>0</v>
      </c>
      <c r="U72" s="50">
        <v>0</v>
      </c>
      <c r="V72" s="50">
        <v>0.286104</v>
      </c>
      <c r="W72" s="50">
        <v>0.015413</v>
      </c>
      <c r="X72" s="50">
        <v>0.008381</v>
      </c>
      <c r="Y72" s="50">
        <v>0</v>
      </c>
      <c r="Z72" s="50">
        <v>0</v>
      </c>
      <c r="AA72" s="72">
        <v>69</v>
      </c>
      <c r="AB72" s="72"/>
      <c r="AC72" s="73"/>
      <c r="AD72" s="80" t="s">
        <v>310</v>
      </c>
      <c r="AE72" s="98" t="str">
        <f>HYPERLINK("http://www.youtube.com/channel/UCD1jyIWO_oPvSUGw3Y8z-2w")</f>
        <v>http://www.youtube.com/channel/UCD1jyIWO_oPvSUGw3Y8z-2w</v>
      </c>
      <c r="AF72" s="80" t="s">
        <v>376</v>
      </c>
      <c r="AG72" s="80" t="s">
        <v>472</v>
      </c>
      <c r="AH72" s="80" t="str">
        <f>REPLACE(INDEX(GroupVertices[Group],MATCH("~"&amp;Vertices[[#This Row],[Vertex]],GroupVertices[Vertex],0)),1,1,"")</f>
        <v>6</v>
      </c>
      <c r="AI72" s="2"/>
      <c r="AJ72" s="3"/>
      <c r="AK72" s="3"/>
      <c r="AL72" s="3"/>
      <c r="AM72" s="3"/>
    </row>
    <row r="73" spans="1:39" ht="15">
      <c r="A73" s="65" t="s">
        <v>267</v>
      </c>
      <c r="B73" s="66"/>
      <c r="C73" s="66"/>
      <c r="D73" s="67">
        <v>70</v>
      </c>
      <c r="E73" s="69"/>
      <c r="F73" s="99" t="str">
        <f>HYPERLINK("https://yt3.ggpht.com/ytc/AIf8zZSkBLVm0WSesAejms19ITEUT8jss-KxdczHLjjeUg=s88-c-k-c0x00ffffff-no-rj")</f>
        <v>https://yt3.ggpht.com/ytc/AIf8zZSkBLVm0WSesAejms19ITEUT8jss-KxdczHLjjeUg=s88-c-k-c0x00ffffff-no-rj</v>
      </c>
      <c r="G73" s="66"/>
      <c r="H73" s="70" t="s">
        <v>378</v>
      </c>
      <c r="I73" s="71"/>
      <c r="J73" s="71" t="s">
        <v>159</v>
      </c>
      <c r="K73" s="70" t="s">
        <v>378</v>
      </c>
      <c r="L73" s="74">
        <v>1</v>
      </c>
      <c r="M73" s="75">
        <v>9160.4423828125</v>
      </c>
      <c r="N73" s="75">
        <v>2094.395263671875</v>
      </c>
      <c r="O73" s="76"/>
      <c r="P73" s="77"/>
      <c r="Q73" s="77"/>
      <c r="R73" s="84"/>
      <c r="S73" s="49">
        <v>1</v>
      </c>
      <c r="T73" s="49">
        <v>0</v>
      </c>
      <c r="U73" s="50">
        <v>0</v>
      </c>
      <c r="V73" s="50">
        <v>0.287671</v>
      </c>
      <c r="W73" s="50">
        <v>0.015799</v>
      </c>
      <c r="X73" s="50">
        <v>0.008356</v>
      </c>
      <c r="Y73" s="50">
        <v>0</v>
      </c>
      <c r="Z73" s="50">
        <v>0</v>
      </c>
      <c r="AA73" s="72">
        <v>71</v>
      </c>
      <c r="AB73" s="72"/>
      <c r="AC73" s="73"/>
      <c r="AD73" s="80" t="s">
        <v>310</v>
      </c>
      <c r="AE73" s="98" t="str">
        <f>HYPERLINK("http://www.youtube.com/channel/UCurewArMDiT_HIfCmJ4ApoA")</f>
        <v>http://www.youtube.com/channel/UCurewArMDiT_HIfCmJ4ApoA</v>
      </c>
      <c r="AF73" s="80" t="s">
        <v>378</v>
      </c>
      <c r="AG73" s="80" t="s">
        <v>474</v>
      </c>
      <c r="AH73" s="80" t="str">
        <f>REPLACE(INDEX(GroupVertices[Group],MATCH("~"&amp;Vertices[[#This Row],[Vertex]],GroupVertices[Vertex],0)),1,1,"")</f>
        <v>5</v>
      </c>
      <c r="AI73" s="2"/>
      <c r="AJ73" s="3"/>
      <c r="AK73" s="3"/>
      <c r="AL73" s="3"/>
      <c r="AM73" s="3"/>
    </row>
    <row r="74" spans="1:39" ht="15">
      <c r="A74" s="65" t="s">
        <v>268</v>
      </c>
      <c r="B74" s="66"/>
      <c r="C74" s="66"/>
      <c r="D74" s="67">
        <v>70</v>
      </c>
      <c r="E74" s="69"/>
      <c r="F74" s="99" t="str">
        <f>HYPERLINK("https://yt3.ggpht.com/DtqaxzPD546qVmmtUCg7Z71T6pA09A8i-jEFznoC2bB6k4S_Na-K_BSI3YrYrEz55hFS-gaA=s88-c-k-c0x00ffffff-no-rj")</f>
        <v>https://yt3.ggpht.com/DtqaxzPD546qVmmtUCg7Z71T6pA09A8i-jEFznoC2bB6k4S_Na-K_BSI3YrYrEz55hFS-gaA=s88-c-k-c0x00ffffff-no-rj</v>
      </c>
      <c r="G74" s="66"/>
      <c r="H74" s="70" t="s">
        <v>379</v>
      </c>
      <c r="I74" s="71"/>
      <c r="J74" s="71" t="s">
        <v>159</v>
      </c>
      <c r="K74" s="70" t="s">
        <v>379</v>
      </c>
      <c r="L74" s="74">
        <v>1</v>
      </c>
      <c r="M74" s="75">
        <v>8980.6748046875</v>
      </c>
      <c r="N74" s="75">
        <v>1233.20361328125</v>
      </c>
      <c r="O74" s="76"/>
      <c r="P74" s="77"/>
      <c r="Q74" s="77"/>
      <c r="R74" s="84"/>
      <c r="S74" s="49">
        <v>1</v>
      </c>
      <c r="T74" s="49">
        <v>0</v>
      </c>
      <c r="U74" s="50">
        <v>0</v>
      </c>
      <c r="V74" s="50">
        <v>0.287671</v>
      </c>
      <c r="W74" s="50">
        <v>0.015799</v>
      </c>
      <c r="X74" s="50">
        <v>0.008356</v>
      </c>
      <c r="Y74" s="50">
        <v>0</v>
      </c>
      <c r="Z74" s="50">
        <v>0</v>
      </c>
      <c r="AA74" s="72">
        <v>72</v>
      </c>
      <c r="AB74" s="72"/>
      <c r="AC74" s="73"/>
      <c r="AD74" s="80" t="s">
        <v>310</v>
      </c>
      <c r="AE74" s="98" t="str">
        <f>HYPERLINK("http://www.youtube.com/channel/UCiKpjpNDIviTGUMVz0pXvCw")</f>
        <v>http://www.youtube.com/channel/UCiKpjpNDIviTGUMVz0pXvCw</v>
      </c>
      <c r="AF74" s="80" t="s">
        <v>379</v>
      </c>
      <c r="AG74" s="80" t="s">
        <v>475</v>
      </c>
      <c r="AH74" s="80" t="str">
        <f>REPLACE(INDEX(GroupVertices[Group],MATCH("~"&amp;Vertices[[#This Row],[Vertex]],GroupVertices[Vertex],0)),1,1,"")</f>
        <v>5</v>
      </c>
      <c r="AI74" s="2"/>
      <c r="AJ74" s="3"/>
      <c r="AK74" s="3"/>
      <c r="AL74" s="3"/>
      <c r="AM74" s="3"/>
    </row>
    <row r="75" spans="1:39" ht="15">
      <c r="A75" s="65" t="s">
        <v>269</v>
      </c>
      <c r="B75" s="66"/>
      <c r="C75" s="66"/>
      <c r="D75" s="67">
        <v>70</v>
      </c>
      <c r="E75" s="69"/>
      <c r="F75" s="99" t="str">
        <f>HYPERLINK("https://yt3.ggpht.com/oLNyepMio50OMStEQ7xF8aBJSITIP_mv--TxgFolVJwn6V7yEjfwWZU70m2X-EFisZn0khFCZg=s88-c-k-c0x00ffffff-no-rj")</f>
        <v>https://yt3.ggpht.com/oLNyepMio50OMStEQ7xF8aBJSITIP_mv--TxgFolVJwn6V7yEjfwWZU70m2X-EFisZn0khFCZg=s88-c-k-c0x00ffffff-no-rj</v>
      </c>
      <c r="G75" s="66"/>
      <c r="H75" s="70" t="s">
        <v>380</v>
      </c>
      <c r="I75" s="71"/>
      <c r="J75" s="71" t="s">
        <v>159</v>
      </c>
      <c r="K75" s="70" t="s">
        <v>380</v>
      </c>
      <c r="L75" s="74">
        <v>1</v>
      </c>
      <c r="M75" s="75">
        <v>7918.52880859375</v>
      </c>
      <c r="N75" s="75">
        <v>1670.47216796875</v>
      </c>
      <c r="O75" s="76"/>
      <c r="P75" s="77"/>
      <c r="Q75" s="77"/>
      <c r="R75" s="84"/>
      <c r="S75" s="49">
        <v>1</v>
      </c>
      <c r="T75" s="49">
        <v>0</v>
      </c>
      <c r="U75" s="50">
        <v>0</v>
      </c>
      <c r="V75" s="50">
        <v>0.287671</v>
      </c>
      <c r="W75" s="50">
        <v>0.015799</v>
      </c>
      <c r="X75" s="50">
        <v>0.008356</v>
      </c>
      <c r="Y75" s="50">
        <v>0</v>
      </c>
      <c r="Z75" s="50">
        <v>0</v>
      </c>
      <c r="AA75" s="72">
        <v>73</v>
      </c>
      <c r="AB75" s="72"/>
      <c r="AC75" s="73"/>
      <c r="AD75" s="80" t="s">
        <v>310</v>
      </c>
      <c r="AE75" s="98" t="str">
        <f>HYPERLINK("http://www.youtube.com/channel/UCZ8MbJVbpAdwZ6JU0JK_1BA")</f>
        <v>http://www.youtube.com/channel/UCZ8MbJVbpAdwZ6JU0JK_1BA</v>
      </c>
      <c r="AF75" s="80" t="s">
        <v>380</v>
      </c>
      <c r="AG75" s="80" t="s">
        <v>476</v>
      </c>
      <c r="AH75" s="80" t="str">
        <f>REPLACE(INDEX(GroupVertices[Group],MATCH("~"&amp;Vertices[[#This Row],[Vertex]],GroupVertices[Vertex],0)),1,1,"")</f>
        <v>5</v>
      </c>
      <c r="AI75" s="2"/>
      <c r="AJ75" s="3"/>
      <c r="AK75" s="3"/>
      <c r="AL75" s="3"/>
      <c r="AM75" s="3"/>
    </row>
    <row r="76" spans="1:39" ht="15">
      <c r="A76" s="65" t="s">
        <v>270</v>
      </c>
      <c r="B76" s="66"/>
      <c r="C76" s="66"/>
      <c r="D76" s="67">
        <v>70</v>
      </c>
      <c r="E76" s="69"/>
      <c r="F76" s="99" t="str">
        <f>HYPERLINK("https://yt3.ggpht.com/ytc/AIf8zZQdPOC1dlalOpZPs5qV3QfUE_koGcTt_y9Ikg_4Mg=s88-c-k-c0x00ffffff-no-rj")</f>
        <v>https://yt3.ggpht.com/ytc/AIf8zZQdPOC1dlalOpZPs5qV3QfUE_koGcTt_y9Ikg_4Mg=s88-c-k-c0x00ffffff-no-rj</v>
      </c>
      <c r="G76" s="66"/>
      <c r="H76" s="70" t="s">
        <v>381</v>
      </c>
      <c r="I76" s="71"/>
      <c r="J76" s="71" t="s">
        <v>159</v>
      </c>
      <c r="K76" s="70" t="s">
        <v>381</v>
      </c>
      <c r="L76" s="74">
        <v>1</v>
      </c>
      <c r="M76" s="75">
        <v>8359.7158203125</v>
      </c>
      <c r="N76" s="75">
        <v>1021.2393188476562</v>
      </c>
      <c r="O76" s="76"/>
      <c r="P76" s="77"/>
      <c r="Q76" s="77"/>
      <c r="R76" s="84"/>
      <c r="S76" s="49">
        <v>1</v>
      </c>
      <c r="T76" s="49">
        <v>0</v>
      </c>
      <c r="U76" s="50">
        <v>0</v>
      </c>
      <c r="V76" s="50">
        <v>0.287671</v>
      </c>
      <c r="W76" s="50">
        <v>0.015799</v>
      </c>
      <c r="X76" s="50">
        <v>0.008356</v>
      </c>
      <c r="Y76" s="50">
        <v>0</v>
      </c>
      <c r="Z76" s="50">
        <v>0</v>
      </c>
      <c r="AA76" s="72">
        <v>74</v>
      </c>
      <c r="AB76" s="72"/>
      <c r="AC76" s="73"/>
      <c r="AD76" s="80" t="s">
        <v>310</v>
      </c>
      <c r="AE76" s="98" t="str">
        <f>HYPERLINK("http://www.youtube.com/channel/UCUpPJkgN4p3M0bUiG1ALS3w")</f>
        <v>http://www.youtube.com/channel/UCUpPJkgN4p3M0bUiG1ALS3w</v>
      </c>
      <c r="AF76" s="80" t="s">
        <v>381</v>
      </c>
      <c r="AG76" s="80" t="s">
        <v>477</v>
      </c>
      <c r="AH76" s="80" t="str">
        <f>REPLACE(INDEX(GroupVertices[Group],MATCH("~"&amp;Vertices[[#This Row],[Vertex]],GroupVertices[Vertex],0)),1,1,"")</f>
        <v>5</v>
      </c>
      <c r="AI76" s="2"/>
      <c r="AJ76" s="3"/>
      <c r="AK76" s="3"/>
      <c r="AL76" s="3"/>
      <c r="AM76" s="3"/>
    </row>
    <row r="77" spans="1:39" ht="15">
      <c r="A77" s="65" t="s">
        <v>271</v>
      </c>
      <c r="B77" s="66"/>
      <c r="C77" s="66"/>
      <c r="D77" s="67">
        <v>70</v>
      </c>
      <c r="E77" s="69"/>
      <c r="F77" s="99" t="str">
        <f>HYPERLINK("https://yt3.ggpht.com/ytc/AIf8zZQJvoygn2hNPxtOhVqNWFn94RksezEwiK-k6-l4UA=s88-c-k-c0x00ffffff-no-rj")</f>
        <v>https://yt3.ggpht.com/ytc/AIf8zZQJvoygn2hNPxtOhVqNWFn94RksezEwiK-k6-l4UA=s88-c-k-c0x00ffffff-no-rj</v>
      </c>
      <c r="G77" s="66"/>
      <c r="H77" s="70" t="s">
        <v>382</v>
      </c>
      <c r="I77" s="71"/>
      <c r="J77" s="71" t="s">
        <v>159</v>
      </c>
      <c r="K77" s="70" t="s">
        <v>382</v>
      </c>
      <c r="L77" s="74">
        <v>1</v>
      </c>
      <c r="M77" s="75">
        <v>8719.2529296875</v>
      </c>
      <c r="N77" s="75">
        <v>2743.6279296875</v>
      </c>
      <c r="O77" s="76"/>
      <c r="P77" s="77"/>
      <c r="Q77" s="77"/>
      <c r="R77" s="84"/>
      <c r="S77" s="49">
        <v>1</v>
      </c>
      <c r="T77" s="49">
        <v>0</v>
      </c>
      <c r="U77" s="50">
        <v>0</v>
      </c>
      <c r="V77" s="50">
        <v>0.287671</v>
      </c>
      <c r="W77" s="50">
        <v>0.015799</v>
      </c>
      <c r="X77" s="50">
        <v>0.008356</v>
      </c>
      <c r="Y77" s="50">
        <v>0</v>
      </c>
      <c r="Z77" s="50">
        <v>0</v>
      </c>
      <c r="AA77" s="72">
        <v>75</v>
      </c>
      <c r="AB77" s="72"/>
      <c r="AC77" s="73"/>
      <c r="AD77" s="80" t="s">
        <v>310</v>
      </c>
      <c r="AE77" s="98" t="str">
        <f>HYPERLINK("http://www.youtube.com/channel/UCHnBT3Z8yFnYZ1qhY60-wMA")</f>
        <v>http://www.youtube.com/channel/UCHnBT3Z8yFnYZ1qhY60-wMA</v>
      </c>
      <c r="AF77" s="80" t="s">
        <v>382</v>
      </c>
      <c r="AG77" s="80"/>
      <c r="AH77" s="80" t="str">
        <f>REPLACE(INDEX(GroupVertices[Group],MATCH("~"&amp;Vertices[[#This Row],[Vertex]],GroupVertices[Vertex],0)),1,1,"")</f>
        <v>5</v>
      </c>
      <c r="AI77" s="2"/>
      <c r="AJ77" s="3"/>
      <c r="AK77" s="3"/>
      <c r="AL77" s="3"/>
      <c r="AM77" s="3"/>
    </row>
    <row r="78" spans="1:39" ht="15">
      <c r="A78" s="65" t="s">
        <v>272</v>
      </c>
      <c r="B78" s="66"/>
      <c r="C78" s="66"/>
      <c r="D78" s="67">
        <v>70</v>
      </c>
      <c r="E78" s="69"/>
      <c r="F78" s="99" t="str">
        <f>HYPERLINK("https://yt3.ggpht.com/ytc/AIf8zZSAKLUHIl-jke9dcdjSksFrnY4_SY9rdvWo1IGUaA=s88-c-k-c0x00ffffff-no-rj")</f>
        <v>https://yt3.ggpht.com/ytc/AIf8zZSAKLUHIl-jke9dcdjSksFrnY4_SY9rdvWo1IGUaA=s88-c-k-c0x00ffffff-no-rj</v>
      </c>
      <c r="G78" s="66"/>
      <c r="H78" s="70" t="s">
        <v>383</v>
      </c>
      <c r="I78" s="71"/>
      <c r="J78" s="71" t="s">
        <v>159</v>
      </c>
      <c r="K78" s="70" t="s">
        <v>383</v>
      </c>
      <c r="L78" s="74">
        <v>1</v>
      </c>
      <c r="M78" s="75">
        <v>8098.29541015625</v>
      </c>
      <c r="N78" s="75">
        <v>2531.663818359375</v>
      </c>
      <c r="O78" s="76"/>
      <c r="P78" s="77"/>
      <c r="Q78" s="77"/>
      <c r="R78" s="84"/>
      <c r="S78" s="49">
        <v>1</v>
      </c>
      <c r="T78" s="49">
        <v>0</v>
      </c>
      <c r="U78" s="50">
        <v>0</v>
      </c>
      <c r="V78" s="50">
        <v>0.287671</v>
      </c>
      <c r="W78" s="50">
        <v>0.015799</v>
      </c>
      <c r="X78" s="50">
        <v>0.008356</v>
      </c>
      <c r="Y78" s="50">
        <v>0</v>
      </c>
      <c r="Z78" s="50">
        <v>0</v>
      </c>
      <c r="AA78" s="72">
        <v>76</v>
      </c>
      <c r="AB78" s="72"/>
      <c r="AC78" s="73"/>
      <c r="AD78" s="80" t="s">
        <v>310</v>
      </c>
      <c r="AE78" s="98" t="str">
        <f>HYPERLINK("http://www.youtube.com/channel/UCCzO-Rkos3KuKOfssqcjaqw")</f>
        <v>http://www.youtube.com/channel/UCCzO-Rkos3KuKOfssqcjaqw</v>
      </c>
      <c r="AF78" s="80" t="s">
        <v>383</v>
      </c>
      <c r="AG78" s="80" t="s">
        <v>478</v>
      </c>
      <c r="AH78" s="80" t="str">
        <f>REPLACE(INDEX(GroupVertices[Group],MATCH("~"&amp;Vertices[[#This Row],[Vertex]],GroupVertices[Vertex],0)),1,1,"")</f>
        <v>5</v>
      </c>
      <c r="AI78" s="2"/>
      <c r="AJ78" s="3"/>
      <c r="AK78" s="3"/>
      <c r="AL78" s="3"/>
      <c r="AM78" s="3"/>
    </row>
    <row r="79" spans="1:39" ht="15">
      <c r="A79" s="65" t="s">
        <v>273</v>
      </c>
      <c r="B79" s="66"/>
      <c r="C79" s="66"/>
      <c r="D79" s="67">
        <v>70</v>
      </c>
      <c r="E79" s="69"/>
      <c r="F79" s="99" t="str">
        <f>HYPERLINK("https://yt3.ggpht.com/ytc/AIf8zZTYCjz5NZvhSgeve9dol8DJ-zas7aYDZroPHDPK=s88-c-k-c0x00ffffff-no-rj")</f>
        <v>https://yt3.ggpht.com/ytc/AIf8zZTYCjz5NZvhSgeve9dol8DJ-zas7aYDZroPHDPK=s88-c-k-c0x00ffffff-no-rj</v>
      </c>
      <c r="G79" s="66"/>
      <c r="H79" s="70" t="s">
        <v>385</v>
      </c>
      <c r="I79" s="71"/>
      <c r="J79" s="71" t="s">
        <v>159</v>
      </c>
      <c r="K79" s="70" t="s">
        <v>385</v>
      </c>
      <c r="L79" s="74">
        <v>1</v>
      </c>
      <c r="M79" s="75">
        <v>4903.78662109375</v>
      </c>
      <c r="N79" s="75">
        <v>6930.1845703125</v>
      </c>
      <c r="O79" s="76"/>
      <c r="P79" s="77"/>
      <c r="Q79" s="77"/>
      <c r="R79" s="84"/>
      <c r="S79" s="49">
        <v>1</v>
      </c>
      <c r="T79" s="49">
        <v>0</v>
      </c>
      <c r="U79" s="50">
        <v>0</v>
      </c>
      <c r="V79" s="50">
        <v>0.384615</v>
      </c>
      <c r="W79" s="50">
        <v>0.097493</v>
      </c>
      <c r="X79" s="50">
        <v>0.0082</v>
      </c>
      <c r="Y79" s="50">
        <v>0</v>
      </c>
      <c r="Z79" s="50">
        <v>0</v>
      </c>
      <c r="AA79" s="72">
        <v>78</v>
      </c>
      <c r="AB79" s="72"/>
      <c r="AC79" s="73"/>
      <c r="AD79" s="80" t="s">
        <v>310</v>
      </c>
      <c r="AE79" s="98" t="str">
        <f>HYPERLINK("http://www.youtube.com/channel/UCzMltXB_WOh0QEJXWllm23Q")</f>
        <v>http://www.youtube.com/channel/UCzMltXB_WOh0QEJXWllm23Q</v>
      </c>
      <c r="AF79" s="80" t="s">
        <v>385</v>
      </c>
      <c r="AG79" s="80" t="s">
        <v>480</v>
      </c>
      <c r="AH79" s="80" t="str">
        <f>REPLACE(INDEX(GroupVertices[Group],MATCH("~"&amp;Vertices[[#This Row],[Vertex]],GroupVertices[Vertex],0)),1,1,"")</f>
        <v>1</v>
      </c>
      <c r="AI79" s="2"/>
      <c r="AJ79" s="3"/>
      <c r="AK79" s="3"/>
      <c r="AL79" s="3"/>
      <c r="AM79" s="3"/>
    </row>
    <row r="80" spans="1:39" ht="15">
      <c r="A80" s="65" t="s">
        <v>274</v>
      </c>
      <c r="B80" s="66"/>
      <c r="C80" s="66"/>
      <c r="D80" s="67">
        <v>70</v>
      </c>
      <c r="E80" s="69"/>
      <c r="F80" s="99" t="str">
        <f>HYPERLINK("https://yt3.ggpht.com/ytc/AIf8zZR_X3uOJANJZaI36hUJbh_vvVu2636zd1yne43z=s88-c-k-c0x00ffffff-no-rj")</f>
        <v>https://yt3.ggpht.com/ytc/AIf8zZR_X3uOJANJZaI36hUJbh_vvVu2636zd1yne43z=s88-c-k-c0x00ffffff-no-rj</v>
      </c>
      <c r="G80" s="66"/>
      <c r="H80" s="70" t="s">
        <v>386</v>
      </c>
      <c r="I80" s="71"/>
      <c r="J80" s="71" t="s">
        <v>159</v>
      </c>
      <c r="K80" s="70" t="s">
        <v>386</v>
      </c>
      <c r="L80" s="74">
        <v>1</v>
      </c>
      <c r="M80" s="75">
        <v>5579.35693359375</v>
      </c>
      <c r="N80" s="75">
        <v>5656.8642578125</v>
      </c>
      <c r="O80" s="76"/>
      <c r="P80" s="77"/>
      <c r="Q80" s="77"/>
      <c r="R80" s="84"/>
      <c r="S80" s="49">
        <v>1</v>
      </c>
      <c r="T80" s="49">
        <v>0</v>
      </c>
      <c r="U80" s="50">
        <v>0</v>
      </c>
      <c r="V80" s="50">
        <v>0.384615</v>
      </c>
      <c r="W80" s="50">
        <v>0.097493</v>
      </c>
      <c r="X80" s="50">
        <v>0.0082</v>
      </c>
      <c r="Y80" s="50">
        <v>0</v>
      </c>
      <c r="Z80" s="50">
        <v>0</v>
      </c>
      <c r="AA80" s="72">
        <v>79</v>
      </c>
      <c r="AB80" s="72"/>
      <c r="AC80" s="73"/>
      <c r="AD80" s="80" t="s">
        <v>310</v>
      </c>
      <c r="AE80" s="98" t="str">
        <f>HYPERLINK("http://www.youtube.com/channel/UCzGoCGZLaDvMUcmp3o6E-_A")</f>
        <v>http://www.youtube.com/channel/UCzGoCGZLaDvMUcmp3o6E-_A</v>
      </c>
      <c r="AF80" s="80" t="s">
        <v>386</v>
      </c>
      <c r="AG80" s="80" t="s">
        <v>481</v>
      </c>
      <c r="AH80" s="80" t="str">
        <f>REPLACE(INDEX(GroupVertices[Group],MATCH("~"&amp;Vertices[[#This Row],[Vertex]],GroupVertices[Vertex],0)),1,1,"")</f>
        <v>1</v>
      </c>
      <c r="AI80" s="2"/>
      <c r="AJ80" s="3"/>
      <c r="AK80" s="3"/>
      <c r="AL80" s="3"/>
      <c r="AM80" s="3"/>
    </row>
    <row r="81" spans="1:39" ht="15">
      <c r="A81" s="65" t="s">
        <v>275</v>
      </c>
      <c r="B81" s="66"/>
      <c r="C81" s="66"/>
      <c r="D81" s="67">
        <v>70</v>
      </c>
      <c r="E81" s="69"/>
      <c r="F81" s="99" t="str">
        <f>HYPERLINK("https://yt3.ggpht.com/ytc/AIf8zZRzc6fNJl0i16BQndWnj9MBcZxK5MPBopEtL1S1=s88-c-k-c0x00ffffff-no-rj")</f>
        <v>https://yt3.ggpht.com/ytc/AIf8zZRzc6fNJl0i16BQndWnj9MBcZxK5MPBopEtL1S1=s88-c-k-c0x00ffffff-no-rj</v>
      </c>
      <c r="G81" s="66"/>
      <c r="H81" s="70" t="s">
        <v>387</v>
      </c>
      <c r="I81" s="71"/>
      <c r="J81" s="71" t="s">
        <v>159</v>
      </c>
      <c r="K81" s="70" t="s">
        <v>387</v>
      </c>
      <c r="L81" s="74">
        <v>1</v>
      </c>
      <c r="M81" s="75">
        <v>4301.27490234375</v>
      </c>
      <c r="N81" s="75">
        <v>6813.31396484375</v>
      </c>
      <c r="O81" s="76"/>
      <c r="P81" s="77"/>
      <c r="Q81" s="77"/>
      <c r="R81" s="84"/>
      <c r="S81" s="49">
        <v>1</v>
      </c>
      <c r="T81" s="49">
        <v>0</v>
      </c>
      <c r="U81" s="50">
        <v>0</v>
      </c>
      <c r="V81" s="50">
        <v>0.384615</v>
      </c>
      <c r="W81" s="50">
        <v>0.097493</v>
      </c>
      <c r="X81" s="50">
        <v>0.0082</v>
      </c>
      <c r="Y81" s="50">
        <v>0</v>
      </c>
      <c r="Z81" s="50">
        <v>0</v>
      </c>
      <c r="AA81" s="72">
        <v>80</v>
      </c>
      <c r="AB81" s="72"/>
      <c r="AC81" s="73"/>
      <c r="AD81" s="80" t="s">
        <v>310</v>
      </c>
      <c r="AE81" s="98" t="str">
        <f>HYPERLINK("http://www.youtube.com/channel/UCy9zmO0qTqg-amQ5lNzqRsQ")</f>
        <v>http://www.youtube.com/channel/UCy9zmO0qTqg-amQ5lNzqRsQ</v>
      </c>
      <c r="AF81" s="80" t="s">
        <v>387</v>
      </c>
      <c r="AG81" s="80"/>
      <c r="AH81" s="80" t="str">
        <f>REPLACE(INDEX(GroupVertices[Group],MATCH("~"&amp;Vertices[[#This Row],[Vertex]],GroupVertices[Vertex],0)),1,1,"")</f>
        <v>1</v>
      </c>
      <c r="AI81" s="2"/>
      <c r="AJ81" s="3"/>
      <c r="AK81" s="3"/>
      <c r="AL81" s="3"/>
      <c r="AM81" s="3"/>
    </row>
    <row r="82" spans="1:39" ht="15">
      <c r="A82" s="65" t="s">
        <v>276</v>
      </c>
      <c r="B82" s="66"/>
      <c r="C82" s="66"/>
      <c r="D82" s="67">
        <v>70</v>
      </c>
      <c r="E82" s="69"/>
      <c r="F82" s="99" t="str">
        <f>HYPERLINK("https://yt3.ggpht.com/ytc/AIf8zZSX35DDwFYamzJ2kA_UWrSDJPjbdAH7j-U0tdBp=s88-c-k-c0x00ffffff-no-rj")</f>
        <v>https://yt3.ggpht.com/ytc/AIf8zZSX35DDwFYamzJ2kA_UWrSDJPjbdAH7j-U0tdBp=s88-c-k-c0x00ffffff-no-rj</v>
      </c>
      <c r="G82" s="66"/>
      <c r="H82" s="70" t="s">
        <v>388</v>
      </c>
      <c r="I82" s="71"/>
      <c r="J82" s="71" t="s">
        <v>159</v>
      </c>
      <c r="K82" s="70" t="s">
        <v>388</v>
      </c>
      <c r="L82" s="74">
        <v>1</v>
      </c>
      <c r="M82" s="75">
        <v>5472.91845703125</v>
      </c>
      <c r="N82" s="75">
        <v>6640.23828125</v>
      </c>
      <c r="O82" s="76"/>
      <c r="P82" s="77"/>
      <c r="Q82" s="77"/>
      <c r="R82" s="84"/>
      <c r="S82" s="49">
        <v>1</v>
      </c>
      <c r="T82" s="49">
        <v>0</v>
      </c>
      <c r="U82" s="50">
        <v>0</v>
      </c>
      <c r="V82" s="50">
        <v>0.384615</v>
      </c>
      <c r="W82" s="50">
        <v>0.097493</v>
      </c>
      <c r="X82" s="50">
        <v>0.0082</v>
      </c>
      <c r="Y82" s="50">
        <v>0</v>
      </c>
      <c r="Z82" s="50">
        <v>0</v>
      </c>
      <c r="AA82" s="72">
        <v>81</v>
      </c>
      <c r="AB82" s="72"/>
      <c r="AC82" s="73"/>
      <c r="AD82" s="80" t="s">
        <v>310</v>
      </c>
      <c r="AE82" s="98" t="str">
        <f>HYPERLINK("http://www.youtube.com/channel/UCtlmIJ5CB70xQzZLJIj0yVw")</f>
        <v>http://www.youtube.com/channel/UCtlmIJ5CB70xQzZLJIj0yVw</v>
      </c>
      <c r="AF82" s="80" t="s">
        <v>388</v>
      </c>
      <c r="AG82" s="80" t="s">
        <v>482</v>
      </c>
      <c r="AH82" s="80" t="str">
        <f>REPLACE(INDEX(GroupVertices[Group],MATCH("~"&amp;Vertices[[#This Row],[Vertex]],GroupVertices[Vertex],0)),1,1,"")</f>
        <v>1</v>
      </c>
      <c r="AI82" s="2"/>
      <c r="AJ82" s="3"/>
      <c r="AK82" s="3"/>
      <c r="AL82" s="3"/>
      <c r="AM82" s="3"/>
    </row>
    <row r="83" spans="1:39" ht="15">
      <c r="A83" s="65" t="s">
        <v>277</v>
      </c>
      <c r="B83" s="66"/>
      <c r="C83" s="66"/>
      <c r="D83" s="67">
        <v>70</v>
      </c>
      <c r="E83" s="69"/>
      <c r="F83" s="99" t="str">
        <f>HYPERLINK("https://yt3.ggpht.com/ytc/AIf8zZSrmK0PSGyqPIiyhmxvpRZRkgazatdhWRxYfJhI=s88-c-k-c0x00ffffff-no-rj")</f>
        <v>https://yt3.ggpht.com/ytc/AIf8zZSrmK0PSGyqPIiyhmxvpRZRkgazatdhWRxYfJhI=s88-c-k-c0x00ffffff-no-rj</v>
      </c>
      <c r="G83" s="66"/>
      <c r="H83" s="70" t="s">
        <v>389</v>
      </c>
      <c r="I83" s="71"/>
      <c r="J83" s="71" t="s">
        <v>159</v>
      </c>
      <c r="K83" s="70" t="s">
        <v>389</v>
      </c>
      <c r="L83" s="74">
        <v>1</v>
      </c>
      <c r="M83" s="75">
        <v>5175.341796875</v>
      </c>
      <c r="N83" s="75">
        <v>6876.36962890625</v>
      </c>
      <c r="O83" s="76"/>
      <c r="P83" s="77"/>
      <c r="Q83" s="77"/>
      <c r="R83" s="84"/>
      <c r="S83" s="49">
        <v>1</v>
      </c>
      <c r="T83" s="49">
        <v>0</v>
      </c>
      <c r="U83" s="50">
        <v>0</v>
      </c>
      <c r="V83" s="50">
        <v>0.384615</v>
      </c>
      <c r="W83" s="50">
        <v>0.097493</v>
      </c>
      <c r="X83" s="50">
        <v>0.0082</v>
      </c>
      <c r="Y83" s="50">
        <v>0</v>
      </c>
      <c r="Z83" s="50">
        <v>0</v>
      </c>
      <c r="AA83" s="72">
        <v>82</v>
      </c>
      <c r="AB83" s="72"/>
      <c r="AC83" s="73"/>
      <c r="AD83" s="80" t="s">
        <v>310</v>
      </c>
      <c r="AE83" s="98" t="str">
        <f>HYPERLINK("http://www.youtube.com/channel/UCsajikr6uZFPixufeDIxQeg")</f>
        <v>http://www.youtube.com/channel/UCsajikr6uZFPixufeDIxQeg</v>
      </c>
      <c r="AF83" s="80" t="s">
        <v>389</v>
      </c>
      <c r="AG83" s="80" t="s">
        <v>483</v>
      </c>
      <c r="AH83" s="80" t="str">
        <f>REPLACE(INDEX(GroupVertices[Group],MATCH("~"&amp;Vertices[[#This Row],[Vertex]],GroupVertices[Vertex],0)),1,1,"")</f>
        <v>1</v>
      </c>
      <c r="AI83" s="2"/>
      <c r="AJ83" s="3"/>
      <c r="AK83" s="3"/>
      <c r="AL83" s="3"/>
      <c r="AM83" s="3"/>
    </row>
    <row r="84" spans="1:39" ht="15">
      <c r="A84" s="65" t="s">
        <v>278</v>
      </c>
      <c r="B84" s="66"/>
      <c r="C84" s="66"/>
      <c r="D84" s="67">
        <v>70</v>
      </c>
      <c r="E84" s="69"/>
      <c r="F84" s="99" t="str">
        <f>HYPERLINK("https://yt3.ggpht.com/ytc/AIf8zZRIfNMfNbzA3MZs5SWd9MYa8v_ed7ybRDgSHzbW=s88-c-k-c0x00ffffff-no-rj")</f>
        <v>https://yt3.ggpht.com/ytc/AIf8zZRIfNMfNbzA3MZs5SWd9MYa8v_ed7ybRDgSHzbW=s88-c-k-c0x00ffffff-no-rj</v>
      </c>
      <c r="G84" s="66"/>
      <c r="H84" s="70" t="s">
        <v>390</v>
      </c>
      <c r="I84" s="71"/>
      <c r="J84" s="71" t="s">
        <v>159</v>
      </c>
      <c r="K84" s="70" t="s">
        <v>390</v>
      </c>
      <c r="L84" s="74">
        <v>1</v>
      </c>
      <c r="M84" s="75">
        <v>3842.71923828125</v>
      </c>
      <c r="N84" s="75">
        <v>5160.99169921875</v>
      </c>
      <c r="O84" s="76"/>
      <c r="P84" s="77"/>
      <c r="Q84" s="77"/>
      <c r="R84" s="84"/>
      <c r="S84" s="49">
        <v>1</v>
      </c>
      <c r="T84" s="49">
        <v>0</v>
      </c>
      <c r="U84" s="50">
        <v>0</v>
      </c>
      <c r="V84" s="50">
        <v>0.384615</v>
      </c>
      <c r="W84" s="50">
        <v>0.097493</v>
      </c>
      <c r="X84" s="50">
        <v>0.0082</v>
      </c>
      <c r="Y84" s="50">
        <v>0</v>
      </c>
      <c r="Z84" s="50">
        <v>0</v>
      </c>
      <c r="AA84" s="72">
        <v>83</v>
      </c>
      <c r="AB84" s="72"/>
      <c r="AC84" s="73"/>
      <c r="AD84" s="80" t="s">
        <v>310</v>
      </c>
      <c r="AE84" s="98" t="str">
        <f>HYPERLINK("http://www.youtube.com/channel/UCqp4RB1cMiW7sudGQf8K0_w")</f>
        <v>http://www.youtube.com/channel/UCqp4RB1cMiW7sudGQf8K0_w</v>
      </c>
      <c r="AF84" s="80" t="s">
        <v>390</v>
      </c>
      <c r="AG84" s="80"/>
      <c r="AH84" s="80" t="str">
        <f>REPLACE(INDEX(GroupVertices[Group],MATCH("~"&amp;Vertices[[#This Row],[Vertex]],GroupVertices[Vertex],0)),1,1,"")</f>
        <v>1</v>
      </c>
      <c r="AI84" s="2"/>
      <c r="AJ84" s="3"/>
      <c r="AK84" s="3"/>
      <c r="AL84" s="3"/>
      <c r="AM84" s="3"/>
    </row>
    <row r="85" spans="1:39" ht="15">
      <c r="A85" s="65" t="s">
        <v>279</v>
      </c>
      <c r="B85" s="66"/>
      <c r="C85" s="66"/>
      <c r="D85" s="67">
        <v>70</v>
      </c>
      <c r="E85" s="69"/>
      <c r="F85" s="99" t="str">
        <f>HYPERLINK("https://yt3.ggpht.com/YS5IfY1ik7_jXmnBrkA47uJAIOIRRpVcE5OLnbdXSMmFGU9pN6FfhU-DYXjpyzRvFLeiJ9fFbQ=s88-c-k-c0x00ffffff-no-rj")</f>
        <v>https://yt3.ggpht.com/YS5IfY1ik7_jXmnBrkA47uJAIOIRRpVcE5OLnbdXSMmFGU9pN6FfhU-DYXjpyzRvFLeiJ9fFbQ=s88-c-k-c0x00ffffff-no-rj</v>
      </c>
      <c r="G85" s="66"/>
      <c r="H85" s="70" t="s">
        <v>391</v>
      </c>
      <c r="I85" s="71"/>
      <c r="J85" s="71" t="s">
        <v>159</v>
      </c>
      <c r="K85" s="70" t="s">
        <v>391</v>
      </c>
      <c r="L85" s="74">
        <v>1</v>
      </c>
      <c r="M85" s="75">
        <v>5378.06787109375</v>
      </c>
      <c r="N85" s="75">
        <v>5119.07421875</v>
      </c>
      <c r="O85" s="76"/>
      <c r="P85" s="77"/>
      <c r="Q85" s="77"/>
      <c r="R85" s="84"/>
      <c r="S85" s="49">
        <v>1</v>
      </c>
      <c r="T85" s="49">
        <v>0</v>
      </c>
      <c r="U85" s="50">
        <v>0</v>
      </c>
      <c r="V85" s="50">
        <v>0.384615</v>
      </c>
      <c r="W85" s="50">
        <v>0.097493</v>
      </c>
      <c r="X85" s="50">
        <v>0.0082</v>
      </c>
      <c r="Y85" s="50">
        <v>0</v>
      </c>
      <c r="Z85" s="50">
        <v>0</v>
      </c>
      <c r="AA85" s="72">
        <v>84</v>
      </c>
      <c r="AB85" s="72"/>
      <c r="AC85" s="73"/>
      <c r="AD85" s="80" t="s">
        <v>310</v>
      </c>
      <c r="AE85" s="98" t="str">
        <f>HYPERLINK("http://www.youtube.com/channel/UCmJITO0oNRCSK0k2pZ_9n9w")</f>
        <v>http://www.youtube.com/channel/UCmJITO0oNRCSK0k2pZ_9n9w</v>
      </c>
      <c r="AF85" s="80" t="s">
        <v>391</v>
      </c>
      <c r="AG85" s="80" t="s">
        <v>484</v>
      </c>
      <c r="AH85" s="80" t="str">
        <f>REPLACE(INDEX(GroupVertices[Group],MATCH("~"&amp;Vertices[[#This Row],[Vertex]],GroupVertices[Vertex],0)),1,1,"")</f>
        <v>1</v>
      </c>
      <c r="AI85" s="2"/>
      <c r="AJ85" s="3"/>
      <c r="AK85" s="3"/>
      <c r="AL85" s="3"/>
      <c r="AM85" s="3"/>
    </row>
    <row r="86" spans="1:39" ht="15">
      <c r="A86" s="65" t="s">
        <v>280</v>
      </c>
      <c r="B86" s="66"/>
      <c r="C86" s="66"/>
      <c r="D86" s="67">
        <v>70</v>
      </c>
      <c r="E86" s="69"/>
      <c r="F86" s="99" t="str">
        <f>HYPERLINK("https://yt3.ggpht.com/ytc/AIf8zZTvM9Z_Bzf2tnaB-Ix3oVkL0Sa-39KWPQJWsQ=s88-c-k-c0x00ffffff-no-rj")</f>
        <v>https://yt3.ggpht.com/ytc/AIf8zZTvM9Z_Bzf2tnaB-Ix3oVkL0Sa-39KWPQJWsQ=s88-c-k-c0x00ffffff-no-rj</v>
      </c>
      <c r="G86" s="66"/>
      <c r="H86" s="70" t="s">
        <v>392</v>
      </c>
      <c r="I86" s="71"/>
      <c r="J86" s="71" t="s">
        <v>159</v>
      </c>
      <c r="K86" s="70" t="s">
        <v>392</v>
      </c>
      <c r="L86" s="74">
        <v>1</v>
      </c>
      <c r="M86" s="75">
        <v>4395.8193359375</v>
      </c>
      <c r="N86" s="75">
        <v>4426.2529296875</v>
      </c>
      <c r="O86" s="76"/>
      <c r="P86" s="77"/>
      <c r="Q86" s="77"/>
      <c r="R86" s="84"/>
      <c r="S86" s="49">
        <v>1</v>
      </c>
      <c r="T86" s="49">
        <v>0</v>
      </c>
      <c r="U86" s="50">
        <v>0</v>
      </c>
      <c r="V86" s="50">
        <v>0.384615</v>
      </c>
      <c r="W86" s="50">
        <v>0.097493</v>
      </c>
      <c r="X86" s="50">
        <v>0.0082</v>
      </c>
      <c r="Y86" s="50">
        <v>0</v>
      </c>
      <c r="Z86" s="50">
        <v>0</v>
      </c>
      <c r="AA86" s="72">
        <v>85</v>
      </c>
      <c r="AB86" s="72"/>
      <c r="AC86" s="73"/>
      <c r="AD86" s="80" t="s">
        <v>310</v>
      </c>
      <c r="AE86" s="98" t="str">
        <f>HYPERLINK("http://www.youtube.com/channel/UCkmL9F1DZxHV96wUkzQ62qA")</f>
        <v>http://www.youtube.com/channel/UCkmL9F1DZxHV96wUkzQ62qA</v>
      </c>
      <c r="AF86" s="80" t="s">
        <v>392</v>
      </c>
      <c r="AG86" s="80"/>
      <c r="AH86" s="80" t="str">
        <f>REPLACE(INDEX(GroupVertices[Group],MATCH("~"&amp;Vertices[[#This Row],[Vertex]],GroupVertices[Vertex],0)),1,1,"")</f>
        <v>1</v>
      </c>
      <c r="AI86" s="2"/>
      <c r="AJ86" s="3"/>
      <c r="AK86" s="3"/>
      <c r="AL86" s="3"/>
      <c r="AM86" s="3"/>
    </row>
    <row r="87" spans="1:39" ht="15">
      <c r="A87" s="65" t="s">
        <v>281</v>
      </c>
      <c r="B87" s="66"/>
      <c r="C87" s="66"/>
      <c r="D87" s="67">
        <v>70</v>
      </c>
      <c r="E87" s="69"/>
      <c r="F87" s="99" t="str">
        <f>HYPERLINK("https://yt3.ggpht.com/ytc/AIf8zZTmCM6sAHcacxrVJETxTUyhxhncJHOvi7rWISxi=s88-c-k-c0x00ffffff-no-rj")</f>
        <v>https://yt3.ggpht.com/ytc/AIf8zZTmCM6sAHcacxrVJETxTUyhxhncJHOvi7rWISxi=s88-c-k-c0x00ffffff-no-rj</v>
      </c>
      <c r="G87" s="66"/>
      <c r="H87" s="70" t="s">
        <v>393</v>
      </c>
      <c r="I87" s="71"/>
      <c r="J87" s="71" t="s">
        <v>159</v>
      </c>
      <c r="K87" s="70" t="s">
        <v>393</v>
      </c>
      <c r="L87" s="74">
        <v>1</v>
      </c>
      <c r="M87" s="75">
        <v>4847.078125</v>
      </c>
      <c r="N87" s="75">
        <v>6223.13525390625</v>
      </c>
      <c r="O87" s="76"/>
      <c r="P87" s="77"/>
      <c r="Q87" s="77"/>
      <c r="R87" s="84"/>
      <c r="S87" s="49">
        <v>1</v>
      </c>
      <c r="T87" s="49">
        <v>0</v>
      </c>
      <c r="U87" s="50">
        <v>0</v>
      </c>
      <c r="V87" s="50">
        <v>0.384615</v>
      </c>
      <c r="W87" s="50">
        <v>0.097493</v>
      </c>
      <c r="X87" s="50">
        <v>0.0082</v>
      </c>
      <c r="Y87" s="50">
        <v>0</v>
      </c>
      <c r="Z87" s="50">
        <v>0</v>
      </c>
      <c r="AA87" s="72">
        <v>86</v>
      </c>
      <c r="AB87" s="72"/>
      <c r="AC87" s="73"/>
      <c r="AD87" s="80" t="s">
        <v>310</v>
      </c>
      <c r="AE87" s="98" t="str">
        <f>HYPERLINK("http://www.youtube.com/channel/UCk8A3ZEovfeZDKUjiIwRanA")</f>
        <v>http://www.youtube.com/channel/UCk8A3ZEovfeZDKUjiIwRanA</v>
      </c>
      <c r="AF87" s="80" t="s">
        <v>393</v>
      </c>
      <c r="AG87" s="80"/>
      <c r="AH87" s="80" t="str">
        <f>REPLACE(INDEX(GroupVertices[Group],MATCH("~"&amp;Vertices[[#This Row],[Vertex]],GroupVertices[Vertex],0)),1,1,"")</f>
        <v>1</v>
      </c>
      <c r="AI87" s="2"/>
      <c r="AJ87" s="3"/>
      <c r="AK87" s="3"/>
      <c r="AL87" s="3"/>
      <c r="AM87" s="3"/>
    </row>
    <row r="88" spans="1:39" ht="15">
      <c r="A88" s="65" t="s">
        <v>282</v>
      </c>
      <c r="B88" s="66"/>
      <c r="C88" s="66"/>
      <c r="D88" s="67">
        <v>70</v>
      </c>
      <c r="E88" s="69"/>
      <c r="F88" s="99" t="str">
        <f>HYPERLINK("https://yt3.ggpht.com/ytc/AIf8zZQIAU7z6LMgNv_jUpdtBAsweIi4O-v1DUS3hdfx=s88-c-k-c0x00ffffff-no-rj")</f>
        <v>https://yt3.ggpht.com/ytc/AIf8zZQIAU7z6LMgNv_jUpdtBAsweIi4O-v1DUS3hdfx=s88-c-k-c0x00ffffff-no-rj</v>
      </c>
      <c r="G88" s="66"/>
      <c r="H88" s="70" t="s">
        <v>394</v>
      </c>
      <c r="I88" s="71"/>
      <c r="J88" s="71" t="s">
        <v>159</v>
      </c>
      <c r="K88" s="70" t="s">
        <v>394</v>
      </c>
      <c r="L88" s="74">
        <v>1</v>
      </c>
      <c r="M88" s="75">
        <v>5755.3974609375</v>
      </c>
      <c r="N88" s="75">
        <v>5238.9560546875</v>
      </c>
      <c r="O88" s="76"/>
      <c r="P88" s="77"/>
      <c r="Q88" s="77"/>
      <c r="R88" s="84"/>
      <c r="S88" s="49">
        <v>1</v>
      </c>
      <c r="T88" s="49">
        <v>0</v>
      </c>
      <c r="U88" s="50">
        <v>0</v>
      </c>
      <c r="V88" s="50">
        <v>0.384615</v>
      </c>
      <c r="W88" s="50">
        <v>0.097493</v>
      </c>
      <c r="X88" s="50">
        <v>0.0082</v>
      </c>
      <c r="Y88" s="50">
        <v>0</v>
      </c>
      <c r="Z88" s="50">
        <v>0</v>
      </c>
      <c r="AA88" s="72">
        <v>87</v>
      </c>
      <c r="AB88" s="72"/>
      <c r="AC88" s="73"/>
      <c r="AD88" s="80" t="s">
        <v>310</v>
      </c>
      <c r="AE88" s="98" t="str">
        <f>HYPERLINK("http://www.youtube.com/channel/UCk5TfXixKIajRiNKc-zxX_Q")</f>
        <v>http://www.youtube.com/channel/UCk5TfXixKIajRiNKc-zxX_Q</v>
      </c>
      <c r="AF88" s="80" t="s">
        <v>394</v>
      </c>
      <c r="AG88" s="80"/>
      <c r="AH88" s="80" t="str">
        <f>REPLACE(INDEX(GroupVertices[Group],MATCH("~"&amp;Vertices[[#This Row],[Vertex]],GroupVertices[Vertex],0)),1,1,"")</f>
        <v>1</v>
      </c>
      <c r="AI88" s="2"/>
      <c r="AJ88" s="3"/>
      <c r="AK88" s="3"/>
      <c r="AL88" s="3"/>
      <c r="AM88" s="3"/>
    </row>
    <row r="89" spans="1:39" ht="15">
      <c r="A89" s="65" t="s">
        <v>283</v>
      </c>
      <c r="B89" s="66"/>
      <c r="C89" s="66"/>
      <c r="D89" s="67">
        <v>70</v>
      </c>
      <c r="E89" s="69"/>
      <c r="F89" s="99" t="str">
        <f>HYPERLINK("https://yt3.ggpht.com/4dQ7pQ6NBP2Cwhf6i9til8v-M6ZekivcLm0xeU6RxFvl-OU81PWY7uSTG8fjEdesqMJHQrtgtw=s88-c-k-c0x00ffffff-no-rj")</f>
        <v>https://yt3.ggpht.com/4dQ7pQ6NBP2Cwhf6i9til8v-M6ZekivcLm0xeU6RxFvl-OU81PWY7uSTG8fjEdesqMJHQrtgtw=s88-c-k-c0x00ffffff-no-rj</v>
      </c>
      <c r="G89" s="66"/>
      <c r="H89" s="70" t="s">
        <v>395</v>
      </c>
      <c r="I89" s="71"/>
      <c r="J89" s="71" t="s">
        <v>159</v>
      </c>
      <c r="K89" s="70" t="s">
        <v>395</v>
      </c>
      <c r="L89" s="74">
        <v>1</v>
      </c>
      <c r="M89" s="75">
        <v>4700.98046875</v>
      </c>
      <c r="N89" s="75">
        <v>4686.8359375</v>
      </c>
      <c r="O89" s="76"/>
      <c r="P89" s="77"/>
      <c r="Q89" s="77"/>
      <c r="R89" s="84"/>
      <c r="S89" s="49">
        <v>1</v>
      </c>
      <c r="T89" s="49">
        <v>0</v>
      </c>
      <c r="U89" s="50">
        <v>0</v>
      </c>
      <c r="V89" s="50">
        <v>0.384615</v>
      </c>
      <c r="W89" s="50">
        <v>0.097493</v>
      </c>
      <c r="X89" s="50">
        <v>0.0082</v>
      </c>
      <c r="Y89" s="50">
        <v>0</v>
      </c>
      <c r="Z89" s="50">
        <v>0</v>
      </c>
      <c r="AA89" s="72">
        <v>88</v>
      </c>
      <c r="AB89" s="72"/>
      <c r="AC89" s="73"/>
      <c r="AD89" s="80" t="s">
        <v>310</v>
      </c>
      <c r="AE89" s="98" t="str">
        <f>HYPERLINK("http://www.youtube.com/channel/UCj_L_Gs4VJKa7_aK34aDWRw")</f>
        <v>http://www.youtube.com/channel/UCj_L_Gs4VJKa7_aK34aDWRw</v>
      </c>
      <c r="AF89" s="80" t="s">
        <v>395</v>
      </c>
      <c r="AG89" s="80" t="s">
        <v>485</v>
      </c>
      <c r="AH89" s="80" t="str">
        <f>REPLACE(INDEX(GroupVertices[Group],MATCH("~"&amp;Vertices[[#This Row],[Vertex]],GroupVertices[Vertex],0)),1,1,"")</f>
        <v>1</v>
      </c>
      <c r="AI89" s="2"/>
      <c r="AJ89" s="3"/>
      <c r="AK89" s="3"/>
      <c r="AL89" s="3"/>
      <c r="AM89" s="3"/>
    </row>
    <row r="90" spans="1:39" ht="15">
      <c r="A90" s="65" t="s">
        <v>284</v>
      </c>
      <c r="B90" s="66"/>
      <c r="C90" s="66"/>
      <c r="D90" s="67">
        <v>70</v>
      </c>
      <c r="E90" s="69"/>
      <c r="F90" s="99" t="str">
        <f>HYPERLINK("https://yt3.ggpht.com/ytc/AIf8zZSoj0h2syuIvC3nRrwfaUq1YkyX7oZnOjcW9YS3=s88-c-k-c0x00ffffff-no-rj")</f>
        <v>https://yt3.ggpht.com/ytc/AIf8zZSoj0h2syuIvC3nRrwfaUq1YkyX7oZnOjcW9YS3=s88-c-k-c0x00ffffff-no-rj</v>
      </c>
      <c r="G90" s="66"/>
      <c r="H90" s="70" t="s">
        <v>396</v>
      </c>
      <c r="I90" s="71"/>
      <c r="J90" s="71" t="s">
        <v>159</v>
      </c>
      <c r="K90" s="70" t="s">
        <v>396</v>
      </c>
      <c r="L90" s="74">
        <v>1</v>
      </c>
      <c r="M90" s="75">
        <v>3974.518310546875</v>
      </c>
      <c r="N90" s="75">
        <v>4852.8369140625</v>
      </c>
      <c r="O90" s="76"/>
      <c r="P90" s="77"/>
      <c r="Q90" s="77"/>
      <c r="R90" s="84"/>
      <c r="S90" s="49">
        <v>1</v>
      </c>
      <c r="T90" s="49">
        <v>0</v>
      </c>
      <c r="U90" s="50">
        <v>0</v>
      </c>
      <c r="V90" s="50">
        <v>0.384615</v>
      </c>
      <c r="W90" s="50">
        <v>0.097493</v>
      </c>
      <c r="X90" s="50">
        <v>0.0082</v>
      </c>
      <c r="Y90" s="50">
        <v>0</v>
      </c>
      <c r="Z90" s="50">
        <v>0</v>
      </c>
      <c r="AA90" s="72">
        <v>89</v>
      </c>
      <c r="AB90" s="72"/>
      <c r="AC90" s="73"/>
      <c r="AD90" s="80" t="s">
        <v>310</v>
      </c>
      <c r="AE90" s="98" t="str">
        <f>HYPERLINK("http://www.youtube.com/channel/UCeVOfNwFlrPmxva-OPev1vg")</f>
        <v>http://www.youtube.com/channel/UCeVOfNwFlrPmxva-OPev1vg</v>
      </c>
      <c r="AF90" s="80" t="s">
        <v>396</v>
      </c>
      <c r="AG90" s="80" t="s">
        <v>486</v>
      </c>
      <c r="AH90" s="80" t="str">
        <f>REPLACE(INDEX(GroupVertices[Group],MATCH("~"&amp;Vertices[[#This Row],[Vertex]],GroupVertices[Vertex],0)),1,1,"")</f>
        <v>1</v>
      </c>
      <c r="AI90" s="2"/>
      <c r="AJ90" s="3"/>
      <c r="AK90" s="3"/>
      <c r="AL90" s="3"/>
      <c r="AM90" s="3"/>
    </row>
    <row r="91" spans="1:39" ht="15">
      <c r="A91" s="65" t="s">
        <v>285</v>
      </c>
      <c r="B91" s="66"/>
      <c r="C91" s="66"/>
      <c r="D91" s="67">
        <v>70</v>
      </c>
      <c r="E91" s="69"/>
      <c r="F91" s="99" t="str">
        <f>HYPERLINK("https://yt3.ggpht.com/ytc/AIf8zZTPD0xYl56Oc9f1QlzcvtXdRHr0_RhgpvTwqtQb=s88-c-k-c0x00ffffff-no-rj")</f>
        <v>https://yt3.ggpht.com/ytc/AIf8zZTPD0xYl56Oc9f1QlzcvtXdRHr0_RhgpvTwqtQb=s88-c-k-c0x00ffffff-no-rj</v>
      </c>
      <c r="G91" s="66"/>
      <c r="H91" s="70" t="s">
        <v>397</v>
      </c>
      <c r="I91" s="71"/>
      <c r="J91" s="71" t="s">
        <v>159</v>
      </c>
      <c r="K91" s="70" t="s">
        <v>397</v>
      </c>
      <c r="L91" s="74">
        <v>1</v>
      </c>
      <c r="M91" s="75">
        <v>3830.5556640625</v>
      </c>
      <c r="N91" s="75">
        <v>5895.51513671875</v>
      </c>
      <c r="O91" s="76"/>
      <c r="P91" s="77"/>
      <c r="Q91" s="77"/>
      <c r="R91" s="84"/>
      <c r="S91" s="49">
        <v>1</v>
      </c>
      <c r="T91" s="49">
        <v>0</v>
      </c>
      <c r="U91" s="50">
        <v>0</v>
      </c>
      <c r="V91" s="50">
        <v>0.384615</v>
      </c>
      <c r="W91" s="50">
        <v>0.097493</v>
      </c>
      <c r="X91" s="50">
        <v>0.0082</v>
      </c>
      <c r="Y91" s="50">
        <v>0</v>
      </c>
      <c r="Z91" s="50">
        <v>0</v>
      </c>
      <c r="AA91" s="72">
        <v>90</v>
      </c>
      <c r="AB91" s="72"/>
      <c r="AC91" s="73"/>
      <c r="AD91" s="80" t="s">
        <v>310</v>
      </c>
      <c r="AE91" s="98" t="str">
        <f>HYPERLINK("http://www.youtube.com/channel/UCaPwrq-t48iehHsjuToqJIg")</f>
        <v>http://www.youtube.com/channel/UCaPwrq-t48iehHsjuToqJIg</v>
      </c>
      <c r="AF91" s="80" t="s">
        <v>397</v>
      </c>
      <c r="AG91" s="80" t="s">
        <v>487</v>
      </c>
      <c r="AH91" s="80" t="str">
        <f>REPLACE(INDEX(GroupVertices[Group],MATCH("~"&amp;Vertices[[#This Row],[Vertex]],GroupVertices[Vertex],0)),1,1,"")</f>
        <v>1</v>
      </c>
      <c r="AI91" s="2"/>
      <c r="AJ91" s="3"/>
      <c r="AK91" s="3"/>
      <c r="AL91" s="3"/>
      <c r="AM91" s="3"/>
    </row>
    <row r="92" spans="1:39" ht="15">
      <c r="A92" s="65" t="s">
        <v>286</v>
      </c>
      <c r="B92" s="66"/>
      <c r="C92" s="66"/>
      <c r="D92" s="67">
        <v>70</v>
      </c>
      <c r="E92" s="69"/>
      <c r="F92" s="99" t="str">
        <f>HYPERLINK("https://yt3.ggpht.com/ytc/AIf8zZQtRNBW5rVDbzl87nOwGOJ24mZdDX7ullyjfP9I=s88-c-k-c0x00ffffff-no-rj")</f>
        <v>https://yt3.ggpht.com/ytc/AIf8zZQtRNBW5rVDbzl87nOwGOJ24mZdDX7ullyjfP9I=s88-c-k-c0x00ffffff-no-rj</v>
      </c>
      <c r="G92" s="66"/>
      <c r="H92" s="70" t="s">
        <v>398</v>
      </c>
      <c r="I92" s="71"/>
      <c r="J92" s="71" t="s">
        <v>159</v>
      </c>
      <c r="K92" s="70" t="s">
        <v>398</v>
      </c>
      <c r="L92" s="74">
        <v>1</v>
      </c>
      <c r="M92" s="75">
        <v>4213.3232421875</v>
      </c>
      <c r="N92" s="75">
        <v>5530.6904296875</v>
      </c>
      <c r="O92" s="76"/>
      <c r="P92" s="77"/>
      <c r="Q92" s="77"/>
      <c r="R92" s="84"/>
      <c r="S92" s="49">
        <v>1</v>
      </c>
      <c r="T92" s="49">
        <v>0</v>
      </c>
      <c r="U92" s="50">
        <v>0</v>
      </c>
      <c r="V92" s="50">
        <v>0.384615</v>
      </c>
      <c r="W92" s="50">
        <v>0.097493</v>
      </c>
      <c r="X92" s="50">
        <v>0.0082</v>
      </c>
      <c r="Y92" s="50">
        <v>0</v>
      </c>
      <c r="Z92" s="50">
        <v>0</v>
      </c>
      <c r="AA92" s="72">
        <v>91</v>
      </c>
      <c r="AB92" s="72"/>
      <c r="AC92" s="73"/>
      <c r="AD92" s="80" t="s">
        <v>310</v>
      </c>
      <c r="AE92" s="98" t="str">
        <f>HYPERLINK("http://www.youtube.com/channel/UCZhSCovxerBBmgSbjJ6r0GQ")</f>
        <v>http://www.youtube.com/channel/UCZhSCovxerBBmgSbjJ6r0GQ</v>
      </c>
      <c r="AF92" s="80" t="s">
        <v>398</v>
      </c>
      <c r="AG92" s="80" t="s">
        <v>488</v>
      </c>
      <c r="AH92" s="80" t="str">
        <f>REPLACE(INDEX(GroupVertices[Group],MATCH("~"&amp;Vertices[[#This Row],[Vertex]],GroupVertices[Vertex],0)),1,1,"")</f>
        <v>1</v>
      </c>
      <c r="AI92" s="2"/>
      <c r="AJ92" s="3"/>
      <c r="AK92" s="3"/>
      <c r="AL92" s="3"/>
      <c r="AM92" s="3"/>
    </row>
    <row r="93" spans="1:39" ht="15">
      <c r="A93" s="65" t="s">
        <v>287</v>
      </c>
      <c r="B93" s="66"/>
      <c r="C93" s="66"/>
      <c r="D93" s="67">
        <v>70</v>
      </c>
      <c r="E93" s="69"/>
      <c r="F93" s="99" t="str">
        <f>HYPERLINK("https://yt3.ggpht.com/karp8P4d2TA-jNPs4QD8oZD_IneQbC29pDnzEzw7c3waCjYx0TWvIIHg2a2vPEAjg1nEZvp8iA=s88-c-k-c0x00ffffff-no-rj")</f>
        <v>https://yt3.ggpht.com/karp8P4d2TA-jNPs4QD8oZD_IneQbC29pDnzEzw7c3waCjYx0TWvIIHg2a2vPEAjg1nEZvp8iA=s88-c-k-c0x00ffffff-no-rj</v>
      </c>
      <c r="G93" s="66"/>
      <c r="H93" s="70" t="s">
        <v>399</v>
      </c>
      <c r="I93" s="71"/>
      <c r="J93" s="71" t="s">
        <v>159</v>
      </c>
      <c r="K93" s="70" t="s">
        <v>399</v>
      </c>
      <c r="L93" s="74">
        <v>1</v>
      </c>
      <c r="M93" s="75">
        <v>5606.90087890625</v>
      </c>
      <c r="N93" s="75">
        <v>6235.07470703125</v>
      </c>
      <c r="O93" s="76"/>
      <c r="P93" s="77"/>
      <c r="Q93" s="77"/>
      <c r="R93" s="84"/>
      <c r="S93" s="49">
        <v>1</v>
      </c>
      <c r="T93" s="49">
        <v>0</v>
      </c>
      <c r="U93" s="50">
        <v>0</v>
      </c>
      <c r="V93" s="50">
        <v>0.384615</v>
      </c>
      <c r="W93" s="50">
        <v>0.097493</v>
      </c>
      <c r="X93" s="50">
        <v>0.0082</v>
      </c>
      <c r="Y93" s="50">
        <v>0</v>
      </c>
      <c r="Z93" s="50">
        <v>0</v>
      </c>
      <c r="AA93" s="72">
        <v>92</v>
      </c>
      <c r="AB93" s="72"/>
      <c r="AC93" s="73"/>
      <c r="AD93" s="80" t="s">
        <v>310</v>
      </c>
      <c r="AE93" s="98" t="str">
        <f>HYPERLINK("http://www.youtube.com/channel/UCWPGcD5xAo8DtK7Zp3ToaMg")</f>
        <v>http://www.youtube.com/channel/UCWPGcD5xAo8DtK7Zp3ToaMg</v>
      </c>
      <c r="AF93" s="80" t="s">
        <v>399</v>
      </c>
      <c r="AG93" s="80" t="s">
        <v>489</v>
      </c>
      <c r="AH93" s="80" t="str">
        <f>REPLACE(INDEX(GroupVertices[Group],MATCH("~"&amp;Vertices[[#This Row],[Vertex]],GroupVertices[Vertex],0)),1,1,"")</f>
        <v>1</v>
      </c>
      <c r="AI93" s="2"/>
      <c r="AJ93" s="3"/>
      <c r="AK93" s="3"/>
      <c r="AL93" s="3"/>
      <c r="AM93" s="3"/>
    </row>
    <row r="94" spans="1:39" ht="15">
      <c r="A94" s="65" t="s">
        <v>288</v>
      </c>
      <c r="B94" s="66"/>
      <c r="C94" s="66"/>
      <c r="D94" s="67">
        <v>70</v>
      </c>
      <c r="E94" s="69"/>
      <c r="F94" s="99" t="str">
        <f>HYPERLINK("https://yt3.ggpht.com/ytc/AIf8zZS-rajxwcv-GdCCOdScNoxanfUN0bFtMhfT0g=s88-c-k-c0x00ffffff-no-rj")</f>
        <v>https://yt3.ggpht.com/ytc/AIf8zZS-rajxwcv-GdCCOdScNoxanfUN0bFtMhfT0g=s88-c-k-c0x00ffffff-no-rj</v>
      </c>
      <c r="G94" s="66"/>
      <c r="H94" s="70" t="s">
        <v>400</v>
      </c>
      <c r="I94" s="71"/>
      <c r="J94" s="71" t="s">
        <v>159</v>
      </c>
      <c r="K94" s="70" t="s">
        <v>400</v>
      </c>
      <c r="L94" s="74">
        <v>1</v>
      </c>
      <c r="M94" s="75">
        <v>4987.94580078125</v>
      </c>
      <c r="N94" s="75">
        <v>4337.5654296875</v>
      </c>
      <c r="O94" s="76"/>
      <c r="P94" s="77"/>
      <c r="Q94" s="77"/>
      <c r="R94" s="84"/>
      <c r="S94" s="49">
        <v>1</v>
      </c>
      <c r="T94" s="49">
        <v>0</v>
      </c>
      <c r="U94" s="50">
        <v>0</v>
      </c>
      <c r="V94" s="50">
        <v>0.384615</v>
      </c>
      <c r="W94" s="50">
        <v>0.097493</v>
      </c>
      <c r="X94" s="50">
        <v>0.0082</v>
      </c>
      <c r="Y94" s="50">
        <v>0</v>
      </c>
      <c r="Z94" s="50">
        <v>0</v>
      </c>
      <c r="AA94" s="72">
        <v>93</v>
      </c>
      <c r="AB94" s="72"/>
      <c r="AC94" s="73"/>
      <c r="AD94" s="80" t="s">
        <v>310</v>
      </c>
      <c r="AE94" s="98" t="str">
        <f>HYPERLINK("http://www.youtube.com/channel/UCUy2yWTY6bMDrMArGThCjbQ")</f>
        <v>http://www.youtube.com/channel/UCUy2yWTY6bMDrMArGThCjbQ</v>
      </c>
      <c r="AF94" s="80" t="s">
        <v>400</v>
      </c>
      <c r="AG94" s="80"/>
      <c r="AH94" s="80" t="str">
        <f>REPLACE(INDEX(GroupVertices[Group],MATCH("~"&amp;Vertices[[#This Row],[Vertex]],GroupVertices[Vertex],0)),1,1,"")</f>
        <v>1</v>
      </c>
      <c r="AI94" s="2"/>
      <c r="AJ94" s="3"/>
      <c r="AK94" s="3"/>
      <c r="AL94" s="3"/>
      <c r="AM94" s="3"/>
    </row>
    <row r="95" spans="1:39" ht="15">
      <c r="A95" s="65" t="s">
        <v>289</v>
      </c>
      <c r="B95" s="66"/>
      <c r="C95" s="66"/>
      <c r="D95" s="67">
        <v>70</v>
      </c>
      <c r="E95" s="69"/>
      <c r="F95" s="99" t="str">
        <f>HYPERLINK("https://yt3.ggpht.com/ytc/AIf8zZSgcSe0wiRmsrIZoRsUMKk4kkxMA28EecT5dh5K=s88-c-k-c0x00ffffff-no-rj")</f>
        <v>https://yt3.ggpht.com/ytc/AIf8zZSgcSe0wiRmsrIZoRsUMKk4kkxMA28EecT5dh5K=s88-c-k-c0x00ffffff-no-rj</v>
      </c>
      <c r="G95" s="66"/>
      <c r="H95" s="70" t="s">
        <v>401</v>
      </c>
      <c r="I95" s="71"/>
      <c r="J95" s="71" t="s">
        <v>159</v>
      </c>
      <c r="K95" s="70" t="s">
        <v>401</v>
      </c>
      <c r="L95" s="74">
        <v>1</v>
      </c>
      <c r="M95" s="75">
        <v>4622.45556640625</v>
      </c>
      <c r="N95" s="75">
        <v>6965.7666015625</v>
      </c>
      <c r="O95" s="76"/>
      <c r="P95" s="77"/>
      <c r="Q95" s="77"/>
      <c r="R95" s="84"/>
      <c r="S95" s="49">
        <v>1</v>
      </c>
      <c r="T95" s="49">
        <v>0</v>
      </c>
      <c r="U95" s="50">
        <v>0</v>
      </c>
      <c r="V95" s="50">
        <v>0.384615</v>
      </c>
      <c r="W95" s="50">
        <v>0.097493</v>
      </c>
      <c r="X95" s="50">
        <v>0.0082</v>
      </c>
      <c r="Y95" s="50">
        <v>0</v>
      </c>
      <c r="Z95" s="50">
        <v>0</v>
      </c>
      <c r="AA95" s="72">
        <v>94</v>
      </c>
      <c r="AB95" s="72"/>
      <c r="AC95" s="73"/>
      <c r="AD95" s="80" t="s">
        <v>310</v>
      </c>
      <c r="AE95" s="98" t="str">
        <f>HYPERLINK("http://www.youtube.com/channel/UCSi7I2n1HNs43I9qQOcUI-A")</f>
        <v>http://www.youtube.com/channel/UCSi7I2n1HNs43I9qQOcUI-A</v>
      </c>
      <c r="AF95" s="80" t="s">
        <v>401</v>
      </c>
      <c r="AG95" s="80"/>
      <c r="AH95" s="80" t="str">
        <f>REPLACE(INDEX(GroupVertices[Group],MATCH("~"&amp;Vertices[[#This Row],[Vertex]],GroupVertices[Vertex],0)),1,1,"")</f>
        <v>1</v>
      </c>
      <c r="AI95" s="2"/>
      <c r="AJ95" s="3"/>
      <c r="AK95" s="3"/>
      <c r="AL95" s="3"/>
      <c r="AM95" s="3"/>
    </row>
    <row r="96" spans="1:39" ht="15">
      <c r="A96" s="65" t="s">
        <v>290</v>
      </c>
      <c r="B96" s="66"/>
      <c r="C96" s="66"/>
      <c r="D96" s="67">
        <v>70</v>
      </c>
      <c r="E96" s="69"/>
      <c r="F96" s="99" t="str">
        <f>HYPERLINK("https://yt3.ggpht.com/op4UT-dwWJ2g0fUls4wWZ0InyvJOC4YlqfNMSfhpH14A8XzVHv5_g6us41cutzuNfZaVhf0-=s88-c-k-c0x00ffffff-no-rj")</f>
        <v>https://yt3.ggpht.com/op4UT-dwWJ2g0fUls4wWZ0InyvJOC4YlqfNMSfhpH14A8XzVHv5_g6us41cutzuNfZaVhf0-=s88-c-k-c0x00ffffff-no-rj</v>
      </c>
      <c r="G96" s="66"/>
      <c r="H96" s="70" t="s">
        <v>402</v>
      </c>
      <c r="I96" s="71"/>
      <c r="J96" s="71" t="s">
        <v>159</v>
      </c>
      <c r="K96" s="70" t="s">
        <v>402</v>
      </c>
      <c r="L96" s="74">
        <v>1</v>
      </c>
      <c r="M96" s="75">
        <v>5667.6884765625</v>
      </c>
      <c r="N96" s="75">
        <v>4832.64697265625</v>
      </c>
      <c r="O96" s="76"/>
      <c r="P96" s="77"/>
      <c r="Q96" s="77"/>
      <c r="R96" s="84"/>
      <c r="S96" s="49">
        <v>1</v>
      </c>
      <c r="T96" s="49">
        <v>0</v>
      </c>
      <c r="U96" s="50">
        <v>0</v>
      </c>
      <c r="V96" s="50">
        <v>0.384615</v>
      </c>
      <c r="W96" s="50">
        <v>0.097493</v>
      </c>
      <c r="X96" s="50">
        <v>0.0082</v>
      </c>
      <c r="Y96" s="50">
        <v>0</v>
      </c>
      <c r="Z96" s="50">
        <v>0</v>
      </c>
      <c r="AA96" s="72">
        <v>95</v>
      </c>
      <c r="AB96" s="72"/>
      <c r="AC96" s="73"/>
      <c r="AD96" s="80" t="s">
        <v>310</v>
      </c>
      <c r="AE96" s="98" t="str">
        <f>HYPERLINK("http://www.youtube.com/channel/UCLPUYo-s3HfTTCPCYmOFOmg")</f>
        <v>http://www.youtube.com/channel/UCLPUYo-s3HfTTCPCYmOFOmg</v>
      </c>
      <c r="AF96" s="80" t="s">
        <v>402</v>
      </c>
      <c r="AG96" s="80" t="s">
        <v>490</v>
      </c>
      <c r="AH96" s="80" t="str">
        <f>REPLACE(INDEX(GroupVertices[Group],MATCH("~"&amp;Vertices[[#This Row],[Vertex]],GroupVertices[Vertex],0)),1,1,"")</f>
        <v>1</v>
      </c>
      <c r="AI96" s="2"/>
      <c r="AJ96" s="3"/>
      <c r="AK96" s="3"/>
      <c r="AL96" s="3"/>
      <c r="AM96" s="3"/>
    </row>
    <row r="97" spans="1:39" ht="15">
      <c r="A97" s="65" t="s">
        <v>291</v>
      </c>
      <c r="B97" s="66"/>
      <c r="C97" s="66"/>
      <c r="D97" s="67">
        <v>70</v>
      </c>
      <c r="E97" s="69"/>
      <c r="F97" s="99" t="str">
        <f>HYPERLINK("https://yt3.ggpht.com/ytc/AIf8zZTwcxcblIAlVQtjXqREgkkIRO0dq6FJEV35UpLY=s88-c-k-c0x00ffffff-no-rj")</f>
        <v>https://yt3.ggpht.com/ytc/AIf8zZTwcxcblIAlVQtjXqREgkkIRO0dq6FJEV35UpLY=s88-c-k-c0x00ffffff-no-rj</v>
      </c>
      <c r="G97" s="66"/>
      <c r="H97" s="70" t="s">
        <v>403</v>
      </c>
      <c r="I97" s="71"/>
      <c r="J97" s="71" t="s">
        <v>159</v>
      </c>
      <c r="K97" s="70" t="s">
        <v>403</v>
      </c>
      <c r="L97" s="74">
        <v>1</v>
      </c>
      <c r="M97" s="75">
        <v>4137.2255859375</v>
      </c>
      <c r="N97" s="75">
        <v>4564.88427734375</v>
      </c>
      <c r="O97" s="76"/>
      <c r="P97" s="77"/>
      <c r="Q97" s="77"/>
      <c r="R97" s="84"/>
      <c r="S97" s="49">
        <v>1</v>
      </c>
      <c r="T97" s="49">
        <v>0</v>
      </c>
      <c r="U97" s="50">
        <v>0</v>
      </c>
      <c r="V97" s="50">
        <v>0.384615</v>
      </c>
      <c r="W97" s="50">
        <v>0.097493</v>
      </c>
      <c r="X97" s="50">
        <v>0.0082</v>
      </c>
      <c r="Y97" s="50">
        <v>0</v>
      </c>
      <c r="Z97" s="50">
        <v>0</v>
      </c>
      <c r="AA97" s="72">
        <v>96</v>
      </c>
      <c r="AB97" s="72"/>
      <c r="AC97" s="73"/>
      <c r="AD97" s="80" t="s">
        <v>310</v>
      </c>
      <c r="AE97" s="98" t="str">
        <f>HYPERLINK("http://www.youtube.com/channel/UCJuyVJ3Bz1lHPFl1ioxSUNQ")</f>
        <v>http://www.youtube.com/channel/UCJuyVJ3Bz1lHPFl1ioxSUNQ</v>
      </c>
      <c r="AF97" s="80" t="s">
        <v>403</v>
      </c>
      <c r="AG97" s="80" t="s">
        <v>491</v>
      </c>
      <c r="AH97" s="80" t="str">
        <f>REPLACE(INDEX(GroupVertices[Group],MATCH("~"&amp;Vertices[[#This Row],[Vertex]],GroupVertices[Vertex],0)),1,1,"")</f>
        <v>1</v>
      </c>
      <c r="AI97" s="2"/>
      <c r="AJ97" s="3"/>
      <c r="AK97" s="3"/>
      <c r="AL97" s="3"/>
      <c r="AM97" s="3"/>
    </row>
    <row r="98" spans="1:39" ht="15">
      <c r="A98" s="65" t="s">
        <v>293</v>
      </c>
      <c r="B98" s="66"/>
      <c r="C98" s="66"/>
      <c r="D98" s="67">
        <v>70</v>
      </c>
      <c r="E98" s="69"/>
      <c r="F98" s="99" t="str">
        <f>HYPERLINK("https://yt3.ggpht.com/ytc/AIf8zZTfQfLFKfqmRbtM14q5UCyAj9nJWae96CsnQQ=s88-c-k-c0x00ffffff-no-rj")</f>
        <v>https://yt3.ggpht.com/ytc/AIf8zZTfQfLFKfqmRbtM14q5UCyAj9nJWae96CsnQQ=s88-c-k-c0x00ffffff-no-rj</v>
      </c>
      <c r="G98" s="66"/>
      <c r="H98" s="70" t="s">
        <v>405</v>
      </c>
      <c r="I98" s="71"/>
      <c r="J98" s="71" t="s">
        <v>159</v>
      </c>
      <c r="K98" s="70" t="s">
        <v>405</v>
      </c>
      <c r="L98" s="74">
        <v>1</v>
      </c>
      <c r="M98" s="75">
        <v>3928.419921875</v>
      </c>
      <c r="N98" s="75">
        <v>6236.86865234375</v>
      </c>
      <c r="O98" s="76"/>
      <c r="P98" s="77"/>
      <c r="Q98" s="77"/>
      <c r="R98" s="84"/>
      <c r="S98" s="49">
        <v>1</v>
      </c>
      <c r="T98" s="49">
        <v>0</v>
      </c>
      <c r="U98" s="50">
        <v>0</v>
      </c>
      <c r="V98" s="50">
        <v>0.384615</v>
      </c>
      <c r="W98" s="50">
        <v>0.097493</v>
      </c>
      <c r="X98" s="50">
        <v>0.0082</v>
      </c>
      <c r="Y98" s="50">
        <v>0</v>
      </c>
      <c r="Z98" s="50">
        <v>0</v>
      </c>
      <c r="AA98" s="72">
        <v>98</v>
      </c>
      <c r="AB98" s="72"/>
      <c r="AC98" s="73"/>
      <c r="AD98" s="80" t="s">
        <v>310</v>
      </c>
      <c r="AE98" s="98" t="str">
        <f>HYPERLINK("http://www.youtube.com/channel/UCH8dh5MKtuA4tLODX41Yw5Q")</f>
        <v>http://www.youtube.com/channel/UCH8dh5MKtuA4tLODX41Yw5Q</v>
      </c>
      <c r="AF98" s="80" t="s">
        <v>405</v>
      </c>
      <c r="AG98" s="80"/>
      <c r="AH98" s="80" t="str">
        <f>REPLACE(INDEX(GroupVertices[Group],MATCH("~"&amp;Vertices[[#This Row],[Vertex]],GroupVertices[Vertex],0)),1,1,"")</f>
        <v>1</v>
      </c>
      <c r="AI98" s="2"/>
      <c r="AJ98" s="3"/>
      <c r="AK98" s="3"/>
      <c r="AL98" s="3"/>
      <c r="AM98" s="3"/>
    </row>
    <row r="99" spans="1:39" ht="15">
      <c r="A99" s="65" t="s">
        <v>294</v>
      </c>
      <c r="B99" s="66"/>
      <c r="C99" s="66"/>
      <c r="D99" s="67">
        <v>70</v>
      </c>
      <c r="E99" s="69"/>
      <c r="F99" s="99" t="str">
        <f>HYPERLINK("https://yt3.ggpht.com/ytc/AIf8zZSq8yqTF5S5VM9VO3O-Siaq8wK5de4JavfHkUs0=s88-c-k-c0x00ffffff-no-rj")</f>
        <v>https://yt3.ggpht.com/ytc/AIf8zZSq8yqTF5S5VM9VO3O-Siaq8wK5de4JavfHkUs0=s88-c-k-c0x00ffffff-no-rj</v>
      </c>
      <c r="G99" s="66"/>
      <c r="H99" s="70" t="s">
        <v>406</v>
      </c>
      <c r="I99" s="71"/>
      <c r="J99" s="71" t="s">
        <v>159</v>
      </c>
      <c r="K99" s="70" t="s">
        <v>406</v>
      </c>
      <c r="L99" s="74">
        <v>1</v>
      </c>
      <c r="M99" s="75">
        <v>4542.376953125</v>
      </c>
      <c r="N99" s="75">
        <v>6511.7373046875</v>
      </c>
      <c r="O99" s="76"/>
      <c r="P99" s="77"/>
      <c r="Q99" s="77"/>
      <c r="R99" s="84"/>
      <c r="S99" s="49">
        <v>1</v>
      </c>
      <c r="T99" s="49">
        <v>0</v>
      </c>
      <c r="U99" s="50">
        <v>0</v>
      </c>
      <c r="V99" s="50">
        <v>0.384615</v>
      </c>
      <c r="W99" s="50">
        <v>0.097493</v>
      </c>
      <c r="X99" s="50">
        <v>0.0082</v>
      </c>
      <c r="Y99" s="50">
        <v>0</v>
      </c>
      <c r="Z99" s="50">
        <v>0</v>
      </c>
      <c r="AA99" s="72">
        <v>99</v>
      </c>
      <c r="AB99" s="72"/>
      <c r="AC99" s="73"/>
      <c r="AD99" s="80" t="s">
        <v>310</v>
      </c>
      <c r="AE99" s="98" t="str">
        <f>HYPERLINK("http://www.youtube.com/channel/UCFr-0F6Z0GkNS1vlQP7HGLw")</f>
        <v>http://www.youtube.com/channel/UCFr-0F6Z0GkNS1vlQP7HGLw</v>
      </c>
      <c r="AF99" s="80" t="s">
        <v>406</v>
      </c>
      <c r="AG99" s="80"/>
      <c r="AH99" s="80" t="str">
        <f>REPLACE(INDEX(GroupVertices[Group],MATCH("~"&amp;Vertices[[#This Row],[Vertex]],GroupVertices[Vertex],0)),1,1,"")</f>
        <v>1</v>
      </c>
      <c r="AI99" s="2"/>
      <c r="AJ99" s="3"/>
      <c r="AK99" s="3"/>
      <c r="AL99" s="3"/>
      <c r="AM99" s="3"/>
    </row>
    <row r="100" spans="1:39" ht="15">
      <c r="A100" s="65" t="s">
        <v>295</v>
      </c>
      <c r="B100" s="66"/>
      <c r="C100" s="66"/>
      <c r="D100" s="67">
        <v>70</v>
      </c>
      <c r="E100" s="69"/>
      <c r="F100" s="99" t="str">
        <f>HYPERLINK("https://yt3.ggpht.com/ytc/AIf8zZSJoX6Ju1EfBadrGwPsmD7wKp2T864yyTZwQ-Q5=s88-c-k-c0x00ffffff-no-rj")</f>
        <v>https://yt3.ggpht.com/ytc/AIf8zZSJoX6Ju1EfBadrGwPsmD7wKp2T864yyTZwQ-Q5=s88-c-k-c0x00ffffff-no-rj</v>
      </c>
      <c r="G100" s="66"/>
      <c r="H100" s="70" t="s">
        <v>407</v>
      </c>
      <c r="I100" s="71"/>
      <c r="J100" s="71" t="s">
        <v>159</v>
      </c>
      <c r="K100" s="70" t="s">
        <v>407</v>
      </c>
      <c r="L100" s="74">
        <v>1</v>
      </c>
      <c r="M100" s="75">
        <v>4338.400390625</v>
      </c>
      <c r="N100" s="75">
        <v>6017.45166015625</v>
      </c>
      <c r="O100" s="76"/>
      <c r="P100" s="77"/>
      <c r="Q100" s="77"/>
      <c r="R100" s="84"/>
      <c r="S100" s="49">
        <v>1</v>
      </c>
      <c r="T100" s="49">
        <v>0</v>
      </c>
      <c r="U100" s="50">
        <v>0</v>
      </c>
      <c r="V100" s="50">
        <v>0.384615</v>
      </c>
      <c r="W100" s="50">
        <v>0.097493</v>
      </c>
      <c r="X100" s="50">
        <v>0.0082</v>
      </c>
      <c r="Y100" s="50">
        <v>0</v>
      </c>
      <c r="Z100" s="50">
        <v>0</v>
      </c>
      <c r="AA100" s="72">
        <v>100</v>
      </c>
      <c r="AB100" s="72"/>
      <c r="AC100" s="73"/>
      <c r="AD100" s="80" t="s">
        <v>310</v>
      </c>
      <c r="AE100" s="98" t="str">
        <f>HYPERLINK("http://www.youtube.com/channel/UCD2lHNC_IaBoUL9vC6ujSUw")</f>
        <v>http://www.youtube.com/channel/UCD2lHNC_IaBoUL9vC6ujSUw</v>
      </c>
      <c r="AF100" s="80" t="s">
        <v>407</v>
      </c>
      <c r="AG100" s="80" t="s">
        <v>493</v>
      </c>
      <c r="AH100" s="80" t="str">
        <f>REPLACE(INDEX(GroupVertices[Group],MATCH("~"&amp;Vertices[[#This Row],[Vertex]],GroupVertices[Vertex],0)),1,1,"")</f>
        <v>1</v>
      </c>
      <c r="AI100" s="2"/>
      <c r="AJ100" s="3"/>
      <c r="AK100" s="3"/>
      <c r="AL100" s="3"/>
      <c r="AM100" s="3"/>
    </row>
    <row r="101" spans="1:39" ht="15">
      <c r="A101" s="65" t="s">
        <v>296</v>
      </c>
      <c r="B101" s="66"/>
      <c r="C101" s="66"/>
      <c r="D101" s="67">
        <v>70</v>
      </c>
      <c r="E101" s="69"/>
      <c r="F101" s="99" t="str">
        <f>HYPERLINK("https://yt3.ggpht.com/iYdNgnuzaMIfrQJFB7bQW-cGzgTh7Lr2DOvQ04rNrG9hszWNwLELd-GEqIVVQgkSoum_OVpF=s88-c-k-c0x00ffffff-no-rj")</f>
        <v>https://yt3.ggpht.com/iYdNgnuzaMIfrQJFB7bQW-cGzgTh7Lr2DOvQ04rNrG9hszWNwLELd-GEqIVVQgkSoum_OVpF=s88-c-k-c0x00ffffff-no-rj</v>
      </c>
      <c r="G101" s="66"/>
      <c r="H101" s="70" t="s">
        <v>408</v>
      </c>
      <c r="I101" s="71"/>
      <c r="J101" s="71" t="s">
        <v>159</v>
      </c>
      <c r="K101" s="70" t="s">
        <v>408</v>
      </c>
      <c r="L101" s="74">
        <v>1</v>
      </c>
      <c r="M101" s="75">
        <v>5227.27978515625</v>
      </c>
      <c r="N101" s="75">
        <v>6401.8330078125</v>
      </c>
      <c r="O101" s="76"/>
      <c r="P101" s="77"/>
      <c r="Q101" s="77"/>
      <c r="R101" s="84"/>
      <c r="S101" s="49">
        <v>1</v>
      </c>
      <c r="T101" s="49">
        <v>0</v>
      </c>
      <c r="U101" s="50">
        <v>0</v>
      </c>
      <c r="V101" s="50">
        <v>0.384615</v>
      </c>
      <c r="W101" s="50">
        <v>0.097493</v>
      </c>
      <c r="X101" s="50">
        <v>0.0082</v>
      </c>
      <c r="Y101" s="50">
        <v>0</v>
      </c>
      <c r="Z101" s="50">
        <v>0</v>
      </c>
      <c r="AA101" s="72">
        <v>101</v>
      </c>
      <c r="AB101" s="72"/>
      <c r="AC101" s="73"/>
      <c r="AD101" s="80" t="s">
        <v>310</v>
      </c>
      <c r="AE101" s="98" t="str">
        <f>HYPERLINK("http://www.youtube.com/channel/UCChNumkLxNIAPevv681uJ5Q")</f>
        <v>http://www.youtube.com/channel/UCChNumkLxNIAPevv681uJ5Q</v>
      </c>
      <c r="AF101" s="80" t="s">
        <v>408</v>
      </c>
      <c r="AG101" s="80" t="s">
        <v>494</v>
      </c>
      <c r="AH101" s="80" t="str">
        <f>REPLACE(INDEX(GroupVertices[Group],MATCH("~"&amp;Vertices[[#This Row],[Vertex]],GroupVertices[Vertex],0)),1,1,"")</f>
        <v>1</v>
      </c>
      <c r="AI101" s="2"/>
      <c r="AJ101" s="3"/>
      <c r="AK101" s="3"/>
      <c r="AL101" s="3"/>
      <c r="AM101" s="3"/>
    </row>
    <row r="102" spans="1:39" ht="15">
      <c r="A102" s="65" t="s">
        <v>297</v>
      </c>
      <c r="B102" s="66"/>
      <c r="C102" s="66"/>
      <c r="D102" s="67">
        <v>70</v>
      </c>
      <c r="E102" s="69"/>
      <c r="F102" s="99" t="str">
        <f>HYPERLINK("https://yt3.ggpht.com/ytc/AIf8zZTXYLrb2D_B8XTzCt7oJ-LwlnTSWOPg74JzHw=s88-c-k-c0x00ffffff-no-rj")</f>
        <v>https://yt3.ggpht.com/ytc/AIf8zZTXYLrb2D_B8XTzCt7oJ-LwlnTSWOPg74JzHw=s88-c-k-c0x00ffffff-no-rj</v>
      </c>
      <c r="G102" s="66"/>
      <c r="H102" s="70" t="s">
        <v>409</v>
      </c>
      <c r="I102" s="71"/>
      <c r="J102" s="71" t="s">
        <v>159</v>
      </c>
      <c r="K102" s="70" t="s">
        <v>409</v>
      </c>
      <c r="L102" s="74">
        <v>1</v>
      </c>
      <c r="M102" s="75">
        <v>3800.044677734375</v>
      </c>
      <c r="N102" s="75">
        <v>5528.09912109375</v>
      </c>
      <c r="O102" s="76"/>
      <c r="P102" s="77"/>
      <c r="Q102" s="77"/>
      <c r="R102" s="84"/>
      <c r="S102" s="49">
        <v>1</v>
      </c>
      <c r="T102" s="49">
        <v>0</v>
      </c>
      <c r="U102" s="50">
        <v>0</v>
      </c>
      <c r="V102" s="50">
        <v>0.384615</v>
      </c>
      <c r="W102" s="50">
        <v>0.097493</v>
      </c>
      <c r="X102" s="50">
        <v>0.0082</v>
      </c>
      <c r="Y102" s="50">
        <v>0</v>
      </c>
      <c r="Z102" s="50">
        <v>0</v>
      </c>
      <c r="AA102" s="72">
        <v>102</v>
      </c>
      <c r="AB102" s="72"/>
      <c r="AC102" s="73"/>
      <c r="AD102" s="80" t="s">
        <v>310</v>
      </c>
      <c r="AE102" s="98" t="str">
        <f>HYPERLINK("http://www.youtube.com/channel/UCAeA7KyDJyLm_3qFnHjiJ1Q")</f>
        <v>http://www.youtube.com/channel/UCAeA7KyDJyLm_3qFnHjiJ1Q</v>
      </c>
      <c r="AF102" s="80" t="s">
        <v>409</v>
      </c>
      <c r="AG102" s="80"/>
      <c r="AH102" s="80" t="str">
        <f>REPLACE(INDEX(GroupVertices[Group],MATCH("~"&amp;Vertices[[#This Row],[Vertex]],GroupVertices[Vertex],0)),1,1,"")</f>
        <v>1</v>
      </c>
      <c r="AI102" s="2"/>
      <c r="AJ102" s="3"/>
      <c r="AK102" s="3"/>
      <c r="AL102" s="3"/>
      <c r="AM102" s="3"/>
    </row>
    <row r="103" spans="1:39" ht="15">
      <c r="A103" s="65" t="s">
        <v>298</v>
      </c>
      <c r="B103" s="66"/>
      <c r="C103" s="66"/>
      <c r="D103" s="67">
        <v>70</v>
      </c>
      <c r="E103" s="69"/>
      <c r="F103" s="99" t="str">
        <f>HYPERLINK("https://yt3.ggpht.com/_wrSbJOScYPioXzOIey7QfFamrq3hXEyMCyH5w4PE3B3SaTwDBaWb4KS55ptBqZlJJIg7nnLpA=s88-c-k-c0x00ffffff-no-rj")</f>
        <v>https://yt3.ggpht.com/_wrSbJOScYPioXzOIey7QfFamrq3hXEyMCyH5w4PE3B3SaTwDBaWb4KS55ptBqZlJJIg7nnLpA=s88-c-k-c0x00ffffff-no-rj</v>
      </c>
      <c r="G103" s="66"/>
      <c r="H103" s="70" t="s">
        <v>410</v>
      </c>
      <c r="I103" s="71"/>
      <c r="J103" s="71" t="s">
        <v>159</v>
      </c>
      <c r="K103" s="70" t="s">
        <v>410</v>
      </c>
      <c r="L103" s="74">
        <v>1</v>
      </c>
      <c r="M103" s="75">
        <v>4403.15576171875</v>
      </c>
      <c r="N103" s="75">
        <v>5085.166015625</v>
      </c>
      <c r="O103" s="76"/>
      <c r="P103" s="77"/>
      <c r="Q103" s="77"/>
      <c r="R103" s="84"/>
      <c r="S103" s="49">
        <v>1</v>
      </c>
      <c r="T103" s="49">
        <v>0</v>
      </c>
      <c r="U103" s="50">
        <v>0</v>
      </c>
      <c r="V103" s="50">
        <v>0.384615</v>
      </c>
      <c r="W103" s="50">
        <v>0.097493</v>
      </c>
      <c r="X103" s="50">
        <v>0.0082</v>
      </c>
      <c r="Y103" s="50">
        <v>0</v>
      </c>
      <c r="Z103" s="50">
        <v>0</v>
      </c>
      <c r="AA103" s="72">
        <v>103</v>
      </c>
      <c r="AB103" s="72"/>
      <c r="AC103" s="73"/>
      <c r="AD103" s="80" t="s">
        <v>310</v>
      </c>
      <c r="AE103" s="98" t="str">
        <f>HYPERLINK("http://www.youtube.com/channel/UCAXU1IQMelL6rfbFHYahoKQ")</f>
        <v>http://www.youtube.com/channel/UCAXU1IQMelL6rfbFHYahoKQ</v>
      </c>
      <c r="AF103" s="80" t="s">
        <v>410</v>
      </c>
      <c r="AG103" s="80" t="s">
        <v>495</v>
      </c>
      <c r="AH103" s="80" t="str">
        <f>REPLACE(INDEX(GroupVertices[Group],MATCH("~"&amp;Vertices[[#This Row],[Vertex]],GroupVertices[Vertex],0)),1,1,"")</f>
        <v>1</v>
      </c>
      <c r="AI103" s="2"/>
      <c r="AJ103" s="3"/>
      <c r="AK103" s="3"/>
      <c r="AL103" s="3"/>
      <c r="AM103" s="3"/>
    </row>
    <row r="104" spans="1:39" ht="15">
      <c r="A104" s="65" t="s">
        <v>299</v>
      </c>
      <c r="B104" s="66"/>
      <c r="C104" s="66"/>
      <c r="D104" s="67">
        <v>70</v>
      </c>
      <c r="E104" s="69"/>
      <c r="F104" s="99" t="str">
        <f>HYPERLINK("https://yt3.ggpht.com/ytc/AIf8zZQJGchMO-GD2dipUZXj_YJmx1ieZaAJRHkWPz6bWg=s88-c-k-c0x00ffffff-no-rj")</f>
        <v>https://yt3.ggpht.com/ytc/AIf8zZQJGchMO-GD2dipUZXj_YJmx1ieZaAJRHkWPz6bWg=s88-c-k-c0x00ffffff-no-rj</v>
      </c>
      <c r="G104" s="66"/>
      <c r="H104" s="70" t="s">
        <v>411</v>
      </c>
      <c r="I104" s="71"/>
      <c r="J104" s="71" t="s">
        <v>159</v>
      </c>
      <c r="K104" s="70" t="s">
        <v>411</v>
      </c>
      <c r="L104" s="74">
        <v>1</v>
      </c>
      <c r="M104" s="75">
        <v>5219.873046875</v>
      </c>
      <c r="N104" s="75">
        <v>5797.7421875</v>
      </c>
      <c r="O104" s="76"/>
      <c r="P104" s="77"/>
      <c r="Q104" s="77"/>
      <c r="R104" s="84"/>
      <c r="S104" s="49">
        <v>1</v>
      </c>
      <c r="T104" s="49">
        <v>0</v>
      </c>
      <c r="U104" s="50">
        <v>0</v>
      </c>
      <c r="V104" s="50">
        <v>0.384615</v>
      </c>
      <c r="W104" s="50">
        <v>0.097493</v>
      </c>
      <c r="X104" s="50">
        <v>0.0082</v>
      </c>
      <c r="Y104" s="50">
        <v>0</v>
      </c>
      <c r="Z104" s="50">
        <v>0</v>
      </c>
      <c r="AA104" s="72">
        <v>104</v>
      </c>
      <c r="AB104" s="72"/>
      <c r="AC104" s="73"/>
      <c r="AD104" s="80" t="s">
        <v>310</v>
      </c>
      <c r="AE104" s="98" t="str">
        <f>HYPERLINK("http://www.youtube.com/channel/UC9bFfadxZvlXy0RcYzhnu_w")</f>
        <v>http://www.youtube.com/channel/UC9bFfadxZvlXy0RcYzhnu_w</v>
      </c>
      <c r="AF104" s="80" t="s">
        <v>411</v>
      </c>
      <c r="AG104" s="80" t="s">
        <v>496</v>
      </c>
      <c r="AH104" s="80" t="str">
        <f>REPLACE(INDEX(GroupVertices[Group],MATCH("~"&amp;Vertices[[#This Row],[Vertex]],GroupVertices[Vertex],0)),1,1,"")</f>
        <v>1</v>
      </c>
      <c r="AI104" s="2"/>
      <c r="AJ104" s="3"/>
      <c r="AK104" s="3"/>
      <c r="AL104" s="3"/>
      <c r="AM104" s="3"/>
    </row>
    <row r="105" spans="1:39" ht="15">
      <c r="A105" s="65" t="s">
        <v>300</v>
      </c>
      <c r="B105" s="66"/>
      <c r="C105" s="66"/>
      <c r="D105" s="67">
        <v>70</v>
      </c>
      <c r="E105" s="69"/>
      <c r="F105" s="99" t="str">
        <f>HYPERLINK("https://yt3.ggpht.com/ytc/AIf8zZT5GDhkmQ1YuO41RhkvpXxfEU7gGgZbLVsS6uI-=s88-c-k-c0x00ffffff-no-rj")</f>
        <v>https://yt3.ggpht.com/ytc/AIf8zZT5GDhkmQ1YuO41RhkvpXxfEU7gGgZbLVsS6uI-=s88-c-k-c0x00ffffff-no-rj</v>
      </c>
      <c r="G105" s="66"/>
      <c r="H105" s="70" t="s">
        <v>412</v>
      </c>
      <c r="I105" s="71"/>
      <c r="J105" s="71" t="s">
        <v>159</v>
      </c>
      <c r="K105" s="70" t="s">
        <v>412</v>
      </c>
      <c r="L105" s="74">
        <v>1</v>
      </c>
      <c r="M105" s="75">
        <v>5252.37060546875</v>
      </c>
      <c r="N105" s="75">
        <v>4362.3623046875</v>
      </c>
      <c r="O105" s="76"/>
      <c r="P105" s="77"/>
      <c r="Q105" s="77"/>
      <c r="R105" s="84"/>
      <c r="S105" s="49">
        <v>1</v>
      </c>
      <c r="T105" s="49">
        <v>0</v>
      </c>
      <c r="U105" s="50">
        <v>0</v>
      </c>
      <c r="V105" s="50">
        <v>0.384615</v>
      </c>
      <c r="W105" s="50">
        <v>0.097493</v>
      </c>
      <c r="X105" s="50">
        <v>0.0082</v>
      </c>
      <c r="Y105" s="50">
        <v>0</v>
      </c>
      <c r="Z105" s="50">
        <v>0</v>
      </c>
      <c r="AA105" s="72">
        <v>105</v>
      </c>
      <c r="AB105" s="72"/>
      <c r="AC105" s="73"/>
      <c r="AD105" s="80" t="s">
        <v>310</v>
      </c>
      <c r="AE105" s="98" t="str">
        <f>HYPERLINK("http://www.youtube.com/channel/UC9aRcGf_wZs8GpnPg0Cikmg")</f>
        <v>http://www.youtube.com/channel/UC9aRcGf_wZs8GpnPg0Cikmg</v>
      </c>
      <c r="AF105" s="80" t="s">
        <v>412</v>
      </c>
      <c r="AG105" s="80"/>
      <c r="AH105" s="80" t="str">
        <f>REPLACE(INDEX(GroupVertices[Group],MATCH("~"&amp;Vertices[[#This Row],[Vertex]],GroupVertices[Vertex],0)),1,1,"")</f>
        <v>1</v>
      </c>
      <c r="AI105" s="2"/>
      <c r="AJ105" s="3"/>
      <c r="AK105" s="3"/>
      <c r="AL105" s="3"/>
      <c r="AM105" s="3"/>
    </row>
    <row r="106" spans="1:39" ht="15">
      <c r="A106" s="65" t="s">
        <v>301</v>
      </c>
      <c r="B106" s="66"/>
      <c r="C106" s="66"/>
      <c r="D106" s="67">
        <v>70</v>
      </c>
      <c r="E106" s="69"/>
      <c r="F106" s="99" t="str">
        <f>HYPERLINK("https://yt3.ggpht.com/ytc/AIf8zZSYaUAaGGfjDkNJowFq_vG2Gv_GIdP26D07Jq9O=s88-c-k-c0x00ffffff-no-rj")</f>
        <v>https://yt3.ggpht.com/ytc/AIf8zZSYaUAaGGfjDkNJowFq_vG2Gv_GIdP26D07Jq9O=s88-c-k-c0x00ffffff-no-rj</v>
      </c>
      <c r="G106" s="66"/>
      <c r="H106" s="70" t="s">
        <v>413</v>
      </c>
      <c r="I106" s="71"/>
      <c r="J106" s="71" t="s">
        <v>159</v>
      </c>
      <c r="K106" s="70" t="s">
        <v>413</v>
      </c>
      <c r="L106" s="74">
        <v>1</v>
      </c>
      <c r="M106" s="75">
        <v>4086.074462890625</v>
      </c>
      <c r="N106" s="75">
        <v>6535.95849609375</v>
      </c>
      <c r="O106" s="76"/>
      <c r="P106" s="77"/>
      <c r="Q106" s="77"/>
      <c r="R106" s="84"/>
      <c r="S106" s="49">
        <v>1</v>
      </c>
      <c r="T106" s="49">
        <v>0</v>
      </c>
      <c r="U106" s="50">
        <v>0</v>
      </c>
      <c r="V106" s="50">
        <v>0.384615</v>
      </c>
      <c r="W106" s="50">
        <v>0.097493</v>
      </c>
      <c r="X106" s="50">
        <v>0.0082</v>
      </c>
      <c r="Y106" s="50">
        <v>0</v>
      </c>
      <c r="Z106" s="50">
        <v>0</v>
      </c>
      <c r="AA106" s="72">
        <v>106</v>
      </c>
      <c r="AB106" s="72"/>
      <c r="AC106" s="73"/>
      <c r="AD106" s="80" t="s">
        <v>310</v>
      </c>
      <c r="AE106" s="98" t="str">
        <f>HYPERLINK("http://www.youtube.com/channel/UC9WNxhxOCEGjh5jqy3DNEkg")</f>
        <v>http://www.youtube.com/channel/UC9WNxhxOCEGjh5jqy3DNEkg</v>
      </c>
      <c r="AF106" s="80" t="s">
        <v>413</v>
      </c>
      <c r="AG106" s="80" t="s">
        <v>497</v>
      </c>
      <c r="AH106" s="80" t="str">
        <f>REPLACE(INDEX(GroupVertices[Group],MATCH("~"&amp;Vertices[[#This Row],[Vertex]],GroupVertices[Vertex],0)),1,1,"")</f>
        <v>1</v>
      </c>
      <c r="AI106" s="2"/>
      <c r="AJ106" s="3"/>
      <c r="AK106" s="3"/>
      <c r="AL106" s="3"/>
      <c r="AM106" s="3"/>
    </row>
    <row r="107" spans="1:39" ht="15">
      <c r="A107" s="65" t="s">
        <v>302</v>
      </c>
      <c r="B107" s="66"/>
      <c r="C107" s="66"/>
      <c r="D107" s="67">
        <v>70</v>
      </c>
      <c r="E107" s="69"/>
      <c r="F107" s="99" t="str">
        <f>HYPERLINK("https://yt3.ggpht.com/ytc/AIf8zZQqWAhyrHG79y0bfHn-hO-OUkN6x_9tRmCVlrqn=s88-c-k-c0x00ffffff-no-rj")</f>
        <v>https://yt3.ggpht.com/ytc/AIf8zZQqWAhyrHG79y0bfHn-hO-OUkN6x_9tRmCVlrqn=s88-c-k-c0x00ffffff-no-rj</v>
      </c>
      <c r="G107" s="66"/>
      <c r="H107" s="70" t="s">
        <v>414</v>
      </c>
      <c r="I107" s="71"/>
      <c r="J107" s="71" t="s">
        <v>159</v>
      </c>
      <c r="K107" s="70" t="s">
        <v>414</v>
      </c>
      <c r="L107" s="74">
        <v>1</v>
      </c>
      <c r="M107" s="75">
        <v>5474.72900390625</v>
      </c>
      <c r="N107" s="75">
        <v>4546.80419921875</v>
      </c>
      <c r="O107" s="76"/>
      <c r="P107" s="77"/>
      <c r="Q107" s="77"/>
      <c r="R107" s="84"/>
      <c r="S107" s="49">
        <v>1</v>
      </c>
      <c r="T107" s="49">
        <v>0</v>
      </c>
      <c r="U107" s="50">
        <v>0</v>
      </c>
      <c r="V107" s="50">
        <v>0.384615</v>
      </c>
      <c r="W107" s="50">
        <v>0.097493</v>
      </c>
      <c r="X107" s="50">
        <v>0.0082</v>
      </c>
      <c r="Y107" s="50">
        <v>0</v>
      </c>
      <c r="Z107" s="50">
        <v>0</v>
      </c>
      <c r="AA107" s="72">
        <v>107</v>
      </c>
      <c r="AB107" s="72"/>
      <c r="AC107" s="73"/>
      <c r="AD107" s="80" t="s">
        <v>310</v>
      </c>
      <c r="AE107" s="98" t="str">
        <f>HYPERLINK("http://www.youtube.com/channel/UC85YynsGpHpMSel88BG2NSQ")</f>
        <v>http://www.youtube.com/channel/UC85YynsGpHpMSel88BG2NSQ</v>
      </c>
      <c r="AF107" s="80" t="s">
        <v>414</v>
      </c>
      <c r="AG107" s="80" t="s">
        <v>498</v>
      </c>
      <c r="AH107" s="80" t="str">
        <f>REPLACE(INDEX(GroupVertices[Group],MATCH("~"&amp;Vertices[[#This Row],[Vertex]],GroupVertices[Vertex],0)),1,1,"")</f>
        <v>1</v>
      </c>
      <c r="AI107" s="2"/>
      <c r="AJ107" s="3"/>
      <c r="AK107" s="3"/>
      <c r="AL107" s="3"/>
      <c r="AM107" s="3"/>
    </row>
    <row r="108" spans="1:39" ht="15">
      <c r="A108" s="85" t="s">
        <v>303</v>
      </c>
      <c r="B108" s="86"/>
      <c r="C108" s="86"/>
      <c r="D108" s="87">
        <v>70</v>
      </c>
      <c r="E108" s="88"/>
      <c r="F108" s="100" t="str">
        <f>HYPERLINK("https://yt3.ggpht.com/ytc/AIf8zZSFTdlnbLiCE3tE4ouFicvTm7WrM5sosNsFJejR=s88-c-k-c0x00ffffff-no-rj")</f>
        <v>https://yt3.ggpht.com/ytc/AIf8zZSFTdlnbLiCE3tE4ouFicvTm7WrM5sosNsFJejR=s88-c-k-c0x00ffffff-no-rj</v>
      </c>
      <c r="G108" s="86"/>
      <c r="H108" s="89" t="s">
        <v>415</v>
      </c>
      <c r="I108" s="90"/>
      <c r="J108" s="90" t="s">
        <v>159</v>
      </c>
      <c r="K108" s="89" t="s">
        <v>415</v>
      </c>
      <c r="L108" s="91">
        <v>1</v>
      </c>
      <c r="M108" s="92">
        <v>5007.01611328125</v>
      </c>
      <c r="N108" s="92">
        <v>5016.53662109375</v>
      </c>
      <c r="O108" s="93"/>
      <c r="P108" s="94"/>
      <c r="Q108" s="94"/>
      <c r="R108" s="95"/>
      <c r="S108" s="49">
        <v>1</v>
      </c>
      <c r="T108" s="49">
        <v>0</v>
      </c>
      <c r="U108" s="50">
        <v>0</v>
      </c>
      <c r="V108" s="50">
        <v>0.384615</v>
      </c>
      <c r="W108" s="50">
        <v>0.097493</v>
      </c>
      <c r="X108" s="50">
        <v>0.0082</v>
      </c>
      <c r="Y108" s="50">
        <v>0</v>
      </c>
      <c r="Z108" s="50">
        <v>0</v>
      </c>
      <c r="AA108" s="96">
        <v>108</v>
      </c>
      <c r="AB108" s="96"/>
      <c r="AC108" s="97"/>
      <c r="AD108" s="80" t="s">
        <v>310</v>
      </c>
      <c r="AE108" s="98" t="str">
        <f>HYPERLINK("http://www.youtube.com/channel/UC0LPL7ecm2tRNjLekmMvQHw")</f>
        <v>http://www.youtube.com/channel/UC0LPL7ecm2tRNjLekmMvQHw</v>
      </c>
      <c r="AF108" s="80" t="s">
        <v>415</v>
      </c>
      <c r="AG108" s="80"/>
      <c r="AH108" s="80" t="str">
        <f>REPLACE(INDEX(GroupVertices[Group],MATCH("~"&amp;Vertices[[#This Row],[Vertex]],GroupVertices[Vertex],0)),1,1,"")</f>
        <v>1</v>
      </c>
      <c r="AI108" s="2"/>
      <c r="AJ108" s="3"/>
      <c r="AK108" s="3"/>
      <c r="AL108" s="3"/>
      <c r="AM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topLeftCell="A1">
      <pane ySplit="2" topLeftCell="A3" activePane="bottomLeft" state="frozen"/>
      <selection pane="bottomLeft" activeCell="Y25" sqref="Y25"/>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5" t="s">
        <v>545</v>
      </c>
      <c r="B3" s="66" t="s">
        <v>554</v>
      </c>
      <c r="C3" s="66" t="s">
        <v>56</v>
      </c>
      <c r="D3" s="105"/>
      <c r="E3" s="14"/>
      <c r="F3" s="15" t="s">
        <v>545</v>
      </c>
      <c r="G3" s="64"/>
      <c r="H3" s="64"/>
      <c r="I3" s="106">
        <v>3</v>
      </c>
      <c r="J3" s="51"/>
      <c r="K3" s="49">
        <v>35</v>
      </c>
      <c r="L3" s="49">
        <v>35</v>
      </c>
      <c r="M3" s="49">
        <v>0</v>
      </c>
      <c r="N3" s="49">
        <v>35</v>
      </c>
      <c r="O3" s="49">
        <v>0</v>
      </c>
      <c r="P3" s="50">
        <v>0.029411764705882353</v>
      </c>
      <c r="Q3" s="50">
        <v>0.05714285714285714</v>
      </c>
      <c r="R3" s="49">
        <v>1</v>
      </c>
      <c r="S3" s="49">
        <v>0</v>
      </c>
      <c r="T3" s="49">
        <v>35</v>
      </c>
      <c r="U3" s="49">
        <v>35</v>
      </c>
      <c r="V3" s="49">
        <v>4</v>
      </c>
      <c r="W3" s="50">
        <v>1.991837</v>
      </c>
      <c r="X3" s="50">
        <v>0.029411764705882353</v>
      </c>
    </row>
    <row r="4" spans="1:24" ht="15">
      <c r="A4" s="65" t="s">
        <v>546</v>
      </c>
      <c r="B4" s="66" t="s">
        <v>555</v>
      </c>
      <c r="C4" s="66" t="s">
        <v>56</v>
      </c>
      <c r="D4" s="105"/>
      <c r="E4" s="14"/>
      <c r="F4" s="15" t="s">
        <v>546</v>
      </c>
      <c r="G4" s="64"/>
      <c r="H4" s="64"/>
      <c r="I4" s="106">
        <v>4</v>
      </c>
      <c r="J4" s="78"/>
      <c r="K4" s="49">
        <v>19</v>
      </c>
      <c r="L4" s="49">
        <v>18</v>
      </c>
      <c r="M4" s="49">
        <v>0</v>
      </c>
      <c r="N4" s="49">
        <v>18</v>
      </c>
      <c r="O4" s="49">
        <v>0</v>
      </c>
      <c r="P4" s="50">
        <v>0</v>
      </c>
      <c r="Q4" s="50">
        <v>0</v>
      </c>
      <c r="R4" s="49">
        <v>1</v>
      </c>
      <c r="S4" s="49">
        <v>0</v>
      </c>
      <c r="T4" s="49">
        <v>19</v>
      </c>
      <c r="U4" s="49">
        <v>18</v>
      </c>
      <c r="V4" s="49">
        <v>2</v>
      </c>
      <c r="W4" s="50">
        <v>1.795014</v>
      </c>
      <c r="X4" s="50">
        <v>0.05263157894736842</v>
      </c>
    </row>
    <row r="5" spans="1:24" ht="15">
      <c r="A5" s="65" t="s">
        <v>547</v>
      </c>
      <c r="B5" s="66" t="s">
        <v>556</v>
      </c>
      <c r="C5" s="66" t="s">
        <v>56</v>
      </c>
      <c r="D5" s="105"/>
      <c r="E5" s="14"/>
      <c r="F5" s="15" t="s">
        <v>547</v>
      </c>
      <c r="G5" s="64"/>
      <c r="H5" s="64"/>
      <c r="I5" s="106">
        <v>5</v>
      </c>
      <c r="J5" s="78"/>
      <c r="K5" s="49">
        <v>14</v>
      </c>
      <c r="L5" s="49">
        <v>13</v>
      </c>
      <c r="M5" s="49">
        <v>0</v>
      </c>
      <c r="N5" s="49">
        <v>13</v>
      </c>
      <c r="O5" s="49">
        <v>0</v>
      </c>
      <c r="P5" s="50">
        <v>0</v>
      </c>
      <c r="Q5" s="50">
        <v>0</v>
      </c>
      <c r="R5" s="49">
        <v>1</v>
      </c>
      <c r="S5" s="49">
        <v>0</v>
      </c>
      <c r="T5" s="49">
        <v>14</v>
      </c>
      <c r="U5" s="49">
        <v>13</v>
      </c>
      <c r="V5" s="49">
        <v>2</v>
      </c>
      <c r="W5" s="50">
        <v>1.72449</v>
      </c>
      <c r="X5" s="50">
        <v>0.07142857142857142</v>
      </c>
    </row>
    <row r="6" spans="1:24" ht="15">
      <c r="A6" s="65" t="s">
        <v>548</v>
      </c>
      <c r="B6" s="66" t="s">
        <v>557</v>
      </c>
      <c r="C6" s="66" t="s">
        <v>56</v>
      </c>
      <c r="D6" s="105"/>
      <c r="E6" s="14"/>
      <c r="F6" s="15" t="s">
        <v>548</v>
      </c>
      <c r="G6" s="64"/>
      <c r="H6" s="64"/>
      <c r="I6" s="106">
        <v>6</v>
      </c>
      <c r="J6" s="78"/>
      <c r="K6" s="49">
        <v>12</v>
      </c>
      <c r="L6" s="49">
        <v>11</v>
      </c>
      <c r="M6" s="49">
        <v>0</v>
      </c>
      <c r="N6" s="49">
        <v>11</v>
      </c>
      <c r="O6" s="49">
        <v>0</v>
      </c>
      <c r="P6" s="50">
        <v>0</v>
      </c>
      <c r="Q6" s="50">
        <v>0</v>
      </c>
      <c r="R6" s="49">
        <v>1</v>
      </c>
      <c r="S6" s="49">
        <v>0</v>
      </c>
      <c r="T6" s="49">
        <v>12</v>
      </c>
      <c r="U6" s="49">
        <v>11</v>
      </c>
      <c r="V6" s="49">
        <v>2</v>
      </c>
      <c r="W6" s="50">
        <v>1.680556</v>
      </c>
      <c r="X6" s="50">
        <v>0.08333333333333333</v>
      </c>
    </row>
    <row r="7" spans="1:24" ht="15">
      <c r="A7" s="65" t="s">
        <v>549</v>
      </c>
      <c r="B7" s="66" t="s">
        <v>558</v>
      </c>
      <c r="C7" s="66" t="s">
        <v>56</v>
      </c>
      <c r="D7" s="105"/>
      <c r="E7" s="14"/>
      <c r="F7" s="15" t="s">
        <v>549</v>
      </c>
      <c r="G7" s="64"/>
      <c r="H7" s="64"/>
      <c r="I7" s="106">
        <v>7</v>
      </c>
      <c r="J7" s="78"/>
      <c r="K7" s="49">
        <v>7</v>
      </c>
      <c r="L7" s="49">
        <v>6</v>
      </c>
      <c r="M7" s="49">
        <v>0</v>
      </c>
      <c r="N7" s="49">
        <v>6</v>
      </c>
      <c r="O7" s="49">
        <v>0</v>
      </c>
      <c r="P7" s="50">
        <v>0</v>
      </c>
      <c r="Q7" s="50">
        <v>0</v>
      </c>
      <c r="R7" s="49">
        <v>1</v>
      </c>
      <c r="S7" s="49">
        <v>0</v>
      </c>
      <c r="T7" s="49">
        <v>7</v>
      </c>
      <c r="U7" s="49">
        <v>6</v>
      </c>
      <c r="V7" s="49">
        <v>2</v>
      </c>
      <c r="W7" s="50">
        <v>1.469388</v>
      </c>
      <c r="X7" s="50">
        <v>0.14285714285714285</v>
      </c>
    </row>
    <row r="8" spans="1:24" ht="15">
      <c r="A8" s="65" t="s">
        <v>550</v>
      </c>
      <c r="B8" s="66" t="s">
        <v>559</v>
      </c>
      <c r="C8" s="66" t="s">
        <v>56</v>
      </c>
      <c r="D8" s="105"/>
      <c r="E8" s="14"/>
      <c r="F8" s="15" t="s">
        <v>550</v>
      </c>
      <c r="G8" s="64"/>
      <c r="H8" s="64"/>
      <c r="I8" s="106">
        <v>8</v>
      </c>
      <c r="J8" s="78"/>
      <c r="K8" s="49">
        <v>6</v>
      </c>
      <c r="L8" s="49">
        <v>5</v>
      </c>
      <c r="M8" s="49">
        <v>0</v>
      </c>
      <c r="N8" s="49">
        <v>5</v>
      </c>
      <c r="O8" s="49">
        <v>0</v>
      </c>
      <c r="P8" s="50">
        <v>0</v>
      </c>
      <c r="Q8" s="50">
        <v>0</v>
      </c>
      <c r="R8" s="49">
        <v>1</v>
      </c>
      <c r="S8" s="49">
        <v>0</v>
      </c>
      <c r="T8" s="49">
        <v>6</v>
      </c>
      <c r="U8" s="49">
        <v>5</v>
      </c>
      <c r="V8" s="49">
        <v>2</v>
      </c>
      <c r="W8" s="50">
        <v>1.388889</v>
      </c>
      <c r="X8" s="50">
        <v>0.16666666666666666</v>
      </c>
    </row>
    <row r="9" spans="1:24" ht="15">
      <c r="A9" s="65" t="s">
        <v>551</v>
      </c>
      <c r="B9" s="66" t="s">
        <v>560</v>
      </c>
      <c r="C9" s="66" t="s">
        <v>56</v>
      </c>
      <c r="D9" s="105"/>
      <c r="E9" s="14"/>
      <c r="F9" s="15" t="s">
        <v>551</v>
      </c>
      <c r="G9" s="64"/>
      <c r="H9" s="64"/>
      <c r="I9" s="106">
        <v>9</v>
      </c>
      <c r="J9" s="78"/>
      <c r="K9" s="49">
        <v>6</v>
      </c>
      <c r="L9" s="49">
        <v>5</v>
      </c>
      <c r="M9" s="49">
        <v>0</v>
      </c>
      <c r="N9" s="49">
        <v>5</v>
      </c>
      <c r="O9" s="49">
        <v>0</v>
      </c>
      <c r="P9" s="50">
        <v>0</v>
      </c>
      <c r="Q9" s="50">
        <v>0</v>
      </c>
      <c r="R9" s="49">
        <v>1</v>
      </c>
      <c r="S9" s="49">
        <v>0</v>
      </c>
      <c r="T9" s="49">
        <v>6</v>
      </c>
      <c r="U9" s="49">
        <v>5</v>
      </c>
      <c r="V9" s="49">
        <v>2</v>
      </c>
      <c r="W9" s="50">
        <v>1.388889</v>
      </c>
      <c r="X9" s="50">
        <v>0.16666666666666666</v>
      </c>
    </row>
    <row r="10" spans="1:24" ht="14.25" customHeight="1">
      <c r="A10" s="65" t="s">
        <v>552</v>
      </c>
      <c r="B10" s="66" t="s">
        <v>561</v>
      </c>
      <c r="C10" s="66" t="s">
        <v>56</v>
      </c>
      <c r="D10" s="105"/>
      <c r="E10" s="14"/>
      <c r="F10" s="15" t="s">
        <v>552</v>
      </c>
      <c r="G10" s="64"/>
      <c r="H10" s="64"/>
      <c r="I10" s="106">
        <v>10</v>
      </c>
      <c r="J10" s="78"/>
      <c r="K10" s="49">
        <v>4</v>
      </c>
      <c r="L10" s="49">
        <v>3</v>
      </c>
      <c r="M10" s="49">
        <v>0</v>
      </c>
      <c r="N10" s="49">
        <v>3</v>
      </c>
      <c r="O10" s="49">
        <v>0</v>
      </c>
      <c r="P10" s="50">
        <v>0</v>
      </c>
      <c r="Q10" s="50">
        <v>0</v>
      </c>
      <c r="R10" s="49">
        <v>1</v>
      </c>
      <c r="S10" s="49">
        <v>0</v>
      </c>
      <c r="T10" s="49">
        <v>4</v>
      </c>
      <c r="U10" s="49">
        <v>3</v>
      </c>
      <c r="V10" s="49">
        <v>2</v>
      </c>
      <c r="W10" s="50">
        <v>1.125</v>
      </c>
      <c r="X10" s="50">
        <v>0.25</v>
      </c>
    </row>
    <row r="11" spans="1:24" ht="15">
      <c r="A11" s="65" t="s">
        <v>553</v>
      </c>
      <c r="B11" s="66" t="s">
        <v>562</v>
      </c>
      <c r="C11" s="66" t="s">
        <v>56</v>
      </c>
      <c r="D11" s="105"/>
      <c r="E11" s="14"/>
      <c r="F11" s="15" t="s">
        <v>553</v>
      </c>
      <c r="G11" s="64"/>
      <c r="H11" s="64"/>
      <c r="I11" s="10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545</v>
      </c>
      <c r="B2" s="101" t="s">
        <v>209</v>
      </c>
      <c r="C2" s="80">
        <f>VLOOKUP("~"&amp;GroupVertices[[#This Row],[Vertex]],Vertices[],MATCH("ID",Vertices[[#Headers],[Vertex]:[Vertex Group]],0),FALSE)</f>
        <v>77</v>
      </c>
    </row>
    <row r="3" spans="1:3" ht="15">
      <c r="A3" s="81" t="s">
        <v>545</v>
      </c>
      <c r="B3" s="101" t="s">
        <v>303</v>
      </c>
      <c r="C3" s="80">
        <f>VLOOKUP("~"&amp;GroupVertices[[#This Row],[Vertex]],Vertices[],MATCH("ID",Vertices[[#Headers],[Vertex]:[Vertex Group]],0),FALSE)</f>
        <v>108</v>
      </c>
    </row>
    <row r="4" spans="1:3" ht="15">
      <c r="A4" s="81" t="s">
        <v>545</v>
      </c>
      <c r="B4" s="101" t="s">
        <v>302</v>
      </c>
      <c r="C4" s="80">
        <f>VLOOKUP("~"&amp;GroupVertices[[#This Row],[Vertex]],Vertices[],MATCH("ID",Vertices[[#Headers],[Vertex]:[Vertex Group]],0),FALSE)</f>
        <v>107</v>
      </c>
    </row>
    <row r="5" spans="1:3" ht="15">
      <c r="A5" s="81" t="s">
        <v>545</v>
      </c>
      <c r="B5" s="101" t="s">
        <v>301</v>
      </c>
      <c r="C5" s="80">
        <f>VLOOKUP("~"&amp;GroupVertices[[#This Row],[Vertex]],Vertices[],MATCH("ID",Vertices[[#Headers],[Vertex]:[Vertex Group]],0),FALSE)</f>
        <v>106</v>
      </c>
    </row>
    <row r="6" spans="1:3" ht="15">
      <c r="A6" s="81" t="s">
        <v>545</v>
      </c>
      <c r="B6" s="101" t="s">
        <v>300</v>
      </c>
      <c r="C6" s="80">
        <f>VLOOKUP("~"&amp;GroupVertices[[#This Row],[Vertex]],Vertices[],MATCH("ID",Vertices[[#Headers],[Vertex]:[Vertex Group]],0),FALSE)</f>
        <v>105</v>
      </c>
    </row>
    <row r="7" spans="1:3" ht="15">
      <c r="A7" s="81" t="s">
        <v>545</v>
      </c>
      <c r="B7" s="101" t="s">
        <v>299</v>
      </c>
      <c r="C7" s="80">
        <f>VLOOKUP("~"&amp;GroupVertices[[#This Row],[Vertex]],Vertices[],MATCH("ID",Vertices[[#Headers],[Vertex]:[Vertex Group]],0),FALSE)</f>
        <v>104</v>
      </c>
    </row>
    <row r="8" spans="1:3" ht="15">
      <c r="A8" s="81" t="s">
        <v>545</v>
      </c>
      <c r="B8" s="101" t="s">
        <v>298</v>
      </c>
      <c r="C8" s="80">
        <f>VLOOKUP("~"&amp;GroupVertices[[#This Row],[Vertex]],Vertices[],MATCH("ID",Vertices[[#Headers],[Vertex]:[Vertex Group]],0),FALSE)</f>
        <v>103</v>
      </c>
    </row>
    <row r="9" spans="1:3" ht="15">
      <c r="A9" s="81" t="s">
        <v>545</v>
      </c>
      <c r="B9" s="101" t="s">
        <v>297</v>
      </c>
      <c r="C9" s="80">
        <f>VLOOKUP("~"&amp;GroupVertices[[#This Row],[Vertex]],Vertices[],MATCH("ID",Vertices[[#Headers],[Vertex]:[Vertex Group]],0),FALSE)</f>
        <v>102</v>
      </c>
    </row>
    <row r="10" spans="1:3" ht="15">
      <c r="A10" s="81" t="s">
        <v>545</v>
      </c>
      <c r="B10" s="101" t="s">
        <v>296</v>
      </c>
      <c r="C10" s="80">
        <f>VLOOKUP("~"&amp;GroupVertices[[#This Row],[Vertex]],Vertices[],MATCH("ID",Vertices[[#Headers],[Vertex]:[Vertex Group]],0),FALSE)</f>
        <v>101</v>
      </c>
    </row>
    <row r="11" spans="1:3" ht="15">
      <c r="A11" s="81" t="s">
        <v>545</v>
      </c>
      <c r="B11" s="101" t="s">
        <v>295</v>
      </c>
      <c r="C11" s="80">
        <f>VLOOKUP("~"&amp;GroupVertices[[#This Row],[Vertex]],Vertices[],MATCH("ID",Vertices[[#Headers],[Vertex]:[Vertex Group]],0),FALSE)</f>
        <v>100</v>
      </c>
    </row>
    <row r="12" spans="1:3" ht="15">
      <c r="A12" s="81" t="s">
        <v>545</v>
      </c>
      <c r="B12" s="101" t="s">
        <v>294</v>
      </c>
      <c r="C12" s="80">
        <f>VLOOKUP("~"&amp;GroupVertices[[#This Row],[Vertex]],Vertices[],MATCH("ID",Vertices[[#Headers],[Vertex]:[Vertex Group]],0),FALSE)</f>
        <v>99</v>
      </c>
    </row>
    <row r="13" spans="1:3" ht="15">
      <c r="A13" s="81" t="s">
        <v>545</v>
      </c>
      <c r="B13" s="101" t="s">
        <v>293</v>
      </c>
      <c r="C13" s="80">
        <f>VLOOKUP("~"&amp;GroupVertices[[#This Row],[Vertex]],Vertices[],MATCH("ID",Vertices[[#Headers],[Vertex]:[Vertex Group]],0),FALSE)</f>
        <v>98</v>
      </c>
    </row>
    <row r="14" spans="1:3" ht="15">
      <c r="A14" s="81" t="s">
        <v>545</v>
      </c>
      <c r="B14" s="101" t="s">
        <v>291</v>
      </c>
      <c r="C14" s="80">
        <f>VLOOKUP("~"&amp;GroupVertices[[#This Row],[Vertex]],Vertices[],MATCH("ID",Vertices[[#Headers],[Vertex]:[Vertex Group]],0),FALSE)</f>
        <v>96</v>
      </c>
    </row>
    <row r="15" spans="1:3" ht="15">
      <c r="A15" s="81" t="s">
        <v>545</v>
      </c>
      <c r="B15" s="101" t="s">
        <v>290</v>
      </c>
      <c r="C15" s="80">
        <f>VLOOKUP("~"&amp;GroupVertices[[#This Row],[Vertex]],Vertices[],MATCH("ID",Vertices[[#Headers],[Vertex]:[Vertex Group]],0),FALSE)</f>
        <v>95</v>
      </c>
    </row>
    <row r="16" spans="1:3" ht="15">
      <c r="A16" s="81" t="s">
        <v>545</v>
      </c>
      <c r="B16" s="101" t="s">
        <v>289</v>
      </c>
      <c r="C16" s="80">
        <f>VLOOKUP("~"&amp;GroupVertices[[#This Row],[Vertex]],Vertices[],MATCH("ID",Vertices[[#Headers],[Vertex]:[Vertex Group]],0),FALSE)</f>
        <v>94</v>
      </c>
    </row>
    <row r="17" spans="1:3" ht="15">
      <c r="A17" s="81" t="s">
        <v>545</v>
      </c>
      <c r="B17" s="101" t="s">
        <v>288</v>
      </c>
      <c r="C17" s="80">
        <f>VLOOKUP("~"&amp;GroupVertices[[#This Row],[Vertex]],Vertices[],MATCH("ID",Vertices[[#Headers],[Vertex]:[Vertex Group]],0),FALSE)</f>
        <v>93</v>
      </c>
    </row>
    <row r="18" spans="1:3" ht="15">
      <c r="A18" s="81" t="s">
        <v>545</v>
      </c>
      <c r="B18" s="101" t="s">
        <v>287</v>
      </c>
      <c r="C18" s="80">
        <f>VLOOKUP("~"&amp;GroupVertices[[#This Row],[Vertex]],Vertices[],MATCH("ID",Vertices[[#Headers],[Vertex]:[Vertex Group]],0),FALSE)</f>
        <v>92</v>
      </c>
    </row>
    <row r="19" spans="1:3" ht="15">
      <c r="A19" s="81" t="s">
        <v>545</v>
      </c>
      <c r="B19" s="101" t="s">
        <v>286</v>
      </c>
      <c r="C19" s="80">
        <f>VLOOKUP("~"&amp;GroupVertices[[#This Row],[Vertex]],Vertices[],MATCH("ID",Vertices[[#Headers],[Vertex]:[Vertex Group]],0),FALSE)</f>
        <v>91</v>
      </c>
    </row>
    <row r="20" spans="1:3" ht="15">
      <c r="A20" s="81" t="s">
        <v>545</v>
      </c>
      <c r="B20" s="101" t="s">
        <v>285</v>
      </c>
      <c r="C20" s="80">
        <f>VLOOKUP("~"&amp;GroupVertices[[#This Row],[Vertex]],Vertices[],MATCH("ID",Vertices[[#Headers],[Vertex]:[Vertex Group]],0),FALSE)</f>
        <v>90</v>
      </c>
    </row>
    <row r="21" spans="1:3" ht="15">
      <c r="A21" s="81" t="s">
        <v>545</v>
      </c>
      <c r="B21" s="101" t="s">
        <v>284</v>
      </c>
      <c r="C21" s="80">
        <f>VLOOKUP("~"&amp;GroupVertices[[#This Row],[Vertex]],Vertices[],MATCH("ID",Vertices[[#Headers],[Vertex]:[Vertex Group]],0),FALSE)</f>
        <v>89</v>
      </c>
    </row>
    <row r="22" spans="1:3" ht="15">
      <c r="A22" s="81" t="s">
        <v>545</v>
      </c>
      <c r="B22" s="101" t="s">
        <v>283</v>
      </c>
      <c r="C22" s="80">
        <f>VLOOKUP("~"&amp;GroupVertices[[#This Row],[Vertex]],Vertices[],MATCH("ID",Vertices[[#Headers],[Vertex]:[Vertex Group]],0),FALSE)</f>
        <v>88</v>
      </c>
    </row>
    <row r="23" spans="1:3" ht="15">
      <c r="A23" s="81" t="s">
        <v>545</v>
      </c>
      <c r="B23" s="101" t="s">
        <v>282</v>
      </c>
      <c r="C23" s="80">
        <f>VLOOKUP("~"&amp;GroupVertices[[#This Row],[Vertex]],Vertices[],MATCH("ID",Vertices[[#Headers],[Vertex]:[Vertex Group]],0),FALSE)</f>
        <v>87</v>
      </c>
    </row>
    <row r="24" spans="1:3" ht="15">
      <c r="A24" s="81" t="s">
        <v>545</v>
      </c>
      <c r="B24" s="101" t="s">
        <v>281</v>
      </c>
      <c r="C24" s="80">
        <f>VLOOKUP("~"&amp;GroupVertices[[#This Row],[Vertex]],Vertices[],MATCH("ID",Vertices[[#Headers],[Vertex]:[Vertex Group]],0),FALSE)</f>
        <v>86</v>
      </c>
    </row>
    <row r="25" spans="1:3" ht="15">
      <c r="A25" s="81" t="s">
        <v>545</v>
      </c>
      <c r="B25" s="101" t="s">
        <v>280</v>
      </c>
      <c r="C25" s="80">
        <f>VLOOKUP("~"&amp;GroupVertices[[#This Row],[Vertex]],Vertices[],MATCH("ID",Vertices[[#Headers],[Vertex]:[Vertex Group]],0),FALSE)</f>
        <v>85</v>
      </c>
    </row>
    <row r="26" spans="1:3" ht="15">
      <c r="A26" s="81" t="s">
        <v>545</v>
      </c>
      <c r="B26" s="101" t="s">
        <v>279</v>
      </c>
      <c r="C26" s="80">
        <f>VLOOKUP("~"&amp;GroupVertices[[#This Row],[Vertex]],Vertices[],MATCH("ID",Vertices[[#Headers],[Vertex]:[Vertex Group]],0),FALSE)</f>
        <v>84</v>
      </c>
    </row>
    <row r="27" spans="1:3" ht="15">
      <c r="A27" s="81" t="s">
        <v>545</v>
      </c>
      <c r="B27" s="101" t="s">
        <v>278</v>
      </c>
      <c r="C27" s="80">
        <f>VLOOKUP("~"&amp;GroupVertices[[#This Row],[Vertex]],Vertices[],MATCH("ID",Vertices[[#Headers],[Vertex]:[Vertex Group]],0),FALSE)</f>
        <v>83</v>
      </c>
    </row>
    <row r="28" spans="1:3" ht="15">
      <c r="A28" s="81" t="s">
        <v>545</v>
      </c>
      <c r="B28" s="101" t="s">
        <v>277</v>
      </c>
      <c r="C28" s="80">
        <f>VLOOKUP("~"&amp;GroupVertices[[#This Row],[Vertex]],Vertices[],MATCH("ID",Vertices[[#Headers],[Vertex]:[Vertex Group]],0),FALSE)</f>
        <v>82</v>
      </c>
    </row>
    <row r="29" spans="1:3" ht="15">
      <c r="A29" s="81" t="s">
        <v>545</v>
      </c>
      <c r="B29" s="101" t="s">
        <v>276</v>
      </c>
      <c r="C29" s="80">
        <f>VLOOKUP("~"&amp;GroupVertices[[#This Row],[Vertex]],Vertices[],MATCH("ID",Vertices[[#Headers],[Vertex]:[Vertex Group]],0),FALSE)</f>
        <v>81</v>
      </c>
    </row>
    <row r="30" spans="1:3" ht="15">
      <c r="A30" s="81" t="s">
        <v>545</v>
      </c>
      <c r="B30" s="101" t="s">
        <v>275</v>
      </c>
      <c r="C30" s="80">
        <f>VLOOKUP("~"&amp;GroupVertices[[#This Row],[Vertex]],Vertices[],MATCH("ID",Vertices[[#Headers],[Vertex]:[Vertex Group]],0),FALSE)</f>
        <v>80</v>
      </c>
    </row>
    <row r="31" spans="1:3" ht="15">
      <c r="A31" s="81" t="s">
        <v>545</v>
      </c>
      <c r="B31" s="101" t="s">
        <v>274</v>
      </c>
      <c r="C31" s="80">
        <f>VLOOKUP("~"&amp;GroupVertices[[#This Row],[Vertex]],Vertices[],MATCH("ID",Vertices[[#Headers],[Vertex]:[Vertex Group]],0),FALSE)</f>
        <v>79</v>
      </c>
    </row>
    <row r="32" spans="1:3" ht="15">
      <c r="A32" s="81" t="s">
        <v>545</v>
      </c>
      <c r="B32" s="101" t="s">
        <v>273</v>
      </c>
      <c r="C32" s="80">
        <f>VLOOKUP("~"&amp;GroupVertices[[#This Row],[Vertex]],Vertices[],MATCH("ID",Vertices[[#Headers],[Vertex]:[Vertex Group]],0),FALSE)</f>
        <v>78</v>
      </c>
    </row>
    <row r="33" spans="1:3" ht="15">
      <c r="A33" s="81" t="s">
        <v>545</v>
      </c>
      <c r="B33" s="101" t="s">
        <v>203</v>
      </c>
      <c r="C33" s="80">
        <f>VLOOKUP("~"&amp;GroupVertices[[#This Row],[Vertex]],Vertices[],MATCH("ID",Vertices[[#Headers],[Vertex]:[Vertex Group]],0),FALSE)</f>
        <v>25</v>
      </c>
    </row>
    <row r="34" spans="1:3" ht="15">
      <c r="A34" s="81" t="s">
        <v>545</v>
      </c>
      <c r="B34" s="101" t="s">
        <v>200</v>
      </c>
      <c r="C34" s="80">
        <f>VLOOKUP("~"&amp;GroupVertices[[#This Row],[Vertex]],Vertices[],MATCH("ID",Vertices[[#Headers],[Vertex]:[Vertex Group]],0),FALSE)</f>
        <v>7</v>
      </c>
    </row>
    <row r="35" spans="1:3" ht="15">
      <c r="A35" s="81" t="s">
        <v>545</v>
      </c>
      <c r="B35" s="101" t="s">
        <v>227</v>
      </c>
      <c r="C35" s="80">
        <f>VLOOKUP("~"&amp;GroupVertices[[#This Row],[Vertex]],Vertices[],MATCH("ID",Vertices[[#Headers],[Vertex]:[Vertex Group]],0),FALSE)</f>
        <v>26</v>
      </c>
    </row>
    <row r="36" spans="1:3" ht="15">
      <c r="A36" s="81" t="s">
        <v>545</v>
      </c>
      <c r="B36" s="101" t="s">
        <v>212</v>
      </c>
      <c r="C36" s="80">
        <f>VLOOKUP("~"&amp;GroupVertices[[#This Row],[Vertex]],Vertices[],MATCH("ID",Vertices[[#Headers],[Vertex]:[Vertex Group]],0),FALSE)</f>
        <v>8</v>
      </c>
    </row>
    <row r="37" spans="1:3" ht="15">
      <c r="A37" s="81" t="s">
        <v>546</v>
      </c>
      <c r="B37" s="101" t="s">
        <v>205</v>
      </c>
      <c r="C37" s="80">
        <f>VLOOKUP("~"&amp;GroupVertices[[#This Row],[Vertex]],Vertices[],MATCH("ID",Vertices[[#Headers],[Vertex]:[Vertex Group]],0),FALSE)</f>
        <v>31</v>
      </c>
    </row>
    <row r="38" spans="1:3" ht="15">
      <c r="A38" s="81" t="s">
        <v>546</v>
      </c>
      <c r="B38" s="101" t="s">
        <v>250</v>
      </c>
      <c r="C38" s="80">
        <f>VLOOKUP("~"&amp;GroupVertices[[#This Row],[Vertex]],Vertices[],MATCH("ID",Vertices[[#Headers],[Vertex]:[Vertex Group]],0),FALSE)</f>
        <v>51</v>
      </c>
    </row>
    <row r="39" spans="1:3" ht="15">
      <c r="A39" s="81" t="s">
        <v>546</v>
      </c>
      <c r="B39" s="101" t="s">
        <v>249</v>
      </c>
      <c r="C39" s="80">
        <f>VLOOKUP("~"&amp;GroupVertices[[#This Row],[Vertex]],Vertices[],MATCH("ID",Vertices[[#Headers],[Vertex]:[Vertex Group]],0),FALSE)</f>
        <v>50</v>
      </c>
    </row>
    <row r="40" spans="1:3" ht="15">
      <c r="A40" s="81" t="s">
        <v>546</v>
      </c>
      <c r="B40" s="101" t="s">
        <v>248</v>
      </c>
      <c r="C40" s="80">
        <f>VLOOKUP("~"&amp;GroupVertices[[#This Row],[Vertex]],Vertices[],MATCH("ID",Vertices[[#Headers],[Vertex]:[Vertex Group]],0),FALSE)</f>
        <v>49</v>
      </c>
    </row>
    <row r="41" spans="1:3" ht="15">
      <c r="A41" s="81" t="s">
        <v>546</v>
      </c>
      <c r="B41" s="101" t="s">
        <v>247</v>
      </c>
      <c r="C41" s="80">
        <f>VLOOKUP("~"&amp;GroupVertices[[#This Row],[Vertex]],Vertices[],MATCH("ID",Vertices[[#Headers],[Vertex]:[Vertex Group]],0),FALSE)</f>
        <v>48</v>
      </c>
    </row>
    <row r="42" spans="1:3" ht="15">
      <c r="A42" s="81" t="s">
        <v>546</v>
      </c>
      <c r="B42" s="101" t="s">
        <v>246</v>
      </c>
      <c r="C42" s="80">
        <f>VLOOKUP("~"&amp;GroupVertices[[#This Row],[Vertex]],Vertices[],MATCH("ID",Vertices[[#Headers],[Vertex]:[Vertex Group]],0),FALSE)</f>
        <v>47</v>
      </c>
    </row>
    <row r="43" spans="1:3" ht="15">
      <c r="A43" s="81" t="s">
        <v>546</v>
      </c>
      <c r="B43" s="101" t="s">
        <v>245</v>
      </c>
      <c r="C43" s="80">
        <f>VLOOKUP("~"&amp;GroupVertices[[#This Row],[Vertex]],Vertices[],MATCH("ID",Vertices[[#Headers],[Vertex]:[Vertex Group]],0),FALSE)</f>
        <v>46</v>
      </c>
    </row>
    <row r="44" spans="1:3" ht="15">
      <c r="A44" s="81" t="s">
        <v>546</v>
      </c>
      <c r="B44" s="101" t="s">
        <v>244</v>
      </c>
      <c r="C44" s="80">
        <f>VLOOKUP("~"&amp;GroupVertices[[#This Row],[Vertex]],Vertices[],MATCH("ID",Vertices[[#Headers],[Vertex]:[Vertex Group]],0),FALSE)</f>
        <v>45</v>
      </c>
    </row>
    <row r="45" spans="1:3" ht="15">
      <c r="A45" s="81" t="s">
        <v>546</v>
      </c>
      <c r="B45" s="101" t="s">
        <v>243</v>
      </c>
      <c r="C45" s="80">
        <f>VLOOKUP("~"&amp;GroupVertices[[#This Row],[Vertex]],Vertices[],MATCH("ID",Vertices[[#Headers],[Vertex]:[Vertex Group]],0),FALSE)</f>
        <v>44</v>
      </c>
    </row>
    <row r="46" spans="1:3" ht="15">
      <c r="A46" s="81" t="s">
        <v>546</v>
      </c>
      <c r="B46" s="101" t="s">
        <v>242</v>
      </c>
      <c r="C46" s="80">
        <f>VLOOKUP("~"&amp;GroupVertices[[#This Row],[Vertex]],Vertices[],MATCH("ID",Vertices[[#Headers],[Vertex]:[Vertex Group]],0),FALSE)</f>
        <v>43</v>
      </c>
    </row>
    <row r="47" spans="1:3" ht="15">
      <c r="A47" s="81" t="s">
        <v>546</v>
      </c>
      <c r="B47" s="101" t="s">
        <v>240</v>
      </c>
      <c r="C47" s="80">
        <f>VLOOKUP("~"&amp;GroupVertices[[#This Row],[Vertex]],Vertices[],MATCH("ID",Vertices[[#Headers],[Vertex]:[Vertex Group]],0),FALSE)</f>
        <v>41</v>
      </c>
    </row>
    <row r="48" spans="1:3" ht="15">
      <c r="A48" s="81" t="s">
        <v>546</v>
      </c>
      <c r="B48" s="101" t="s">
        <v>239</v>
      </c>
      <c r="C48" s="80">
        <f>VLOOKUP("~"&amp;GroupVertices[[#This Row],[Vertex]],Vertices[],MATCH("ID",Vertices[[#Headers],[Vertex]:[Vertex Group]],0),FALSE)</f>
        <v>40</v>
      </c>
    </row>
    <row r="49" spans="1:3" ht="15">
      <c r="A49" s="81" t="s">
        <v>546</v>
      </c>
      <c r="B49" s="101" t="s">
        <v>238</v>
      </c>
      <c r="C49" s="80">
        <f>VLOOKUP("~"&amp;GroupVertices[[#This Row],[Vertex]],Vertices[],MATCH("ID",Vertices[[#Headers],[Vertex]:[Vertex Group]],0),FALSE)</f>
        <v>39</v>
      </c>
    </row>
    <row r="50" spans="1:3" ht="15">
      <c r="A50" s="81" t="s">
        <v>546</v>
      </c>
      <c r="B50" s="101" t="s">
        <v>237</v>
      </c>
      <c r="C50" s="80">
        <f>VLOOKUP("~"&amp;GroupVertices[[#This Row],[Vertex]],Vertices[],MATCH("ID",Vertices[[#Headers],[Vertex]:[Vertex Group]],0),FALSE)</f>
        <v>38</v>
      </c>
    </row>
    <row r="51" spans="1:3" ht="15">
      <c r="A51" s="81" t="s">
        <v>546</v>
      </c>
      <c r="B51" s="101" t="s">
        <v>236</v>
      </c>
      <c r="C51" s="80">
        <f>VLOOKUP("~"&amp;GroupVertices[[#This Row],[Vertex]],Vertices[],MATCH("ID",Vertices[[#Headers],[Vertex]:[Vertex Group]],0),FALSE)</f>
        <v>37</v>
      </c>
    </row>
    <row r="52" spans="1:3" ht="15">
      <c r="A52" s="81" t="s">
        <v>546</v>
      </c>
      <c r="B52" s="101" t="s">
        <v>235</v>
      </c>
      <c r="C52" s="80">
        <f>VLOOKUP("~"&amp;GroupVertices[[#This Row],[Vertex]],Vertices[],MATCH("ID",Vertices[[#Headers],[Vertex]:[Vertex Group]],0),FALSE)</f>
        <v>36</v>
      </c>
    </row>
    <row r="53" spans="1:3" ht="15">
      <c r="A53" s="81" t="s">
        <v>546</v>
      </c>
      <c r="B53" s="101" t="s">
        <v>234</v>
      </c>
      <c r="C53" s="80">
        <f>VLOOKUP("~"&amp;GroupVertices[[#This Row],[Vertex]],Vertices[],MATCH("ID",Vertices[[#Headers],[Vertex]:[Vertex Group]],0),FALSE)</f>
        <v>35</v>
      </c>
    </row>
    <row r="54" spans="1:3" ht="15">
      <c r="A54" s="81" t="s">
        <v>546</v>
      </c>
      <c r="B54" s="101" t="s">
        <v>232</v>
      </c>
      <c r="C54" s="80">
        <f>VLOOKUP("~"&amp;GroupVertices[[#This Row],[Vertex]],Vertices[],MATCH("ID",Vertices[[#Headers],[Vertex]:[Vertex Group]],0),FALSE)</f>
        <v>33</v>
      </c>
    </row>
    <row r="55" spans="1:3" ht="15">
      <c r="A55" s="81" t="s">
        <v>546</v>
      </c>
      <c r="B55" s="101" t="s">
        <v>231</v>
      </c>
      <c r="C55" s="80">
        <f>VLOOKUP("~"&amp;GroupVertices[[#This Row],[Vertex]],Vertices[],MATCH("ID",Vertices[[#Headers],[Vertex]:[Vertex Group]],0),FALSE)</f>
        <v>32</v>
      </c>
    </row>
    <row r="56" spans="1:3" ht="15">
      <c r="A56" s="81" t="s">
        <v>547</v>
      </c>
      <c r="B56" s="101" t="s">
        <v>202</v>
      </c>
      <c r="C56" s="80">
        <f>VLOOKUP("~"&amp;GroupVertices[[#This Row],[Vertex]],Vertices[],MATCH("ID",Vertices[[#Headers],[Vertex]:[Vertex Group]],0),FALSE)</f>
        <v>12</v>
      </c>
    </row>
    <row r="57" spans="1:3" ht="15">
      <c r="A57" s="81" t="s">
        <v>547</v>
      </c>
      <c r="B57" s="101" t="s">
        <v>233</v>
      </c>
      <c r="C57" s="80">
        <f>VLOOKUP("~"&amp;GroupVertices[[#This Row],[Vertex]],Vertices[],MATCH("ID",Vertices[[#Headers],[Vertex]:[Vertex Group]],0),FALSE)</f>
        <v>34</v>
      </c>
    </row>
    <row r="58" spans="1:3" ht="15">
      <c r="A58" s="81" t="s">
        <v>547</v>
      </c>
      <c r="B58" s="101" t="s">
        <v>226</v>
      </c>
      <c r="C58" s="80">
        <f>VLOOKUP("~"&amp;GroupVertices[[#This Row],[Vertex]],Vertices[],MATCH("ID",Vertices[[#Headers],[Vertex]:[Vertex Group]],0),FALSE)</f>
        <v>24</v>
      </c>
    </row>
    <row r="59" spans="1:3" ht="15">
      <c r="A59" s="81" t="s">
        <v>547</v>
      </c>
      <c r="B59" s="101" t="s">
        <v>225</v>
      </c>
      <c r="C59" s="80">
        <f>VLOOKUP("~"&amp;GroupVertices[[#This Row],[Vertex]],Vertices[],MATCH("ID",Vertices[[#Headers],[Vertex]:[Vertex Group]],0),FALSE)</f>
        <v>23</v>
      </c>
    </row>
    <row r="60" spans="1:3" ht="15">
      <c r="A60" s="81" t="s">
        <v>547</v>
      </c>
      <c r="B60" s="101" t="s">
        <v>224</v>
      </c>
      <c r="C60" s="80">
        <f>VLOOKUP("~"&amp;GroupVertices[[#This Row],[Vertex]],Vertices[],MATCH("ID",Vertices[[#Headers],[Vertex]:[Vertex Group]],0),FALSE)</f>
        <v>22</v>
      </c>
    </row>
    <row r="61" spans="1:3" ht="15">
      <c r="A61" s="81" t="s">
        <v>547</v>
      </c>
      <c r="B61" s="101" t="s">
        <v>223</v>
      </c>
      <c r="C61" s="80">
        <f>VLOOKUP("~"&amp;GroupVertices[[#This Row],[Vertex]],Vertices[],MATCH("ID",Vertices[[#Headers],[Vertex]:[Vertex Group]],0),FALSE)</f>
        <v>21</v>
      </c>
    </row>
    <row r="62" spans="1:3" ht="15">
      <c r="A62" s="81" t="s">
        <v>547</v>
      </c>
      <c r="B62" s="101" t="s">
        <v>222</v>
      </c>
      <c r="C62" s="80">
        <f>VLOOKUP("~"&amp;GroupVertices[[#This Row],[Vertex]],Vertices[],MATCH("ID",Vertices[[#Headers],[Vertex]:[Vertex Group]],0),FALSE)</f>
        <v>20</v>
      </c>
    </row>
    <row r="63" spans="1:3" ht="15">
      <c r="A63" s="81" t="s">
        <v>547</v>
      </c>
      <c r="B63" s="101" t="s">
        <v>221</v>
      </c>
      <c r="C63" s="80">
        <f>VLOOKUP("~"&amp;GroupVertices[[#This Row],[Vertex]],Vertices[],MATCH("ID",Vertices[[#Headers],[Vertex]:[Vertex Group]],0),FALSE)</f>
        <v>19</v>
      </c>
    </row>
    <row r="64" spans="1:3" ht="15">
      <c r="A64" s="81" t="s">
        <v>547</v>
      </c>
      <c r="B64" s="101" t="s">
        <v>220</v>
      </c>
      <c r="C64" s="80">
        <f>VLOOKUP("~"&amp;GroupVertices[[#This Row],[Vertex]],Vertices[],MATCH("ID",Vertices[[#Headers],[Vertex]:[Vertex Group]],0),FALSE)</f>
        <v>18</v>
      </c>
    </row>
    <row r="65" spans="1:3" ht="15">
      <c r="A65" s="81" t="s">
        <v>547</v>
      </c>
      <c r="B65" s="101" t="s">
        <v>219</v>
      </c>
      <c r="C65" s="80">
        <f>VLOOKUP("~"&amp;GroupVertices[[#This Row],[Vertex]],Vertices[],MATCH("ID",Vertices[[#Headers],[Vertex]:[Vertex Group]],0),FALSE)</f>
        <v>17</v>
      </c>
    </row>
    <row r="66" spans="1:3" ht="15">
      <c r="A66" s="81" t="s">
        <v>547</v>
      </c>
      <c r="B66" s="101" t="s">
        <v>218</v>
      </c>
      <c r="C66" s="80">
        <f>VLOOKUP("~"&amp;GroupVertices[[#This Row],[Vertex]],Vertices[],MATCH("ID",Vertices[[#Headers],[Vertex]:[Vertex Group]],0),FALSE)</f>
        <v>16</v>
      </c>
    </row>
    <row r="67" spans="1:3" ht="15">
      <c r="A67" s="81" t="s">
        <v>547</v>
      </c>
      <c r="B67" s="101" t="s">
        <v>217</v>
      </c>
      <c r="C67" s="80">
        <f>VLOOKUP("~"&amp;GroupVertices[[#This Row],[Vertex]],Vertices[],MATCH("ID",Vertices[[#Headers],[Vertex]:[Vertex Group]],0),FALSE)</f>
        <v>15</v>
      </c>
    </row>
    <row r="68" spans="1:3" ht="15">
      <c r="A68" s="81" t="s">
        <v>547</v>
      </c>
      <c r="B68" s="101" t="s">
        <v>216</v>
      </c>
      <c r="C68" s="80">
        <f>VLOOKUP("~"&amp;GroupVertices[[#This Row],[Vertex]],Vertices[],MATCH("ID",Vertices[[#Headers],[Vertex]:[Vertex Group]],0),FALSE)</f>
        <v>14</v>
      </c>
    </row>
    <row r="69" spans="1:3" ht="15">
      <c r="A69" s="81" t="s">
        <v>547</v>
      </c>
      <c r="B69" s="101" t="s">
        <v>215</v>
      </c>
      <c r="C69" s="80">
        <f>VLOOKUP("~"&amp;GroupVertices[[#This Row],[Vertex]],Vertices[],MATCH("ID",Vertices[[#Headers],[Vertex]:[Vertex Group]],0),FALSE)</f>
        <v>13</v>
      </c>
    </row>
    <row r="70" spans="1:3" ht="15">
      <c r="A70" s="81" t="s">
        <v>548</v>
      </c>
      <c r="B70" s="101" t="s">
        <v>292</v>
      </c>
      <c r="C70" s="80">
        <f>VLOOKUP("~"&amp;GroupVertices[[#This Row],[Vertex]],Vertices[],MATCH("ID",Vertices[[#Headers],[Vertex]:[Vertex Group]],0),FALSE)</f>
        <v>97</v>
      </c>
    </row>
    <row r="71" spans="1:3" ht="15">
      <c r="A71" s="81" t="s">
        <v>548</v>
      </c>
      <c r="B71" s="101" t="s">
        <v>206</v>
      </c>
      <c r="C71" s="80">
        <f>VLOOKUP("~"&amp;GroupVertices[[#This Row],[Vertex]],Vertices[],MATCH("ID",Vertices[[#Headers],[Vertex]:[Vertex Group]],0),FALSE)</f>
        <v>52</v>
      </c>
    </row>
    <row r="72" spans="1:3" ht="15">
      <c r="A72" s="81" t="s">
        <v>548</v>
      </c>
      <c r="B72" s="101" t="s">
        <v>261</v>
      </c>
      <c r="C72" s="80">
        <f>VLOOKUP("~"&amp;GroupVertices[[#This Row],[Vertex]],Vertices[],MATCH("ID",Vertices[[#Headers],[Vertex]:[Vertex Group]],0),FALSE)</f>
        <v>63</v>
      </c>
    </row>
    <row r="73" spans="1:3" ht="15">
      <c r="A73" s="81" t="s">
        <v>548</v>
      </c>
      <c r="B73" s="101" t="s">
        <v>260</v>
      </c>
      <c r="C73" s="80">
        <f>VLOOKUP("~"&amp;GroupVertices[[#This Row],[Vertex]],Vertices[],MATCH("ID",Vertices[[#Headers],[Vertex]:[Vertex Group]],0),FALSE)</f>
        <v>62</v>
      </c>
    </row>
    <row r="74" spans="1:3" ht="15">
      <c r="A74" s="81" t="s">
        <v>548</v>
      </c>
      <c r="B74" s="101" t="s">
        <v>259</v>
      </c>
      <c r="C74" s="80">
        <f>VLOOKUP("~"&amp;GroupVertices[[#This Row],[Vertex]],Vertices[],MATCH("ID",Vertices[[#Headers],[Vertex]:[Vertex Group]],0),FALSE)</f>
        <v>61</v>
      </c>
    </row>
    <row r="75" spans="1:3" ht="15">
      <c r="A75" s="81" t="s">
        <v>548</v>
      </c>
      <c r="B75" s="101" t="s">
        <v>258</v>
      </c>
      <c r="C75" s="80">
        <f>VLOOKUP("~"&amp;GroupVertices[[#This Row],[Vertex]],Vertices[],MATCH("ID",Vertices[[#Headers],[Vertex]:[Vertex Group]],0),FALSE)</f>
        <v>60</v>
      </c>
    </row>
    <row r="76" spans="1:3" ht="15">
      <c r="A76" s="81" t="s">
        <v>548</v>
      </c>
      <c r="B76" s="101" t="s">
        <v>257</v>
      </c>
      <c r="C76" s="80">
        <f>VLOOKUP("~"&amp;GroupVertices[[#This Row],[Vertex]],Vertices[],MATCH("ID",Vertices[[#Headers],[Vertex]:[Vertex Group]],0),FALSE)</f>
        <v>59</v>
      </c>
    </row>
    <row r="77" spans="1:3" ht="15">
      <c r="A77" s="81" t="s">
        <v>548</v>
      </c>
      <c r="B77" s="101" t="s">
        <v>256</v>
      </c>
      <c r="C77" s="80">
        <f>VLOOKUP("~"&amp;GroupVertices[[#This Row],[Vertex]],Vertices[],MATCH("ID",Vertices[[#Headers],[Vertex]:[Vertex Group]],0),FALSE)</f>
        <v>58</v>
      </c>
    </row>
    <row r="78" spans="1:3" ht="15">
      <c r="A78" s="81" t="s">
        <v>548</v>
      </c>
      <c r="B78" s="101" t="s">
        <v>254</v>
      </c>
      <c r="C78" s="80">
        <f>VLOOKUP("~"&amp;GroupVertices[[#This Row],[Vertex]],Vertices[],MATCH("ID",Vertices[[#Headers],[Vertex]:[Vertex Group]],0),FALSE)</f>
        <v>56</v>
      </c>
    </row>
    <row r="79" spans="1:3" ht="15">
      <c r="A79" s="81" t="s">
        <v>548</v>
      </c>
      <c r="B79" s="101" t="s">
        <v>253</v>
      </c>
      <c r="C79" s="80">
        <f>VLOOKUP("~"&amp;GroupVertices[[#This Row],[Vertex]],Vertices[],MATCH("ID",Vertices[[#Headers],[Vertex]:[Vertex Group]],0),FALSE)</f>
        <v>55</v>
      </c>
    </row>
    <row r="80" spans="1:3" ht="15">
      <c r="A80" s="81" t="s">
        <v>548</v>
      </c>
      <c r="B80" s="101" t="s">
        <v>252</v>
      </c>
      <c r="C80" s="80">
        <f>VLOOKUP("~"&amp;GroupVertices[[#This Row],[Vertex]],Vertices[],MATCH("ID",Vertices[[#Headers],[Vertex]:[Vertex Group]],0),FALSE)</f>
        <v>54</v>
      </c>
    </row>
    <row r="81" spans="1:3" ht="15">
      <c r="A81" s="81" t="s">
        <v>548</v>
      </c>
      <c r="B81" s="101" t="s">
        <v>251</v>
      </c>
      <c r="C81" s="80">
        <f>VLOOKUP("~"&amp;GroupVertices[[#This Row],[Vertex]],Vertices[],MATCH("ID",Vertices[[#Headers],[Vertex]:[Vertex Group]],0),FALSE)</f>
        <v>53</v>
      </c>
    </row>
    <row r="82" spans="1:3" ht="15">
      <c r="A82" s="81" t="s">
        <v>549</v>
      </c>
      <c r="B82" s="101" t="s">
        <v>208</v>
      </c>
      <c r="C82" s="80">
        <f>VLOOKUP("~"&amp;GroupVertices[[#This Row],[Vertex]],Vertices[],MATCH("ID",Vertices[[#Headers],[Vertex]:[Vertex Group]],0),FALSE)</f>
        <v>70</v>
      </c>
    </row>
    <row r="83" spans="1:3" ht="15">
      <c r="A83" s="81" t="s">
        <v>549</v>
      </c>
      <c r="B83" s="101" t="s">
        <v>272</v>
      </c>
      <c r="C83" s="80">
        <f>VLOOKUP("~"&amp;GroupVertices[[#This Row],[Vertex]],Vertices[],MATCH("ID",Vertices[[#Headers],[Vertex]:[Vertex Group]],0),FALSE)</f>
        <v>76</v>
      </c>
    </row>
    <row r="84" spans="1:3" ht="15">
      <c r="A84" s="81" t="s">
        <v>549</v>
      </c>
      <c r="B84" s="101" t="s">
        <v>271</v>
      </c>
      <c r="C84" s="80">
        <f>VLOOKUP("~"&amp;GroupVertices[[#This Row],[Vertex]],Vertices[],MATCH("ID",Vertices[[#Headers],[Vertex]:[Vertex Group]],0),FALSE)</f>
        <v>75</v>
      </c>
    </row>
    <row r="85" spans="1:3" ht="15">
      <c r="A85" s="81" t="s">
        <v>549</v>
      </c>
      <c r="B85" s="101" t="s">
        <v>270</v>
      </c>
      <c r="C85" s="80">
        <f>VLOOKUP("~"&amp;GroupVertices[[#This Row],[Vertex]],Vertices[],MATCH("ID",Vertices[[#Headers],[Vertex]:[Vertex Group]],0),FALSE)</f>
        <v>74</v>
      </c>
    </row>
    <row r="86" spans="1:3" ht="15">
      <c r="A86" s="81" t="s">
        <v>549</v>
      </c>
      <c r="B86" s="101" t="s">
        <v>269</v>
      </c>
      <c r="C86" s="80">
        <f>VLOOKUP("~"&amp;GroupVertices[[#This Row],[Vertex]],Vertices[],MATCH("ID",Vertices[[#Headers],[Vertex]:[Vertex Group]],0),FALSE)</f>
        <v>73</v>
      </c>
    </row>
    <row r="87" spans="1:3" ht="15">
      <c r="A87" s="81" t="s">
        <v>549</v>
      </c>
      <c r="B87" s="101" t="s">
        <v>268</v>
      </c>
      <c r="C87" s="80">
        <f>VLOOKUP("~"&amp;GroupVertices[[#This Row],[Vertex]],Vertices[],MATCH("ID",Vertices[[#Headers],[Vertex]:[Vertex Group]],0),FALSE)</f>
        <v>72</v>
      </c>
    </row>
    <row r="88" spans="1:3" ht="15">
      <c r="A88" s="81" t="s">
        <v>549</v>
      </c>
      <c r="B88" s="101" t="s">
        <v>267</v>
      </c>
      <c r="C88" s="80">
        <f>VLOOKUP("~"&amp;GroupVertices[[#This Row],[Vertex]],Vertices[],MATCH("ID",Vertices[[#Headers],[Vertex]:[Vertex Group]],0),FALSE)</f>
        <v>71</v>
      </c>
    </row>
    <row r="89" spans="1:3" ht="15">
      <c r="A89" s="81" t="s">
        <v>550</v>
      </c>
      <c r="B89" s="101" t="s">
        <v>207</v>
      </c>
      <c r="C89" s="80">
        <f>VLOOKUP("~"&amp;GroupVertices[[#This Row],[Vertex]],Vertices[],MATCH("ID",Vertices[[#Headers],[Vertex]:[Vertex Group]],0),FALSE)</f>
        <v>64</v>
      </c>
    </row>
    <row r="90" spans="1:3" ht="15">
      <c r="A90" s="81" t="s">
        <v>550</v>
      </c>
      <c r="B90" s="101" t="s">
        <v>266</v>
      </c>
      <c r="C90" s="80">
        <f>VLOOKUP("~"&amp;GroupVertices[[#This Row],[Vertex]],Vertices[],MATCH("ID",Vertices[[#Headers],[Vertex]:[Vertex Group]],0),FALSE)</f>
        <v>69</v>
      </c>
    </row>
    <row r="91" spans="1:3" ht="15">
      <c r="A91" s="81" t="s">
        <v>550</v>
      </c>
      <c r="B91" s="101" t="s">
        <v>265</v>
      </c>
      <c r="C91" s="80">
        <f>VLOOKUP("~"&amp;GroupVertices[[#This Row],[Vertex]],Vertices[],MATCH("ID",Vertices[[#Headers],[Vertex]:[Vertex Group]],0),FALSE)</f>
        <v>68</v>
      </c>
    </row>
    <row r="92" spans="1:3" ht="15">
      <c r="A92" s="81" t="s">
        <v>550</v>
      </c>
      <c r="B92" s="101" t="s">
        <v>264</v>
      </c>
      <c r="C92" s="80">
        <f>VLOOKUP("~"&amp;GroupVertices[[#This Row],[Vertex]],Vertices[],MATCH("ID",Vertices[[#Headers],[Vertex]:[Vertex Group]],0),FALSE)</f>
        <v>67</v>
      </c>
    </row>
    <row r="93" spans="1:3" ht="15">
      <c r="A93" s="81" t="s">
        <v>550</v>
      </c>
      <c r="B93" s="101" t="s">
        <v>263</v>
      </c>
      <c r="C93" s="80">
        <f>VLOOKUP("~"&amp;GroupVertices[[#This Row],[Vertex]],Vertices[],MATCH("ID",Vertices[[#Headers],[Vertex]:[Vertex Group]],0),FALSE)</f>
        <v>66</v>
      </c>
    </row>
    <row r="94" spans="1:3" ht="15">
      <c r="A94" s="81" t="s">
        <v>550</v>
      </c>
      <c r="B94" s="101" t="s">
        <v>262</v>
      </c>
      <c r="C94" s="80">
        <f>VLOOKUP("~"&amp;GroupVertices[[#This Row],[Vertex]],Vertices[],MATCH("ID",Vertices[[#Headers],[Vertex]:[Vertex Group]],0),FALSE)</f>
        <v>65</v>
      </c>
    </row>
    <row r="95" spans="1:3" ht="15">
      <c r="A95" s="81" t="s">
        <v>551</v>
      </c>
      <c r="B95" s="101" t="s">
        <v>199</v>
      </c>
      <c r="C95" s="80">
        <f>VLOOKUP("~"&amp;GroupVertices[[#This Row],[Vertex]],Vertices[],MATCH("ID",Vertices[[#Headers],[Vertex]:[Vertex Group]],0),FALSE)</f>
        <v>3</v>
      </c>
    </row>
    <row r="96" spans="1:3" ht="15">
      <c r="A96" s="81" t="s">
        <v>551</v>
      </c>
      <c r="B96" s="101" t="s">
        <v>255</v>
      </c>
      <c r="C96" s="80">
        <f>VLOOKUP("~"&amp;GroupVertices[[#This Row],[Vertex]],Vertices[],MATCH("ID",Vertices[[#Headers],[Vertex]:[Vertex Group]],0),FALSE)</f>
        <v>57</v>
      </c>
    </row>
    <row r="97" spans="1:3" ht="15">
      <c r="A97" s="81" t="s">
        <v>551</v>
      </c>
      <c r="B97" s="101" t="s">
        <v>241</v>
      </c>
      <c r="C97" s="80">
        <f>VLOOKUP("~"&amp;GroupVertices[[#This Row],[Vertex]],Vertices[],MATCH("ID",Vertices[[#Headers],[Vertex]:[Vertex Group]],0),FALSE)</f>
        <v>42</v>
      </c>
    </row>
    <row r="98" spans="1:3" ht="15">
      <c r="A98" s="81" t="s">
        <v>551</v>
      </c>
      <c r="B98" s="101" t="s">
        <v>211</v>
      </c>
      <c r="C98" s="80">
        <f>VLOOKUP("~"&amp;GroupVertices[[#This Row],[Vertex]],Vertices[],MATCH("ID",Vertices[[#Headers],[Vertex]:[Vertex Group]],0),FALSE)</f>
        <v>6</v>
      </c>
    </row>
    <row r="99" spans="1:3" ht="15">
      <c r="A99" s="81" t="s">
        <v>551</v>
      </c>
      <c r="B99" s="101" t="s">
        <v>210</v>
      </c>
      <c r="C99" s="80">
        <f>VLOOKUP("~"&amp;GroupVertices[[#This Row],[Vertex]],Vertices[],MATCH("ID",Vertices[[#Headers],[Vertex]:[Vertex Group]],0),FALSE)</f>
        <v>5</v>
      </c>
    </row>
    <row r="100" spans="1:3" ht="15">
      <c r="A100" s="81" t="s">
        <v>551</v>
      </c>
      <c r="B100" s="101" t="s">
        <v>304</v>
      </c>
      <c r="C100" s="80">
        <f>VLOOKUP("~"&amp;GroupVertices[[#This Row],[Vertex]],Vertices[],MATCH("ID",Vertices[[#Headers],[Vertex]:[Vertex Group]],0),FALSE)</f>
        <v>4</v>
      </c>
    </row>
    <row r="101" spans="1:3" ht="15">
      <c r="A101" s="81" t="s">
        <v>552</v>
      </c>
      <c r="B101" s="101" t="s">
        <v>204</v>
      </c>
      <c r="C101" s="80">
        <f>VLOOKUP("~"&amp;GroupVertices[[#This Row],[Vertex]],Vertices[],MATCH("ID",Vertices[[#Headers],[Vertex]:[Vertex Group]],0),FALSE)</f>
        <v>27</v>
      </c>
    </row>
    <row r="102" spans="1:3" ht="15">
      <c r="A102" s="81" t="s">
        <v>552</v>
      </c>
      <c r="B102" s="101" t="s">
        <v>230</v>
      </c>
      <c r="C102" s="80">
        <f>VLOOKUP("~"&amp;GroupVertices[[#This Row],[Vertex]],Vertices[],MATCH("ID",Vertices[[#Headers],[Vertex]:[Vertex Group]],0),FALSE)</f>
        <v>30</v>
      </c>
    </row>
    <row r="103" spans="1:3" ht="15">
      <c r="A103" s="81" t="s">
        <v>552</v>
      </c>
      <c r="B103" s="101" t="s">
        <v>229</v>
      </c>
      <c r="C103" s="80">
        <f>VLOOKUP("~"&amp;GroupVertices[[#This Row],[Vertex]],Vertices[],MATCH("ID",Vertices[[#Headers],[Vertex]:[Vertex Group]],0),FALSE)</f>
        <v>29</v>
      </c>
    </row>
    <row r="104" spans="1:3" ht="15">
      <c r="A104" s="81" t="s">
        <v>552</v>
      </c>
      <c r="B104" s="101" t="s">
        <v>228</v>
      </c>
      <c r="C104" s="80">
        <f>VLOOKUP("~"&amp;GroupVertices[[#This Row],[Vertex]],Vertices[],MATCH("ID",Vertices[[#Headers],[Vertex]:[Vertex Group]],0),FALSE)</f>
        <v>28</v>
      </c>
    </row>
    <row r="105" spans="1:3" ht="15">
      <c r="A105" s="81" t="s">
        <v>553</v>
      </c>
      <c r="B105" s="101" t="s">
        <v>201</v>
      </c>
      <c r="C105" s="80">
        <f>VLOOKUP("~"&amp;GroupVertices[[#This Row],[Vertex]],Vertices[],MATCH("ID",Vertices[[#Headers],[Vertex]:[Vertex Group]],0),FALSE)</f>
        <v>9</v>
      </c>
    </row>
    <row r="106" spans="1:3" ht="15">
      <c r="A106" s="81" t="s">
        <v>553</v>
      </c>
      <c r="B106" s="101" t="s">
        <v>214</v>
      </c>
      <c r="C106" s="80">
        <f>VLOOKUP("~"&amp;GroupVertices[[#This Row],[Vertex]],Vertices[],MATCH("ID",Vertices[[#Headers],[Vertex]:[Vertex Group]],0),FALSE)</f>
        <v>11</v>
      </c>
    </row>
    <row r="107" spans="1:3" ht="15">
      <c r="A107" s="81" t="s">
        <v>553</v>
      </c>
      <c r="B107" s="101" t="s">
        <v>213</v>
      </c>
      <c r="C107" s="80">
        <f>VLOOKUP("~"&amp;GroupVertices[[#This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88">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502</v>
      </c>
      <c r="B2" s="35" t="s">
        <v>192</v>
      </c>
      <c r="D2" s="32">
        <f>MIN(Vertices[Degree])</f>
        <v>0</v>
      </c>
      <c r="E2" s="3">
        <f>COUNTIF(Vertices[Degree],"&gt;= "&amp;D2)-COUNTIF(Vertices[Degree],"&gt;="&amp;D3)</f>
        <v>0</v>
      </c>
      <c r="F2" s="38">
        <f>MIN(Vertices[In-Degree])</f>
        <v>1</v>
      </c>
      <c r="G2" s="39">
        <f>COUNTIF(Vertices[In-Degree],"&gt;= "&amp;F2)-COUNTIF(Vertices[In-Degree],"&gt;="&amp;F3)</f>
        <v>99</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96</v>
      </c>
      <c r="L2" s="38">
        <f>MIN(Vertices[Closeness Centrality])</f>
        <v>0.28</v>
      </c>
      <c r="M2" s="39">
        <f>COUNTIF(Vertices[Closeness Centrality],"&gt;= "&amp;L2)-COUNTIF(Vertices[Closeness Centrality],"&gt;="&amp;L3)</f>
        <v>21</v>
      </c>
      <c r="N2" s="38">
        <f>MIN(Vertices[Eigenvector Centrality])</f>
        <v>0.01404</v>
      </c>
      <c r="O2" s="39">
        <f>COUNTIF(Vertices[Eigenvector Centrality],"&gt;= "&amp;N2)-COUNTIF(Vertices[Eigenvector Centrality],"&gt;="&amp;N3)</f>
        <v>41</v>
      </c>
      <c r="P2" s="38">
        <f>MIN(Vertices[PageRank])</f>
        <v>0.0082</v>
      </c>
      <c r="Q2" s="39">
        <f>COUNTIF(Vertices[PageRank],"&gt;= "&amp;P2)-COUNTIF(Vertices[PageRank],"&gt;="&amp;P3)</f>
        <v>95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1.2058823529411764</v>
      </c>
      <c r="I3" s="41">
        <f>COUNTIF(Vertices[Out-Degree],"&gt;= "&amp;H3)-COUNTIF(Vertices[Out-Degree],"&gt;="&amp;H4)</f>
        <v>2</v>
      </c>
      <c r="J3" s="40">
        <f aca="true" t="shared" si="4" ref="J3:J35">J2+($J$36-$J$2)/BinDivisor</f>
        <v>268.914986</v>
      </c>
      <c r="K3" s="41">
        <f>COUNTIF(Vertices[Betweenness Centrality],"&gt;= "&amp;J3)-COUNTIF(Vertices[Betweenness Centrality],"&gt;="&amp;J4)</f>
        <v>2</v>
      </c>
      <c r="L3" s="40">
        <f aca="true" t="shared" si="5" ref="L3:L35">L2+($L$36-$L$2)/BinDivisor</f>
        <v>0.2900382941176471</v>
      </c>
      <c r="M3" s="41">
        <f>COUNTIF(Vertices[Closeness Centrality],"&gt;= "&amp;L3)-COUNTIF(Vertices[Closeness Centrality],"&gt;="&amp;L4)</f>
        <v>20</v>
      </c>
      <c r="N3" s="40">
        <f aca="true" t="shared" si="6" ref="N3:N35">N2+($N$36-$N$2)/BinDivisor</f>
        <v>0.0321705</v>
      </c>
      <c r="O3" s="41">
        <f>COUNTIF(Vertices[Eigenvector Centrality],"&gt;= "&amp;N3)-COUNTIF(Vertices[Eigenvector Centrality],"&gt;="&amp;N4)</f>
        <v>18</v>
      </c>
      <c r="P3" s="40">
        <f aca="true" t="shared" si="7" ref="P3:P35">P2+($P$36-$P$2)/BinDivisor</f>
        <v>0.009414176470588237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0</v>
      </c>
      <c r="J4" s="38">
        <f t="shared" si="4"/>
        <v>537.829972</v>
      </c>
      <c r="K4" s="39">
        <f>COUNTIF(Vertices[Betweenness Centrality],"&gt;= "&amp;J4)-COUNTIF(Vertices[Betweenness Centrality],"&gt;="&amp;J5)</f>
        <v>2</v>
      </c>
      <c r="L4" s="38">
        <f t="shared" si="5"/>
        <v>0.30007658823529415</v>
      </c>
      <c r="M4" s="39">
        <f>COUNTIF(Vertices[Closeness Centrality],"&gt;= "&amp;L4)-COUNTIF(Vertices[Closeness Centrality],"&gt;="&amp;L5)</f>
        <v>0</v>
      </c>
      <c r="N4" s="38">
        <f t="shared" si="6"/>
        <v>0.050301</v>
      </c>
      <c r="O4" s="39">
        <f>COUNTIF(Vertices[Eigenvector Centrality],"&gt;= "&amp;N4)-COUNTIF(Vertices[Eigenvector Centrality],"&gt;="&amp;N5)</f>
        <v>4</v>
      </c>
      <c r="P4" s="38">
        <f t="shared" si="7"/>
        <v>0.010628352941176472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1.1764705882352942</v>
      </c>
      <c r="G5" s="41">
        <f>COUNTIF(Vertices[In-Degree],"&gt;= "&amp;F5)-COUNTIF(Vertices[In-Degree],"&gt;="&amp;F6)</f>
        <v>0</v>
      </c>
      <c r="H5" s="40">
        <f t="shared" si="3"/>
        <v>3.617647058823529</v>
      </c>
      <c r="I5" s="41">
        <f>COUNTIF(Vertices[Out-Degree],"&gt;= "&amp;H5)-COUNTIF(Vertices[Out-Degree],"&gt;="&amp;H6)</f>
        <v>1</v>
      </c>
      <c r="J5" s="40">
        <f t="shared" si="4"/>
        <v>806.744958</v>
      </c>
      <c r="K5" s="41">
        <f>COUNTIF(Vertices[Betweenness Centrality],"&gt;= "&amp;J5)-COUNTIF(Vertices[Betweenness Centrality],"&gt;="&amp;J6)</f>
        <v>1</v>
      </c>
      <c r="L5" s="40">
        <f t="shared" si="5"/>
        <v>0.3101148823529412</v>
      </c>
      <c r="M5" s="41">
        <f>COUNTIF(Vertices[Closeness Centrality],"&gt;= "&amp;L5)-COUNTIF(Vertices[Closeness Centrality],"&gt;="&amp;L6)</f>
        <v>18</v>
      </c>
      <c r="N5" s="40">
        <f t="shared" si="6"/>
        <v>0.06843149999999999</v>
      </c>
      <c r="O5" s="41">
        <f>COUNTIF(Vertices[Eigenvector Centrality],"&gt;= "&amp;N5)-COUNTIF(Vertices[Eigenvector Centrality],"&gt;="&amp;N6)</f>
        <v>1</v>
      </c>
      <c r="P5" s="40">
        <f t="shared" si="7"/>
        <v>0.011842529411764708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1.2352941176470589</v>
      </c>
      <c r="G6" s="39">
        <f>COUNTIF(Vertices[In-Degree],"&gt;= "&amp;F6)-COUNTIF(Vertices[In-Degree],"&gt;="&amp;F7)</f>
        <v>0</v>
      </c>
      <c r="H6" s="38">
        <f t="shared" si="3"/>
        <v>4.823529411764706</v>
      </c>
      <c r="I6" s="39">
        <f>COUNTIF(Vertices[Out-Degree],"&gt;= "&amp;H6)-COUNTIF(Vertices[Out-Degree],"&gt;="&amp;H7)</f>
        <v>3</v>
      </c>
      <c r="J6" s="38">
        <f t="shared" si="4"/>
        <v>1075.659944</v>
      </c>
      <c r="K6" s="39">
        <f>COUNTIF(Vertices[Betweenness Centrality],"&gt;= "&amp;J6)-COUNTIF(Vertices[Betweenness Centrality],"&gt;="&amp;J7)</f>
        <v>1</v>
      </c>
      <c r="L6" s="38">
        <f t="shared" si="5"/>
        <v>0.3201531764705883</v>
      </c>
      <c r="M6" s="39">
        <f>COUNTIF(Vertices[Closeness Centrality],"&gt;= "&amp;L6)-COUNTIF(Vertices[Closeness Centrality],"&gt;="&amp;L7)</f>
        <v>1</v>
      </c>
      <c r="N6" s="38">
        <f t="shared" si="6"/>
        <v>0.08656199999999999</v>
      </c>
      <c r="O6" s="39">
        <f>COUNTIF(Vertices[Eigenvector Centrality],"&gt;= "&amp;N6)-COUNTIF(Vertices[Eigenvector Centrality],"&gt;="&amp;N7)</f>
        <v>34</v>
      </c>
      <c r="P6" s="38">
        <f t="shared" si="7"/>
        <v>0.013056705882352944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1.2941176470588236</v>
      </c>
      <c r="G7" s="41">
        <f>COUNTIF(Vertices[In-Degree],"&gt;= "&amp;F7)-COUNTIF(Vertices[In-Degree],"&gt;="&amp;F8)</f>
        <v>0</v>
      </c>
      <c r="H7" s="40">
        <f t="shared" si="3"/>
        <v>6.029411764705882</v>
      </c>
      <c r="I7" s="41">
        <f>COUNTIF(Vertices[Out-Degree],"&gt;= "&amp;H7)-COUNTIF(Vertices[Out-Degree],"&gt;="&amp;H8)</f>
        <v>0</v>
      </c>
      <c r="J7" s="40">
        <f t="shared" si="4"/>
        <v>1344.57493</v>
      </c>
      <c r="K7" s="41">
        <f>COUNTIF(Vertices[Betweenness Centrality],"&gt;= "&amp;J7)-COUNTIF(Vertices[Betweenness Centrality],"&gt;="&amp;J8)</f>
        <v>0</v>
      </c>
      <c r="L7" s="40">
        <f t="shared" si="5"/>
        <v>0.33019147058823534</v>
      </c>
      <c r="M7" s="41">
        <f>COUNTIF(Vertices[Closeness Centrality],"&gt;= "&amp;L7)-COUNTIF(Vertices[Closeness Centrality],"&gt;="&amp;L8)</f>
        <v>2</v>
      </c>
      <c r="N7" s="40">
        <f t="shared" si="6"/>
        <v>0.10469249999999998</v>
      </c>
      <c r="O7" s="41">
        <f>COUNTIF(Vertices[Eigenvector Centrality],"&gt;= "&amp;N7)-COUNTIF(Vertices[Eigenvector Centrality],"&gt;="&amp;N8)</f>
        <v>2</v>
      </c>
      <c r="P7" s="40">
        <f t="shared" si="7"/>
        <v>0.01427088235294118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1.3529411764705883</v>
      </c>
      <c r="G8" s="39">
        <f>COUNTIF(Vertices[In-Degree],"&gt;= "&amp;F8)-COUNTIF(Vertices[In-Degree],"&gt;="&amp;F9)</f>
        <v>0</v>
      </c>
      <c r="H8" s="38">
        <f t="shared" si="3"/>
        <v>7.235294117647059</v>
      </c>
      <c r="I8" s="39">
        <f>COUNTIF(Vertices[Out-Degree],"&gt;= "&amp;H8)-COUNTIF(Vertices[Out-Degree],"&gt;="&amp;H9)</f>
        <v>0</v>
      </c>
      <c r="J8" s="38">
        <f t="shared" si="4"/>
        <v>1613.489916</v>
      </c>
      <c r="K8" s="39">
        <f>COUNTIF(Vertices[Betweenness Centrality],"&gt;= "&amp;J8)-COUNTIF(Vertices[Betweenness Centrality],"&gt;="&amp;J9)</f>
        <v>1</v>
      </c>
      <c r="L8" s="38">
        <f t="shared" si="5"/>
        <v>0.3402297647058824</v>
      </c>
      <c r="M8" s="39">
        <f>COUNTIF(Vertices[Closeness Centrality],"&gt;= "&amp;L8)-COUNTIF(Vertices[Closeness Centrality],"&gt;="&amp;L9)</f>
        <v>2</v>
      </c>
      <c r="N8" s="38">
        <f t="shared" si="6"/>
        <v>0.12282299999999997</v>
      </c>
      <c r="O8" s="39">
        <f>COUNTIF(Vertices[Eigenvector Centrality],"&gt;= "&amp;N8)-COUNTIF(Vertices[Eigenvector Centrality],"&gt;="&amp;N9)</f>
        <v>1</v>
      </c>
      <c r="P8" s="38">
        <f t="shared" si="7"/>
        <v>0.015485058823529416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1.411764705882353</v>
      </c>
      <c r="G9" s="41">
        <f>COUNTIF(Vertices[In-Degree],"&gt;= "&amp;F9)-COUNTIF(Vertices[In-Degree],"&gt;="&amp;F10)</f>
        <v>0</v>
      </c>
      <c r="H9" s="40">
        <f t="shared" si="3"/>
        <v>8.441176470588236</v>
      </c>
      <c r="I9" s="41">
        <f>COUNTIF(Vertices[Out-Degree],"&gt;= "&amp;H9)-COUNTIF(Vertices[Out-Degree],"&gt;="&amp;H10)</f>
        <v>0</v>
      </c>
      <c r="J9" s="40">
        <f t="shared" si="4"/>
        <v>1882.404902</v>
      </c>
      <c r="K9" s="41">
        <f>COUNTIF(Vertices[Betweenness Centrality],"&gt;= "&amp;J9)-COUNTIF(Vertices[Betweenness Centrality],"&gt;="&amp;J10)</f>
        <v>0</v>
      </c>
      <c r="L9" s="40">
        <f t="shared" si="5"/>
        <v>0.35026805882352946</v>
      </c>
      <c r="M9" s="41">
        <f>COUNTIF(Vertices[Closeness Centrality],"&gt;= "&amp;L9)-COUNTIF(Vertices[Closeness Centrality],"&gt;="&amp;L10)</f>
        <v>0</v>
      </c>
      <c r="N9" s="40">
        <f t="shared" si="6"/>
        <v>0.14095349999999998</v>
      </c>
      <c r="O9" s="41">
        <f>COUNTIF(Vertices[Eigenvector Centrality],"&gt;= "&amp;N9)-COUNTIF(Vertices[Eigenvector Centrality],"&gt;="&amp;N10)</f>
        <v>1</v>
      </c>
      <c r="P9" s="40">
        <f t="shared" si="7"/>
        <v>0.01669923529411765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1.4705882352941178</v>
      </c>
      <c r="G10" s="39">
        <f>COUNTIF(Vertices[In-Degree],"&gt;= "&amp;F10)-COUNTIF(Vertices[In-Degree],"&gt;="&amp;F11)</f>
        <v>0</v>
      </c>
      <c r="H10" s="38">
        <f t="shared" si="3"/>
        <v>9.647058823529411</v>
      </c>
      <c r="I10" s="39">
        <f>COUNTIF(Vertices[Out-Degree],"&gt;= "&amp;H10)-COUNTIF(Vertices[Out-Degree],"&gt;="&amp;H11)</f>
        <v>0</v>
      </c>
      <c r="J10" s="38">
        <f t="shared" si="4"/>
        <v>2151.319888</v>
      </c>
      <c r="K10" s="39">
        <f>COUNTIF(Vertices[Betweenness Centrality],"&gt;= "&amp;J10)-COUNTIF(Vertices[Betweenness Centrality],"&gt;="&amp;J11)</f>
        <v>0</v>
      </c>
      <c r="L10" s="38">
        <f t="shared" si="5"/>
        <v>0.3603063529411765</v>
      </c>
      <c r="M10" s="39">
        <f>COUNTIF(Vertices[Closeness Centrality],"&gt;= "&amp;L10)-COUNTIF(Vertices[Closeness Centrality],"&gt;="&amp;L11)</f>
        <v>0</v>
      </c>
      <c r="N10" s="38">
        <f t="shared" si="6"/>
        <v>0.15908399999999998</v>
      </c>
      <c r="O10" s="39">
        <f>COUNTIF(Vertices[Eigenvector Centrality],"&gt;= "&amp;N10)-COUNTIF(Vertices[Eigenvector Centrality],"&gt;="&amp;N11)</f>
        <v>1</v>
      </c>
      <c r="P10" s="38">
        <f t="shared" si="7"/>
        <v>0.017913411764705886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1.5294117647058825</v>
      </c>
      <c r="G11" s="41">
        <f>COUNTIF(Vertices[In-Degree],"&gt;= "&amp;F11)-COUNTIF(Vertices[In-Degree],"&gt;="&amp;F12)</f>
        <v>0</v>
      </c>
      <c r="H11" s="40">
        <f t="shared" si="3"/>
        <v>10.852941176470587</v>
      </c>
      <c r="I11" s="41">
        <f>COUNTIF(Vertices[Out-Degree],"&gt;= "&amp;H11)-COUNTIF(Vertices[Out-Degree],"&gt;="&amp;H12)</f>
        <v>0</v>
      </c>
      <c r="J11" s="40">
        <f t="shared" si="4"/>
        <v>2420.2348739999998</v>
      </c>
      <c r="K11" s="41">
        <f>COUNTIF(Vertices[Betweenness Centrality],"&gt;= "&amp;J11)-COUNTIF(Vertices[Betweenness Centrality],"&gt;="&amp;J12)</f>
        <v>1</v>
      </c>
      <c r="L11" s="40">
        <f t="shared" si="5"/>
        <v>0.3703446470588236</v>
      </c>
      <c r="M11" s="41">
        <f>COUNTIF(Vertices[Closeness Centrality],"&gt;= "&amp;L11)-COUNTIF(Vertices[Closeness Centrality],"&gt;="&amp;L12)</f>
        <v>0</v>
      </c>
      <c r="N11" s="40">
        <f t="shared" si="6"/>
        <v>0.17721449999999997</v>
      </c>
      <c r="O11" s="41">
        <f>COUNTIF(Vertices[Eigenvector Centrality],"&gt;= "&amp;N11)-COUNTIF(Vertices[Eigenvector Centrality],"&gt;="&amp;N12)</f>
        <v>1</v>
      </c>
      <c r="P11" s="40">
        <f t="shared" si="7"/>
        <v>0.019127588235294122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0.02654867256637168</v>
      </c>
      <c r="D12" s="33">
        <f t="shared" si="1"/>
        <v>0</v>
      </c>
      <c r="E12" s="3">
        <f>COUNTIF(Vertices[Degree],"&gt;= "&amp;D12)-COUNTIF(Vertices[Degree],"&gt;="&amp;D13)</f>
        <v>0</v>
      </c>
      <c r="F12" s="38">
        <f t="shared" si="2"/>
        <v>1.5882352941176472</v>
      </c>
      <c r="G12" s="39">
        <f>COUNTIF(Vertices[In-Degree],"&gt;= "&amp;F12)-COUNTIF(Vertices[In-Degree],"&gt;="&amp;F13)</f>
        <v>0</v>
      </c>
      <c r="H12" s="38">
        <f t="shared" si="3"/>
        <v>12.058823529411763</v>
      </c>
      <c r="I12" s="39">
        <f>COUNTIF(Vertices[Out-Degree],"&gt;= "&amp;H12)-COUNTIF(Vertices[Out-Degree],"&gt;="&amp;H13)</f>
        <v>2</v>
      </c>
      <c r="J12" s="38">
        <f t="shared" si="4"/>
        <v>2689.1498599999995</v>
      </c>
      <c r="K12" s="39">
        <f>COUNTIF(Vertices[Betweenness Centrality],"&gt;= "&amp;J12)-COUNTIF(Vertices[Betweenness Centrality],"&gt;="&amp;J13)</f>
        <v>0</v>
      </c>
      <c r="L12" s="38">
        <f t="shared" si="5"/>
        <v>0.38038294117647065</v>
      </c>
      <c r="M12" s="39">
        <f>COUNTIF(Vertices[Closeness Centrality],"&gt;= "&amp;L12)-COUNTIF(Vertices[Closeness Centrality],"&gt;="&amp;L13)</f>
        <v>33</v>
      </c>
      <c r="N12" s="38">
        <f t="shared" si="6"/>
        <v>0.19534499999999996</v>
      </c>
      <c r="O12" s="39">
        <f>COUNTIF(Vertices[Eigenvector Centrality],"&gt;= "&amp;N12)-COUNTIF(Vertices[Eigenvector Centrality],"&gt;="&amp;N13)</f>
        <v>0</v>
      </c>
      <c r="P12" s="38">
        <f t="shared" si="7"/>
        <v>0.020341764705882358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0.05172413793103448</v>
      </c>
      <c r="D13" s="33">
        <f t="shared" si="1"/>
        <v>0</v>
      </c>
      <c r="E13" s="3">
        <f>COUNTIF(Vertices[Degree],"&gt;= "&amp;D13)-COUNTIF(Vertices[Degree],"&gt;="&amp;D14)</f>
        <v>0</v>
      </c>
      <c r="F13" s="40">
        <f t="shared" si="2"/>
        <v>1.647058823529412</v>
      </c>
      <c r="G13" s="41">
        <f>COUNTIF(Vertices[In-Degree],"&gt;= "&amp;F13)-COUNTIF(Vertices[In-Degree],"&gt;="&amp;F14)</f>
        <v>0</v>
      </c>
      <c r="H13" s="40">
        <f t="shared" si="3"/>
        <v>13.264705882352938</v>
      </c>
      <c r="I13" s="41">
        <f>COUNTIF(Vertices[Out-Degree],"&gt;= "&amp;H13)-COUNTIF(Vertices[Out-Degree],"&gt;="&amp;H14)</f>
        <v>0</v>
      </c>
      <c r="J13" s="40">
        <f t="shared" si="4"/>
        <v>2958.0648459999993</v>
      </c>
      <c r="K13" s="41">
        <f>COUNTIF(Vertices[Betweenness Centrality],"&gt;= "&amp;J13)-COUNTIF(Vertices[Betweenness Centrality],"&gt;="&amp;J14)</f>
        <v>0</v>
      </c>
      <c r="L13" s="40">
        <f t="shared" si="5"/>
        <v>0.3904212352941177</v>
      </c>
      <c r="M13" s="41">
        <f>COUNTIF(Vertices[Closeness Centrality],"&gt;= "&amp;L13)-COUNTIF(Vertices[Closeness Centrality],"&gt;="&amp;L14)</f>
        <v>3</v>
      </c>
      <c r="N13" s="40">
        <f t="shared" si="6"/>
        <v>0.21347549999999996</v>
      </c>
      <c r="O13" s="41">
        <f>COUNTIF(Vertices[Eigenvector Centrality],"&gt;= "&amp;N13)-COUNTIF(Vertices[Eigenvector Centrality],"&gt;="&amp;N14)</f>
        <v>0</v>
      </c>
      <c r="P13" s="40">
        <f t="shared" si="7"/>
        <v>0.021555941176470594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02"/>
      <c r="B14" s="102"/>
      <c r="D14" s="33">
        <f t="shared" si="1"/>
        <v>0</v>
      </c>
      <c r="E14" s="3">
        <f>COUNTIF(Vertices[Degree],"&gt;= "&amp;D14)-COUNTIF(Vertices[Degree],"&gt;="&amp;D15)</f>
        <v>0</v>
      </c>
      <c r="F14" s="38">
        <f t="shared" si="2"/>
        <v>1.7058823529411766</v>
      </c>
      <c r="G14" s="39">
        <f>COUNTIF(Vertices[In-Degree],"&gt;= "&amp;F14)-COUNTIF(Vertices[In-Degree],"&gt;="&amp;F15)</f>
        <v>0</v>
      </c>
      <c r="H14" s="38">
        <f t="shared" si="3"/>
        <v>14.470588235294114</v>
      </c>
      <c r="I14" s="39">
        <f>COUNTIF(Vertices[Out-Degree],"&gt;= "&amp;H14)-COUNTIF(Vertices[Out-Degree],"&gt;="&amp;H15)</f>
        <v>0</v>
      </c>
      <c r="J14" s="38">
        <f t="shared" si="4"/>
        <v>3226.979831999999</v>
      </c>
      <c r="K14" s="39">
        <f>COUNTIF(Vertices[Betweenness Centrality],"&gt;= "&amp;J14)-COUNTIF(Vertices[Betweenness Centrality],"&gt;="&amp;J15)</f>
        <v>0</v>
      </c>
      <c r="L14" s="38">
        <f t="shared" si="5"/>
        <v>0.40045952941176477</v>
      </c>
      <c r="M14" s="39">
        <f>COUNTIF(Vertices[Closeness Centrality],"&gt;= "&amp;L14)-COUNTIF(Vertices[Closeness Centrality],"&gt;="&amp;L15)</f>
        <v>1</v>
      </c>
      <c r="N14" s="38">
        <f t="shared" si="6"/>
        <v>0.23160599999999995</v>
      </c>
      <c r="O14" s="39">
        <f>COUNTIF(Vertices[Eigenvector Centrality],"&gt;= "&amp;N14)-COUNTIF(Vertices[Eigenvector Centrality],"&gt;="&amp;N15)</f>
        <v>0</v>
      </c>
      <c r="P14" s="38">
        <f t="shared" si="7"/>
        <v>0.02277011764705883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15.67647058823529</v>
      </c>
      <c r="I15" s="41">
        <f>COUNTIF(Vertices[Out-Degree],"&gt;= "&amp;H15)-COUNTIF(Vertices[Out-Degree],"&gt;="&amp;H16)</f>
        <v>0</v>
      </c>
      <c r="J15" s="40">
        <f t="shared" si="4"/>
        <v>3495.894817999999</v>
      </c>
      <c r="K15" s="41">
        <f>COUNTIF(Vertices[Betweenness Centrality],"&gt;= "&amp;J15)-COUNTIF(Vertices[Betweenness Centrality],"&gt;="&amp;J16)</f>
        <v>0</v>
      </c>
      <c r="L15" s="40">
        <f t="shared" si="5"/>
        <v>0.41049782352941183</v>
      </c>
      <c r="M15" s="41">
        <f>COUNTIF(Vertices[Closeness Centrality],"&gt;= "&amp;L15)-COUNTIF(Vertices[Closeness Centrality],"&gt;="&amp;L16)</f>
        <v>1</v>
      </c>
      <c r="N15" s="40">
        <f t="shared" si="6"/>
        <v>0.24973649999999994</v>
      </c>
      <c r="O15" s="41">
        <f>COUNTIF(Vertices[Eigenvector Centrality],"&gt;= "&amp;N15)-COUNTIF(Vertices[Eigenvector Centrality],"&gt;="&amp;N16)</f>
        <v>0</v>
      </c>
      <c r="P15" s="40">
        <f t="shared" si="7"/>
        <v>0.023984294117647065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16.882352941176467</v>
      </c>
      <c r="I16" s="39">
        <f>COUNTIF(Vertices[Out-Degree],"&gt;= "&amp;H16)-COUNTIF(Vertices[Out-Degree],"&gt;="&amp;H17)</f>
        <v>0</v>
      </c>
      <c r="J16" s="38">
        <f t="shared" si="4"/>
        <v>3764.8098039999986</v>
      </c>
      <c r="K16" s="39">
        <f>COUNTIF(Vertices[Betweenness Centrality],"&gt;= "&amp;J16)-COUNTIF(Vertices[Betweenness Centrality],"&gt;="&amp;J17)</f>
        <v>1</v>
      </c>
      <c r="L16" s="38">
        <f t="shared" si="5"/>
        <v>0.4205361176470589</v>
      </c>
      <c r="M16" s="39">
        <f>COUNTIF(Vertices[Closeness Centrality],"&gt;= "&amp;L16)-COUNTIF(Vertices[Closeness Centrality],"&gt;="&amp;L17)</f>
        <v>1</v>
      </c>
      <c r="N16" s="38">
        <f t="shared" si="6"/>
        <v>0.26786699999999997</v>
      </c>
      <c r="O16" s="39">
        <f>COUNTIF(Vertices[Eigenvector Centrality],"&gt;= "&amp;N16)-COUNTIF(Vertices[Eigenvector Centrality],"&gt;="&amp;N17)</f>
        <v>0</v>
      </c>
      <c r="P16" s="38">
        <f t="shared" si="7"/>
        <v>0.0251984705882353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106</v>
      </c>
      <c r="D17" s="33">
        <f t="shared" si="1"/>
        <v>0</v>
      </c>
      <c r="E17" s="3">
        <f>COUNTIF(Vertices[Degree],"&gt;= "&amp;D17)-COUNTIF(Vertices[Degree],"&gt;="&amp;D18)</f>
        <v>0</v>
      </c>
      <c r="F17" s="40">
        <f t="shared" si="2"/>
        <v>1.8823529411764708</v>
      </c>
      <c r="G17" s="41">
        <f>COUNTIF(Vertices[In-Degree],"&gt;= "&amp;F17)-COUNTIF(Vertices[In-Degree],"&gt;="&amp;F18)</f>
        <v>0</v>
      </c>
      <c r="H17" s="40">
        <f t="shared" si="3"/>
        <v>18.088235294117645</v>
      </c>
      <c r="I17" s="41">
        <f>COUNTIF(Vertices[Out-Degree],"&gt;= "&amp;H17)-COUNTIF(Vertices[Out-Degree],"&gt;="&amp;H18)</f>
        <v>0</v>
      </c>
      <c r="J17" s="40">
        <f t="shared" si="4"/>
        <v>4033.7247899999984</v>
      </c>
      <c r="K17" s="41">
        <f>COUNTIF(Vertices[Betweenness Centrality],"&gt;= "&amp;J17)-COUNTIF(Vertices[Betweenness Centrality],"&gt;="&amp;J18)</f>
        <v>0</v>
      </c>
      <c r="L17" s="40">
        <f t="shared" si="5"/>
        <v>0.43057441176470596</v>
      </c>
      <c r="M17" s="41">
        <f>COUNTIF(Vertices[Closeness Centrality],"&gt;= "&amp;L17)-COUNTIF(Vertices[Closeness Centrality],"&gt;="&amp;L18)</f>
        <v>1</v>
      </c>
      <c r="N17" s="40">
        <f t="shared" si="6"/>
        <v>0.28599749999999996</v>
      </c>
      <c r="O17" s="41">
        <f>COUNTIF(Vertices[Eigenvector Centrality],"&gt;= "&amp;N17)-COUNTIF(Vertices[Eigenvector Centrality],"&gt;="&amp;N18)</f>
        <v>1</v>
      </c>
      <c r="P17" s="40">
        <f t="shared" si="7"/>
        <v>0.026412647058823537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116</v>
      </c>
      <c r="D18" s="33">
        <f t="shared" si="1"/>
        <v>0</v>
      </c>
      <c r="E18" s="3">
        <f>COUNTIF(Vertices[Degree],"&gt;= "&amp;D18)-COUNTIF(Vertices[Degree],"&gt;="&amp;D19)</f>
        <v>0</v>
      </c>
      <c r="F18" s="38">
        <f t="shared" si="2"/>
        <v>1.9411764705882355</v>
      </c>
      <c r="G18" s="39">
        <f>COUNTIF(Vertices[In-Degree],"&gt;= "&amp;F18)-COUNTIF(Vertices[In-Degree],"&gt;="&amp;F19)</f>
        <v>0</v>
      </c>
      <c r="H18" s="38">
        <f t="shared" si="3"/>
        <v>19.294117647058822</v>
      </c>
      <c r="I18" s="39">
        <f>COUNTIF(Vertices[Out-Degree],"&gt;= "&amp;H18)-COUNTIF(Vertices[Out-Degree],"&gt;="&amp;H19)</f>
        <v>0</v>
      </c>
      <c r="J18" s="38">
        <f t="shared" si="4"/>
        <v>4302.639775999998</v>
      </c>
      <c r="K18" s="39">
        <f>COUNTIF(Vertices[Betweenness Centrality],"&gt;= "&amp;J18)-COUNTIF(Vertices[Betweenness Centrality],"&gt;="&amp;J19)</f>
        <v>0</v>
      </c>
      <c r="L18" s="38">
        <f t="shared" si="5"/>
        <v>0.440612705882353</v>
      </c>
      <c r="M18" s="39">
        <f>COUNTIF(Vertices[Closeness Centrality],"&gt;= "&amp;L18)-COUNTIF(Vertices[Closeness Centrality],"&gt;="&amp;L19)</f>
        <v>0</v>
      </c>
      <c r="N18" s="38">
        <f t="shared" si="6"/>
        <v>0.30412799999999995</v>
      </c>
      <c r="O18" s="39">
        <f>COUNTIF(Vertices[Eigenvector Centrality],"&gt;= "&amp;N18)-COUNTIF(Vertices[Eigenvector Centrality],"&gt;="&amp;N19)</f>
        <v>0</v>
      </c>
      <c r="P18" s="38">
        <f t="shared" si="7"/>
        <v>0.027626823529411773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2</v>
      </c>
      <c r="G19" s="41">
        <f>COUNTIF(Vertices[In-Degree],"&gt;= "&amp;F19)-COUNTIF(Vertices[In-Degree],"&gt;="&amp;F20)</f>
        <v>4</v>
      </c>
      <c r="H19" s="40">
        <f t="shared" si="3"/>
        <v>20.5</v>
      </c>
      <c r="I19" s="41">
        <f>COUNTIF(Vertices[Out-Degree],"&gt;= "&amp;H19)-COUNTIF(Vertices[Out-Degree],"&gt;="&amp;H20)</f>
        <v>0</v>
      </c>
      <c r="J19" s="40">
        <f t="shared" si="4"/>
        <v>4571.554761999998</v>
      </c>
      <c r="K19" s="41">
        <f>COUNTIF(Vertices[Betweenness Centrality],"&gt;= "&amp;J19)-COUNTIF(Vertices[Betweenness Centrality],"&gt;="&amp;J20)</f>
        <v>0</v>
      </c>
      <c r="L19" s="40">
        <f t="shared" si="5"/>
        <v>0.4506510000000001</v>
      </c>
      <c r="M19" s="41">
        <f>COUNTIF(Vertices[Closeness Centrality],"&gt;= "&amp;L19)-COUNTIF(Vertices[Closeness Centrality],"&gt;="&amp;L20)</f>
        <v>0</v>
      </c>
      <c r="N19" s="40">
        <f t="shared" si="6"/>
        <v>0.32225849999999995</v>
      </c>
      <c r="O19" s="41">
        <f>COUNTIF(Vertices[Eigenvector Centrality],"&gt;= "&amp;N19)-COUNTIF(Vertices[Eigenvector Centrality],"&gt;="&amp;N20)</f>
        <v>0</v>
      </c>
      <c r="P19" s="40">
        <f t="shared" si="7"/>
        <v>0.02884100000000001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2.0588235294117645</v>
      </c>
      <c r="G20" s="39">
        <f>COUNTIF(Vertices[In-Degree],"&gt;= "&amp;F20)-COUNTIF(Vertices[In-Degree],"&gt;="&amp;F21)</f>
        <v>0</v>
      </c>
      <c r="H20" s="38">
        <f t="shared" si="3"/>
        <v>21.705882352941178</v>
      </c>
      <c r="I20" s="39">
        <f>COUNTIF(Vertices[Out-Degree],"&gt;= "&amp;H20)-COUNTIF(Vertices[Out-Degree],"&gt;="&amp;H21)</f>
        <v>0</v>
      </c>
      <c r="J20" s="38">
        <f t="shared" si="4"/>
        <v>4840.469747999998</v>
      </c>
      <c r="K20" s="39">
        <f>COUNTIF(Vertices[Betweenness Centrality],"&gt;= "&amp;J20)-COUNTIF(Vertices[Betweenness Centrality],"&gt;="&amp;J21)</f>
        <v>0</v>
      </c>
      <c r="L20" s="38">
        <f t="shared" si="5"/>
        <v>0.46068929411764714</v>
      </c>
      <c r="M20" s="39">
        <f>COUNTIF(Vertices[Closeness Centrality],"&gt;= "&amp;L20)-COUNTIF(Vertices[Closeness Centrality],"&gt;="&amp;L21)</f>
        <v>1</v>
      </c>
      <c r="N20" s="38">
        <f t="shared" si="6"/>
        <v>0.34038899999999994</v>
      </c>
      <c r="O20" s="39">
        <f>COUNTIF(Vertices[Eigenvector Centrality],"&gt;= "&amp;N20)-COUNTIF(Vertices[Eigenvector Centrality],"&gt;="&amp;N21)</f>
        <v>0</v>
      </c>
      <c r="P20" s="38">
        <f t="shared" si="7"/>
        <v>0.030055176470588245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2.977928</v>
      </c>
      <c r="D21" s="33">
        <f t="shared" si="1"/>
        <v>0</v>
      </c>
      <c r="E21" s="3">
        <f>COUNTIF(Vertices[Degree],"&gt;= "&amp;D21)-COUNTIF(Vertices[Degree],"&gt;="&amp;D22)</f>
        <v>0</v>
      </c>
      <c r="F21" s="40">
        <f t="shared" si="2"/>
        <v>2.117647058823529</v>
      </c>
      <c r="G21" s="41">
        <f>COUNTIF(Vertices[In-Degree],"&gt;= "&amp;F21)-COUNTIF(Vertices[In-Degree],"&gt;="&amp;F22)</f>
        <v>0</v>
      </c>
      <c r="H21" s="40">
        <f t="shared" si="3"/>
        <v>22.911764705882355</v>
      </c>
      <c r="I21" s="41">
        <f>COUNTIF(Vertices[Out-Degree],"&gt;= "&amp;H21)-COUNTIF(Vertices[Out-Degree],"&gt;="&amp;H22)</f>
        <v>1</v>
      </c>
      <c r="J21" s="40">
        <f t="shared" si="4"/>
        <v>5109.3847339999975</v>
      </c>
      <c r="K21" s="41">
        <f>COUNTIF(Vertices[Betweenness Centrality],"&gt;= "&amp;J21)-COUNTIF(Vertices[Betweenness Centrality],"&gt;="&amp;J22)</f>
        <v>0</v>
      </c>
      <c r="L21" s="40">
        <f t="shared" si="5"/>
        <v>0.4707275882352942</v>
      </c>
      <c r="M21" s="41">
        <f>COUNTIF(Vertices[Closeness Centrality],"&gt;= "&amp;L21)-COUNTIF(Vertices[Closeness Centrality],"&gt;="&amp;L22)</f>
        <v>0</v>
      </c>
      <c r="N21" s="40">
        <f t="shared" si="6"/>
        <v>0.35851949999999994</v>
      </c>
      <c r="O21" s="41">
        <f>COUNTIF(Vertices[Eigenvector Centrality],"&gt;= "&amp;N21)-COUNTIF(Vertices[Eigenvector Centrality],"&gt;="&amp;N22)</f>
        <v>0</v>
      </c>
      <c r="P21" s="40">
        <f t="shared" si="7"/>
        <v>0.03126935294117648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2.1764705882352935</v>
      </c>
      <c r="G22" s="39">
        <f>COUNTIF(Vertices[In-Degree],"&gt;= "&amp;F22)-COUNTIF(Vertices[In-Degree],"&gt;="&amp;F23)</f>
        <v>0</v>
      </c>
      <c r="H22" s="38">
        <f t="shared" si="3"/>
        <v>24.117647058823533</v>
      </c>
      <c r="I22" s="39">
        <f>COUNTIF(Vertices[Out-Degree],"&gt;= "&amp;H22)-COUNTIF(Vertices[Out-Degree],"&gt;="&amp;H23)</f>
        <v>0</v>
      </c>
      <c r="J22" s="38">
        <f t="shared" si="4"/>
        <v>5378.299719999997</v>
      </c>
      <c r="K22" s="39">
        <f>COUNTIF(Vertices[Betweenness Centrality],"&gt;= "&amp;J22)-COUNTIF(Vertices[Betweenness Centrality],"&gt;="&amp;J23)</f>
        <v>0</v>
      </c>
      <c r="L22" s="38">
        <f t="shared" si="5"/>
        <v>0.48076588235294127</v>
      </c>
      <c r="M22" s="39">
        <f>COUNTIF(Vertices[Closeness Centrality],"&gt;= "&amp;L22)-COUNTIF(Vertices[Closeness Centrality],"&gt;="&amp;L23)</f>
        <v>0</v>
      </c>
      <c r="N22" s="38">
        <f t="shared" si="6"/>
        <v>0.37664999999999993</v>
      </c>
      <c r="O22" s="39">
        <f>COUNTIF(Vertices[Eigenvector Centrality],"&gt;= "&amp;N22)-COUNTIF(Vertices[Eigenvector Centrality],"&gt;="&amp;N23)</f>
        <v>0</v>
      </c>
      <c r="P22" s="38">
        <f t="shared" si="7"/>
        <v>0.03248352941176471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0.010422282120395327</v>
      </c>
      <c r="D23" s="33">
        <f t="shared" si="1"/>
        <v>0</v>
      </c>
      <c r="E23" s="3">
        <f>COUNTIF(Vertices[Degree],"&gt;= "&amp;D23)-COUNTIF(Vertices[Degree],"&gt;="&amp;D24)</f>
        <v>0</v>
      </c>
      <c r="F23" s="40">
        <f t="shared" si="2"/>
        <v>2.235294117647058</v>
      </c>
      <c r="G23" s="41">
        <f>COUNTIF(Vertices[In-Degree],"&gt;= "&amp;F23)-COUNTIF(Vertices[In-Degree],"&gt;="&amp;F24)</f>
        <v>0</v>
      </c>
      <c r="H23" s="40">
        <f t="shared" si="3"/>
        <v>25.32352941176471</v>
      </c>
      <c r="I23" s="41">
        <f>COUNTIF(Vertices[Out-Degree],"&gt;= "&amp;H23)-COUNTIF(Vertices[Out-Degree],"&gt;="&amp;H24)</f>
        <v>0</v>
      </c>
      <c r="J23" s="40">
        <f t="shared" si="4"/>
        <v>5647.214705999997</v>
      </c>
      <c r="K23" s="41">
        <f>COUNTIF(Vertices[Betweenness Centrality],"&gt;= "&amp;J23)-COUNTIF(Vertices[Betweenness Centrality],"&gt;="&amp;J24)</f>
        <v>0</v>
      </c>
      <c r="L23" s="40">
        <f t="shared" si="5"/>
        <v>0.4908041764705883</v>
      </c>
      <c r="M23" s="41">
        <f>COUNTIF(Vertices[Closeness Centrality],"&gt;= "&amp;L23)-COUNTIF(Vertices[Closeness Centrality],"&gt;="&amp;L24)</f>
        <v>0</v>
      </c>
      <c r="N23" s="40">
        <f t="shared" si="6"/>
        <v>0.3947804999999999</v>
      </c>
      <c r="O23" s="41">
        <f>COUNTIF(Vertices[Eigenvector Centrality],"&gt;= "&amp;N23)-COUNTIF(Vertices[Eigenvector Centrality],"&gt;="&amp;N24)</f>
        <v>0</v>
      </c>
      <c r="P23" s="40">
        <f t="shared" si="7"/>
        <v>0.03369770588235294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503</v>
      </c>
      <c r="B24" s="35">
        <v>0.652163</v>
      </c>
      <c r="D24" s="33">
        <f t="shared" si="1"/>
        <v>0</v>
      </c>
      <c r="E24" s="3">
        <f>COUNTIF(Vertices[Degree],"&gt;= "&amp;D24)-COUNTIF(Vertices[Degree],"&gt;="&amp;D25)</f>
        <v>0</v>
      </c>
      <c r="F24" s="38">
        <f t="shared" si="2"/>
        <v>2.2941176470588225</v>
      </c>
      <c r="G24" s="39">
        <f>COUNTIF(Vertices[In-Degree],"&gt;= "&amp;F24)-COUNTIF(Vertices[In-Degree],"&gt;="&amp;F25)</f>
        <v>0</v>
      </c>
      <c r="H24" s="38">
        <f t="shared" si="3"/>
        <v>26.529411764705888</v>
      </c>
      <c r="I24" s="39">
        <f>COUNTIF(Vertices[Out-Degree],"&gt;= "&amp;H24)-COUNTIF(Vertices[Out-Degree],"&gt;="&amp;H25)</f>
        <v>0</v>
      </c>
      <c r="J24" s="38">
        <f t="shared" si="4"/>
        <v>5916.129691999997</v>
      </c>
      <c r="K24" s="39">
        <f>COUNTIF(Vertices[Betweenness Centrality],"&gt;= "&amp;J24)-COUNTIF(Vertices[Betweenness Centrality],"&gt;="&amp;J25)</f>
        <v>0</v>
      </c>
      <c r="L24" s="38">
        <f t="shared" si="5"/>
        <v>0.5008424705882354</v>
      </c>
      <c r="M24" s="39">
        <f>COUNTIF(Vertices[Closeness Centrality],"&gt;= "&amp;L24)-COUNTIF(Vertices[Closeness Centrality],"&gt;="&amp;L25)</f>
        <v>0</v>
      </c>
      <c r="N24" s="38">
        <f t="shared" si="6"/>
        <v>0.4129109999999999</v>
      </c>
      <c r="O24" s="39">
        <f>COUNTIF(Vertices[Eigenvector Centrality],"&gt;= "&amp;N24)-COUNTIF(Vertices[Eigenvector Centrality],"&gt;="&amp;N25)</f>
        <v>0</v>
      </c>
      <c r="P24" s="38">
        <f t="shared" si="7"/>
        <v>0.034911882352941175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02"/>
      <c r="B25" s="102"/>
      <c r="D25" s="33">
        <f t="shared" si="1"/>
        <v>0</v>
      </c>
      <c r="E25" s="3">
        <f>COUNTIF(Vertices[Degree],"&gt;= "&amp;D25)-COUNTIF(Vertices[Degree],"&gt;="&amp;D26)</f>
        <v>0</v>
      </c>
      <c r="F25" s="40">
        <f t="shared" si="2"/>
        <v>2.352941176470587</v>
      </c>
      <c r="G25" s="41">
        <f>COUNTIF(Vertices[In-Degree],"&gt;= "&amp;F25)-COUNTIF(Vertices[In-Degree],"&gt;="&amp;F26)</f>
        <v>0</v>
      </c>
      <c r="H25" s="40">
        <f t="shared" si="3"/>
        <v>27.735294117647065</v>
      </c>
      <c r="I25" s="41">
        <f>COUNTIF(Vertices[Out-Degree],"&gt;= "&amp;H25)-COUNTIF(Vertices[Out-Degree],"&gt;="&amp;H26)</f>
        <v>0</v>
      </c>
      <c r="J25" s="40">
        <f t="shared" si="4"/>
        <v>6185.044677999997</v>
      </c>
      <c r="K25" s="41">
        <f>COUNTIF(Vertices[Betweenness Centrality],"&gt;= "&amp;J25)-COUNTIF(Vertices[Betweenness Centrality],"&gt;="&amp;J26)</f>
        <v>0</v>
      </c>
      <c r="L25" s="40">
        <f t="shared" si="5"/>
        <v>0.5108807647058824</v>
      </c>
      <c r="M25" s="41">
        <f>COUNTIF(Vertices[Closeness Centrality],"&gt;= "&amp;L25)-COUNTIF(Vertices[Closeness Centrality],"&gt;="&amp;L26)</f>
        <v>0</v>
      </c>
      <c r="N25" s="40">
        <f t="shared" si="6"/>
        <v>0.4310414999999999</v>
      </c>
      <c r="O25" s="41">
        <f>COUNTIF(Vertices[Eigenvector Centrality],"&gt;= "&amp;N25)-COUNTIF(Vertices[Eigenvector Centrality],"&gt;="&amp;N26)</f>
        <v>0</v>
      </c>
      <c r="P25" s="40">
        <f t="shared" si="7"/>
        <v>0.03612605882352941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504</v>
      </c>
      <c r="B26" s="35" t="s">
        <v>519</v>
      </c>
      <c r="D26" s="33">
        <f t="shared" si="1"/>
        <v>0</v>
      </c>
      <c r="E26" s="3">
        <f>COUNTIF(Vertices[Degree],"&gt;= "&amp;D26)-COUNTIF(Vertices[Degree],"&gt;="&amp;D27)</f>
        <v>0</v>
      </c>
      <c r="F26" s="38">
        <f t="shared" si="2"/>
        <v>2.4117647058823515</v>
      </c>
      <c r="G26" s="39">
        <f>COUNTIF(Vertices[In-Degree],"&gt;= "&amp;F26)-COUNTIF(Vertices[In-Degree],"&gt;="&amp;F27)</f>
        <v>0</v>
      </c>
      <c r="H26" s="38">
        <f t="shared" si="3"/>
        <v>28.941176470588243</v>
      </c>
      <c r="I26" s="39">
        <f>COUNTIF(Vertices[Out-Degree],"&gt;= "&amp;H26)-COUNTIF(Vertices[Out-Degree],"&gt;="&amp;H27)</f>
        <v>0</v>
      </c>
      <c r="J26" s="38">
        <f t="shared" si="4"/>
        <v>6453.959663999996</v>
      </c>
      <c r="K26" s="39">
        <f>COUNTIF(Vertices[Betweenness Centrality],"&gt;= "&amp;J26)-COUNTIF(Vertices[Betweenness Centrality],"&gt;="&amp;J27)</f>
        <v>0</v>
      </c>
      <c r="L26" s="38">
        <f t="shared" si="5"/>
        <v>0.5209190588235294</v>
      </c>
      <c r="M26" s="39">
        <f>COUNTIF(Vertices[Closeness Centrality],"&gt;= "&amp;L26)-COUNTIF(Vertices[Closeness Centrality],"&gt;="&amp;L27)</f>
        <v>0</v>
      </c>
      <c r="N26" s="38">
        <f t="shared" si="6"/>
        <v>0.4491719999999999</v>
      </c>
      <c r="O26" s="39">
        <f>COUNTIF(Vertices[Eigenvector Centrality],"&gt;= "&amp;N26)-COUNTIF(Vertices[Eigenvector Centrality],"&gt;="&amp;N27)</f>
        <v>0</v>
      </c>
      <c r="P26" s="38">
        <f t="shared" si="7"/>
        <v>0.03734023529411764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2.470588235294116</v>
      </c>
      <c r="G27" s="41">
        <f>COUNTIF(Vertices[In-Degree],"&gt;= "&amp;F27)-COUNTIF(Vertices[In-Degree],"&gt;="&amp;F28)</f>
        <v>0</v>
      </c>
      <c r="H27" s="40">
        <f t="shared" si="3"/>
        <v>30.14705882352942</v>
      </c>
      <c r="I27" s="41">
        <f>COUNTIF(Vertices[Out-Degree],"&gt;= "&amp;H27)-COUNTIF(Vertices[Out-Degree],"&gt;="&amp;H28)</f>
        <v>0</v>
      </c>
      <c r="J27" s="40">
        <f t="shared" si="4"/>
        <v>6722.874649999996</v>
      </c>
      <c r="K27" s="41">
        <f>COUNTIF(Vertices[Betweenness Centrality],"&gt;= "&amp;J27)-COUNTIF(Vertices[Betweenness Centrality],"&gt;="&amp;J28)</f>
        <v>0</v>
      </c>
      <c r="L27" s="40">
        <f t="shared" si="5"/>
        <v>0.5309573529411764</v>
      </c>
      <c r="M27" s="41">
        <f>COUNTIF(Vertices[Closeness Centrality],"&gt;= "&amp;L27)-COUNTIF(Vertices[Closeness Centrality],"&gt;="&amp;L28)</f>
        <v>0</v>
      </c>
      <c r="N27" s="40">
        <f t="shared" si="6"/>
        <v>0.4673024999999999</v>
      </c>
      <c r="O27" s="41">
        <f>COUNTIF(Vertices[Eigenvector Centrality],"&gt;= "&amp;N27)-COUNTIF(Vertices[Eigenvector Centrality],"&gt;="&amp;N28)</f>
        <v>0</v>
      </c>
      <c r="P27" s="40">
        <f t="shared" si="7"/>
        <v>0.03855441176470587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505</v>
      </c>
      <c r="B28" s="35" t="s">
        <v>576</v>
      </c>
      <c r="D28" s="33">
        <f t="shared" si="1"/>
        <v>0</v>
      </c>
      <c r="E28" s="3">
        <f>COUNTIF(Vertices[Degree],"&gt;= "&amp;D28)-COUNTIF(Vertices[Degree],"&gt;="&amp;D29)</f>
        <v>0</v>
      </c>
      <c r="F28" s="38">
        <f t="shared" si="2"/>
        <v>2.5294117647058805</v>
      </c>
      <c r="G28" s="39">
        <f>COUNTIF(Vertices[In-Degree],"&gt;= "&amp;F28)-COUNTIF(Vertices[In-Degree],"&gt;="&amp;F29)</f>
        <v>0</v>
      </c>
      <c r="H28" s="38">
        <f t="shared" si="3"/>
        <v>31.352941176470598</v>
      </c>
      <c r="I28" s="39">
        <f>COUNTIF(Vertices[Out-Degree],"&gt;= "&amp;H28)-COUNTIF(Vertices[Out-Degree],"&gt;="&amp;H29)</f>
        <v>0</v>
      </c>
      <c r="J28" s="38">
        <f t="shared" si="4"/>
        <v>6991.789635999996</v>
      </c>
      <c r="K28" s="39">
        <f>COUNTIF(Vertices[Betweenness Centrality],"&gt;= "&amp;J28)-COUNTIF(Vertices[Betweenness Centrality],"&gt;="&amp;J29)</f>
        <v>0</v>
      </c>
      <c r="L28" s="38">
        <f t="shared" si="5"/>
        <v>0.5409956470588234</v>
      </c>
      <c r="M28" s="39">
        <f>COUNTIF(Vertices[Closeness Centrality],"&gt;= "&amp;L28)-COUNTIF(Vertices[Closeness Centrality],"&gt;="&amp;L29)</f>
        <v>0</v>
      </c>
      <c r="N28" s="38">
        <f t="shared" si="6"/>
        <v>0.4854329999999999</v>
      </c>
      <c r="O28" s="39">
        <f>COUNTIF(Vertices[Eigenvector Centrality],"&gt;= "&amp;N28)-COUNTIF(Vertices[Eigenvector Centrality],"&gt;="&amp;N29)</f>
        <v>0</v>
      </c>
      <c r="P28" s="38">
        <f t="shared" si="7"/>
        <v>0.039768588235294104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506</v>
      </c>
      <c r="B29" s="35" t="s">
        <v>577</v>
      </c>
      <c r="D29" s="33">
        <f t="shared" si="1"/>
        <v>0</v>
      </c>
      <c r="E29" s="3">
        <f>COUNTIF(Vertices[Degree],"&gt;= "&amp;D29)-COUNTIF(Vertices[Degree],"&gt;="&amp;D30)</f>
        <v>0</v>
      </c>
      <c r="F29" s="40">
        <f t="shared" si="2"/>
        <v>2.588235294117645</v>
      </c>
      <c r="G29" s="41">
        <f>COUNTIF(Vertices[In-Degree],"&gt;= "&amp;F29)-COUNTIF(Vertices[In-Degree],"&gt;="&amp;F30)</f>
        <v>0</v>
      </c>
      <c r="H29" s="40">
        <f t="shared" si="3"/>
        <v>32.558823529411775</v>
      </c>
      <c r="I29" s="41">
        <f>COUNTIF(Vertices[Out-Degree],"&gt;= "&amp;H29)-COUNTIF(Vertices[Out-Degree],"&gt;="&amp;H30)</f>
        <v>0</v>
      </c>
      <c r="J29" s="40">
        <f t="shared" si="4"/>
        <v>7260.704621999996</v>
      </c>
      <c r="K29" s="41">
        <f>COUNTIF(Vertices[Betweenness Centrality],"&gt;= "&amp;J29)-COUNTIF(Vertices[Betweenness Centrality],"&gt;="&amp;J30)</f>
        <v>0</v>
      </c>
      <c r="L29" s="40">
        <f t="shared" si="5"/>
        <v>0.5510339411764704</v>
      </c>
      <c r="M29" s="41">
        <f>COUNTIF(Vertices[Closeness Centrality],"&gt;= "&amp;L29)-COUNTIF(Vertices[Closeness Centrality],"&gt;="&amp;L30)</f>
        <v>0</v>
      </c>
      <c r="N29" s="40">
        <f t="shared" si="6"/>
        <v>0.5035634999999999</v>
      </c>
      <c r="O29" s="41">
        <f>COUNTIF(Vertices[Eigenvector Centrality],"&gt;= "&amp;N29)-COUNTIF(Vertices[Eigenvector Centrality],"&gt;="&amp;N30)</f>
        <v>0</v>
      </c>
      <c r="P29" s="40">
        <f t="shared" si="7"/>
        <v>0.04098276470588234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2.6470588235294095</v>
      </c>
      <c r="G30" s="39">
        <f>COUNTIF(Vertices[In-Degree],"&gt;= "&amp;F30)-COUNTIF(Vertices[In-Degree],"&gt;="&amp;F31)</f>
        <v>0</v>
      </c>
      <c r="H30" s="38">
        <f t="shared" si="3"/>
        <v>33.76470588235295</v>
      </c>
      <c r="I30" s="39">
        <f>COUNTIF(Vertices[Out-Degree],"&gt;= "&amp;H30)-COUNTIF(Vertices[Out-Degree],"&gt;="&amp;H31)</f>
        <v>0</v>
      </c>
      <c r="J30" s="38">
        <f t="shared" si="4"/>
        <v>7529.619607999995</v>
      </c>
      <c r="K30" s="39">
        <f>COUNTIF(Vertices[Betweenness Centrality],"&gt;= "&amp;J30)-COUNTIF(Vertices[Betweenness Centrality],"&gt;="&amp;J31)</f>
        <v>0</v>
      </c>
      <c r="L30" s="38">
        <f t="shared" si="5"/>
        <v>0.5610722352941174</v>
      </c>
      <c r="M30" s="39">
        <f>COUNTIF(Vertices[Closeness Centrality],"&gt;= "&amp;L30)-COUNTIF(Vertices[Closeness Centrality],"&gt;="&amp;L31)</f>
        <v>0</v>
      </c>
      <c r="N30" s="38">
        <f t="shared" si="6"/>
        <v>0.521694</v>
      </c>
      <c r="O30" s="39">
        <f>COUNTIF(Vertices[Eigenvector Centrality],"&gt;= "&amp;N30)-COUNTIF(Vertices[Eigenvector Centrality],"&gt;="&amp;N31)</f>
        <v>0</v>
      </c>
      <c r="P30" s="38">
        <f t="shared" si="7"/>
        <v>0.04219694117647057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507</v>
      </c>
      <c r="B31" s="35" t="s">
        <v>569</v>
      </c>
      <c r="D31" s="33">
        <f t="shared" si="1"/>
        <v>0</v>
      </c>
      <c r="E31" s="3">
        <f>COUNTIF(Vertices[Degree],"&gt;= "&amp;D31)-COUNTIF(Vertices[Degree],"&gt;="&amp;D32)</f>
        <v>0</v>
      </c>
      <c r="F31" s="40">
        <f t="shared" si="2"/>
        <v>2.705882352941174</v>
      </c>
      <c r="G31" s="41">
        <f>COUNTIF(Vertices[In-Degree],"&gt;= "&amp;F31)-COUNTIF(Vertices[In-Degree],"&gt;="&amp;F32)</f>
        <v>0</v>
      </c>
      <c r="H31" s="40">
        <f t="shared" si="3"/>
        <v>34.97058823529412</v>
      </c>
      <c r="I31" s="41">
        <f>COUNTIF(Vertices[Out-Degree],"&gt;= "&amp;H31)-COUNTIF(Vertices[Out-Degree],"&gt;="&amp;H32)</f>
        <v>0</v>
      </c>
      <c r="J31" s="40">
        <f t="shared" si="4"/>
        <v>7798.534593999995</v>
      </c>
      <c r="K31" s="41">
        <f>COUNTIF(Vertices[Betweenness Centrality],"&gt;= "&amp;J31)-COUNTIF(Vertices[Betweenness Centrality],"&gt;="&amp;J32)</f>
        <v>0</v>
      </c>
      <c r="L31" s="40">
        <f t="shared" si="5"/>
        <v>0.5711105294117644</v>
      </c>
      <c r="M31" s="41">
        <f>COUNTIF(Vertices[Closeness Centrality],"&gt;= "&amp;L31)-COUNTIF(Vertices[Closeness Centrality],"&gt;="&amp;L32)</f>
        <v>0</v>
      </c>
      <c r="N31" s="40">
        <f t="shared" si="6"/>
        <v>0.5398245</v>
      </c>
      <c r="O31" s="41">
        <f>COUNTIF(Vertices[Eigenvector Centrality],"&gt;= "&amp;N31)-COUNTIF(Vertices[Eigenvector Centrality],"&gt;="&amp;N32)</f>
        <v>0</v>
      </c>
      <c r="P31" s="40">
        <f t="shared" si="7"/>
        <v>0.0434111176470588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508</v>
      </c>
      <c r="B32" s="35" t="s">
        <v>209</v>
      </c>
      <c r="D32" s="33">
        <f t="shared" si="1"/>
        <v>0</v>
      </c>
      <c r="E32" s="3">
        <f>COUNTIF(Vertices[Degree],"&gt;= "&amp;D32)-COUNTIF(Vertices[Degree],"&gt;="&amp;D33)</f>
        <v>0</v>
      </c>
      <c r="F32" s="38">
        <f t="shared" si="2"/>
        <v>2.7647058823529385</v>
      </c>
      <c r="G32" s="39">
        <f>COUNTIF(Vertices[In-Degree],"&gt;= "&amp;F32)-COUNTIF(Vertices[In-Degree],"&gt;="&amp;F33)</f>
        <v>0</v>
      </c>
      <c r="H32" s="38">
        <f t="shared" si="3"/>
        <v>36.1764705882353</v>
      </c>
      <c r="I32" s="39">
        <f>COUNTIF(Vertices[Out-Degree],"&gt;= "&amp;H32)-COUNTIF(Vertices[Out-Degree],"&gt;="&amp;H33)</f>
        <v>0</v>
      </c>
      <c r="J32" s="38">
        <f t="shared" si="4"/>
        <v>8067.449579999995</v>
      </c>
      <c r="K32" s="39">
        <f>COUNTIF(Vertices[Betweenness Centrality],"&gt;= "&amp;J32)-COUNTIF(Vertices[Betweenness Centrality],"&gt;="&amp;J33)</f>
        <v>0</v>
      </c>
      <c r="L32" s="38">
        <f t="shared" si="5"/>
        <v>0.5811488235294114</v>
      </c>
      <c r="M32" s="39">
        <f>COUNTIF(Vertices[Closeness Centrality],"&gt;= "&amp;L32)-COUNTIF(Vertices[Closeness Centrality],"&gt;="&amp;L33)</f>
        <v>0</v>
      </c>
      <c r="N32" s="38">
        <f t="shared" si="6"/>
        <v>0.5579550000000001</v>
      </c>
      <c r="O32" s="39">
        <f>COUNTIF(Vertices[Eigenvector Centrality],"&gt;= "&amp;N32)-COUNTIF(Vertices[Eigenvector Centrality],"&gt;="&amp;N33)</f>
        <v>0</v>
      </c>
      <c r="P32" s="38">
        <f t="shared" si="7"/>
        <v>0.044625294117647034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509</v>
      </c>
      <c r="B33" s="54" t="s">
        <v>570</v>
      </c>
      <c r="D33" s="33">
        <f t="shared" si="1"/>
        <v>0</v>
      </c>
      <c r="E33" s="3">
        <f>COUNTIF(Vertices[Degree],"&gt;= "&amp;D33)-COUNTIF(Vertices[Degree],"&gt;="&amp;D34)</f>
        <v>0</v>
      </c>
      <c r="F33" s="40">
        <f t="shared" si="2"/>
        <v>2.823529411764703</v>
      </c>
      <c r="G33" s="41">
        <f>COUNTIF(Vertices[In-Degree],"&gt;= "&amp;F33)-COUNTIF(Vertices[In-Degree],"&gt;="&amp;F34)</f>
        <v>0</v>
      </c>
      <c r="H33" s="40">
        <f t="shared" si="3"/>
        <v>37.38235294117647</v>
      </c>
      <c r="I33" s="41">
        <f>COUNTIF(Vertices[Out-Degree],"&gt;= "&amp;H33)-COUNTIF(Vertices[Out-Degree],"&gt;="&amp;H34)</f>
        <v>0</v>
      </c>
      <c r="J33" s="40">
        <f t="shared" si="4"/>
        <v>8336.364565999995</v>
      </c>
      <c r="K33" s="41">
        <f>COUNTIF(Vertices[Betweenness Centrality],"&gt;= "&amp;J33)-COUNTIF(Vertices[Betweenness Centrality],"&gt;="&amp;J34)</f>
        <v>0</v>
      </c>
      <c r="L33" s="40">
        <f t="shared" si="5"/>
        <v>0.5911871176470584</v>
      </c>
      <c r="M33" s="41">
        <f>COUNTIF(Vertices[Closeness Centrality],"&gt;= "&amp;L33)-COUNTIF(Vertices[Closeness Centrality],"&gt;="&amp;L34)</f>
        <v>0</v>
      </c>
      <c r="N33" s="40">
        <f t="shared" si="6"/>
        <v>0.5760855000000001</v>
      </c>
      <c r="O33" s="41">
        <f>COUNTIF(Vertices[Eigenvector Centrality],"&gt;= "&amp;N33)-COUNTIF(Vertices[Eigenvector Centrality],"&gt;="&amp;N34)</f>
        <v>0</v>
      </c>
      <c r="P33" s="40">
        <f t="shared" si="7"/>
        <v>0.045839470588235266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510</v>
      </c>
      <c r="B34" s="35" t="s">
        <v>575</v>
      </c>
      <c r="D34" s="33">
        <f t="shared" si="1"/>
        <v>0</v>
      </c>
      <c r="E34" s="3">
        <f>COUNTIF(Vertices[Degree],"&gt;= "&amp;D34)-COUNTIF(Vertices[Degree],"&gt;="&amp;D35)</f>
        <v>0</v>
      </c>
      <c r="F34" s="38">
        <f t="shared" si="2"/>
        <v>2.8823529411764675</v>
      </c>
      <c r="G34" s="39">
        <f>COUNTIF(Vertices[In-Degree],"&gt;= "&amp;F34)-COUNTIF(Vertices[In-Degree],"&gt;="&amp;F35)</f>
        <v>0</v>
      </c>
      <c r="H34" s="38">
        <f t="shared" si="3"/>
        <v>38.588235294117645</v>
      </c>
      <c r="I34" s="39">
        <f>COUNTIF(Vertices[Out-Degree],"&gt;= "&amp;H34)-COUNTIF(Vertices[Out-Degree],"&gt;="&amp;H35)</f>
        <v>0</v>
      </c>
      <c r="J34" s="38">
        <f t="shared" si="4"/>
        <v>8605.279551999995</v>
      </c>
      <c r="K34" s="39">
        <f>COUNTIF(Vertices[Betweenness Centrality],"&gt;= "&amp;J34)-COUNTIF(Vertices[Betweenness Centrality],"&gt;="&amp;J35)</f>
        <v>0</v>
      </c>
      <c r="L34" s="38">
        <f t="shared" si="5"/>
        <v>0.6012254117647055</v>
      </c>
      <c r="M34" s="39">
        <f>COUNTIF(Vertices[Closeness Centrality],"&gt;= "&amp;L34)-COUNTIF(Vertices[Closeness Centrality],"&gt;="&amp;L35)</f>
        <v>0</v>
      </c>
      <c r="N34" s="38">
        <f t="shared" si="6"/>
        <v>0.5942160000000002</v>
      </c>
      <c r="O34" s="39">
        <f>COUNTIF(Vertices[Eigenvector Centrality],"&gt;= "&amp;N34)-COUNTIF(Vertices[Eigenvector Centrality],"&gt;="&amp;N35)</f>
        <v>0</v>
      </c>
      <c r="P34" s="38">
        <f t="shared" si="7"/>
        <v>0.0470536470588235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511</v>
      </c>
      <c r="B35" s="35" t="s">
        <v>571</v>
      </c>
      <c r="D35" s="33">
        <f t="shared" si="1"/>
        <v>0</v>
      </c>
      <c r="E35" s="3">
        <f>COUNTIF(Vertices[Degree],"&gt;= "&amp;D35)-COUNTIF(Vertices[Degree],"&gt;="&amp;D36)</f>
        <v>0</v>
      </c>
      <c r="F35" s="40">
        <f t="shared" si="2"/>
        <v>2.941176470588232</v>
      </c>
      <c r="G35" s="41">
        <f>COUNTIF(Vertices[In-Degree],"&gt;= "&amp;F35)-COUNTIF(Vertices[In-Degree],"&gt;="&amp;F36)</f>
        <v>0</v>
      </c>
      <c r="H35" s="40">
        <f t="shared" si="3"/>
        <v>39.79411764705882</v>
      </c>
      <c r="I35" s="41">
        <f>COUNTIF(Vertices[Out-Degree],"&gt;= "&amp;H35)-COUNTIF(Vertices[Out-Degree],"&gt;="&amp;H36)</f>
        <v>0</v>
      </c>
      <c r="J35" s="40">
        <f t="shared" si="4"/>
        <v>8874.194537999994</v>
      </c>
      <c r="K35" s="41">
        <f>COUNTIF(Vertices[Betweenness Centrality],"&gt;= "&amp;J35)-COUNTIF(Vertices[Betweenness Centrality],"&gt;="&amp;J36)</f>
        <v>0</v>
      </c>
      <c r="L35" s="40">
        <f t="shared" si="5"/>
        <v>0.6112637058823525</v>
      </c>
      <c r="M35" s="41">
        <f>COUNTIF(Vertices[Closeness Centrality],"&gt;= "&amp;L35)-COUNTIF(Vertices[Closeness Centrality],"&gt;="&amp;L36)</f>
        <v>0</v>
      </c>
      <c r="N35" s="40">
        <f t="shared" si="6"/>
        <v>0.6123465000000002</v>
      </c>
      <c r="O35" s="41">
        <f>COUNTIF(Vertices[Eigenvector Centrality],"&gt;= "&amp;N35)-COUNTIF(Vertices[Eigenvector Centrality],"&gt;="&amp;N36)</f>
        <v>0</v>
      </c>
      <c r="P35" s="40">
        <f t="shared" si="7"/>
        <v>0.04826782352941173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512</v>
      </c>
      <c r="B36" s="35" t="s">
        <v>544</v>
      </c>
      <c r="D36" s="33">
        <f>MAX(Vertices[Degree])</f>
        <v>0</v>
      </c>
      <c r="E36" s="3">
        <f>COUNTIF(Vertices[Degree],"&gt;= "&amp;D36)-COUNTIF(Vertices[Degree],"&gt;="&amp;#REF!)</f>
        <v>0</v>
      </c>
      <c r="F36" s="42">
        <f>MAX(Vertices[In-Degree])</f>
        <v>3</v>
      </c>
      <c r="G36" s="43">
        <f>COUNTIF(Vertices[In-Degree],"&gt;= "&amp;F36)-COUNTIF(Vertices[In-Degree],"&gt;="&amp;#REF!)</f>
        <v>3</v>
      </c>
      <c r="H36" s="42">
        <f>MAX(Vertices[Out-Degree])</f>
        <v>41</v>
      </c>
      <c r="I36" s="43">
        <f>COUNTIF(Vertices[Out-Degree],"&gt;= "&amp;H36)-COUNTIF(Vertices[Out-Degree],"&gt;="&amp;#REF!)</f>
        <v>1</v>
      </c>
      <c r="J36" s="42">
        <f>MAX(Vertices[Betweenness Centrality])</f>
        <v>9143.109524</v>
      </c>
      <c r="K36" s="43">
        <f>COUNTIF(Vertices[Betweenness Centrality],"&gt;= "&amp;J36)-COUNTIF(Vertices[Betweenness Centrality],"&gt;="&amp;#REF!)</f>
        <v>1</v>
      </c>
      <c r="L36" s="42">
        <f>MAX(Vertices[Closeness Centrality])</f>
        <v>0.621302</v>
      </c>
      <c r="M36" s="43">
        <f>COUNTIF(Vertices[Closeness Centrality],"&gt;= "&amp;L36)-COUNTIF(Vertices[Closeness Centrality],"&gt;="&amp;#REF!)</f>
        <v>1</v>
      </c>
      <c r="N36" s="42">
        <f>MAX(Vertices[Eigenvector Centrality])</f>
        <v>0.630477</v>
      </c>
      <c r="O36" s="43">
        <f>COUNTIF(Vertices[Eigenvector Centrality],"&gt;= "&amp;N36)-COUNTIF(Vertices[Eigenvector Centrality],"&gt;="&amp;#REF!)</f>
        <v>1</v>
      </c>
      <c r="P36" s="42">
        <f>MAX(Vertices[PageRank])</f>
        <v>0.049482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513</v>
      </c>
      <c r="B37" s="35" t="s">
        <v>544</v>
      </c>
    </row>
    <row r="38" spans="1:2" ht="15">
      <c r="A38" s="35" t="s">
        <v>514</v>
      </c>
      <c r="B38" s="35" t="s">
        <v>544</v>
      </c>
    </row>
    <row r="39" spans="1:2" ht="15">
      <c r="A39" s="35" t="s">
        <v>515</v>
      </c>
      <c r="B39" s="35"/>
    </row>
    <row r="40" spans="1:2" ht="15">
      <c r="A40" s="35" t="s">
        <v>21</v>
      </c>
      <c r="B40" s="35"/>
    </row>
    <row r="41" spans="1:2" ht="15">
      <c r="A41" s="35" t="s">
        <v>516</v>
      </c>
      <c r="B41" s="35" t="s">
        <v>32</v>
      </c>
    </row>
    <row r="42" spans="1:2" ht="15">
      <c r="A42" s="35" t="s">
        <v>517</v>
      </c>
      <c r="B42" s="35"/>
    </row>
    <row r="43" spans="1:2" ht="15">
      <c r="A43" s="35" t="s">
        <v>518</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1.0943396226415094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1.0943396226415094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9143.109524</v>
      </c>
    </row>
    <row r="118" spans="1:2" ht="15">
      <c r="A118" s="34" t="s">
        <v>102</v>
      </c>
      <c r="B118" s="48">
        <f>_xlfn.IFERROR(AVERAGE(Vertices[Betweenness Centrality]),NoMetricMessage)</f>
        <v>210.66037737735854</v>
      </c>
    </row>
    <row r="119" spans="1:2" ht="15">
      <c r="A119" s="34" t="s">
        <v>103</v>
      </c>
      <c r="B119" s="48">
        <f>_xlfn.IFERROR(MEDIAN(Vertices[Betweenness Centrality]),NoMetricMessage)</f>
        <v>0</v>
      </c>
    </row>
    <row r="130" spans="1:2" ht="15">
      <c r="A130" s="34" t="s">
        <v>106</v>
      </c>
      <c r="B130" s="48">
        <f>IF(COUNT(Vertices[Closeness Centrality])&gt;0,L2,NoMetricMessage)</f>
        <v>0.28</v>
      </c>
    </row>
    <row r="131" spans="1:2" ht="15">
      <c r="A131" s="34" t="s">
        <v>107</v>
      </c>
      <c r="B131" s="48">
        <f>IF(COUNT(Vertices[Closeness Centrality])&gt;0,L36,NoMetricMessage)</f>
        <v>0.621302</v>
      </c>
    </row>
    <row r="132" spans="1:2" ht="15">
      <c r="A132" s="34" t="s">
        <v>108</v>
      </c>
      <c r="B132" s="48">
        <f>_xlfn.IFERROR(AVERAGE(Vertices[Closeness Centrality]),NoMetricMessage)</f>
        <v>0.339933971698113</v>
      </c>
    </row>
    <row r="133" spans="1:2" ht="15">
      <c r="A133" s="34" t="s">
        <v>109</v>
      </c>
      <c r="B133" s="48">
        <f>_xlfn.IFERROR(MEDIAN(Vertices[Closeness Centrality]),NoMetricMessage)</f>
        <v>0.318182</v>
      </c>
    </row>
    <row r="144" spans="1:2" ht="15">
      <c r="A144" s="34" t="s">
        <v>112</v>
      </c>
      <c r="B144" s="48">
        <f>IF(COUNT(Vertices[Eigenvector Centrality])&gt;0,N2,NoMetricMessage)</f>
        <v>0.01404</v>
      </c>
    </row>
    <row r="145" spans="1:2" ht="15">
      <c r="A145" s="34" t="s">
        <v>113</v>
      </c>
      <c r="B145" s="48">
        <f>IF(COUNT(Vertices[Eigenvector Centrality])&gt;0,N36,NoMetricMessage)</f>
        <v>0.630477</v>
      </c>
    </row>
    <row r="146" spans="1:2" ht="15">
      <c r="A146" s="34" t="s">
        <v>114</v>
      </c>
      <c r="B146" s="48">
        <f>_xlfn.IFERROR(AVERAGE(Vertices[Eigenvector Centrality]),NoMetricMessage)</f>
        <v>0.06561778301886798</v>
      </c>
    </row>
    <row r="147" spans="1:2" ht="15">
      <c r="A147" s="34" t="s">
        <v>115</v>
      </c>
      <c r="B147" s="48">
        <f>_xlfn.IFERROR(MEDIAN(Vertices[Eigenvector Centrality]),NoMetricMessage)</f>
        <v>0.040728</v>
      </c>
    </row>
    <row r="158" spans="1:2" ht="15">
      <c r="A158" s="34" t="s">
        <v>140</v>
      </c>
      <c r="B158" s="48">
        <f>IF(COUNT(Vertices[PageRank])&gt;0,P2,NoMetricMessage)</f>
        <v>0.0082</v>
      </c>
    </row>
    <row r="159" spans="1:2" ht="15">
      <c r="A159" s="34" t="s">
        <v>141</v>
      </c>
      <c r="B159" s="48">
        <f>IF(COUNT(Vertices[PageRank])&gt;0,P36,NoMetricMessage)</f>
        <v>0.049482</v>
      </c>
    </row>
    <row r="160" spans="1:2" ht="15">
      <c r="A160" s="34" t="s">
        <v>142</v>
      </c>
      <c r="B160" s="48">
        <f>_xlfn.IFERROR(AVERAGE(Vertices[PageRank]),NoMetricMessage)</f>
        <v>0.009434037735849048</v>
      </c>
    </row>
    <row r="161" spans="1:2" ht="15">
      <c r="A161" s="34" t="s">
        <v>143</v>
      </c>
      <c r="B161" s="48">
        <f>_xlfn.IFERROR(MEDIAN(Vertices[PageRank]),NoMetricMessage)</f>
        <v>0.008252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0.004804683351623066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H24">
      <selection activeCell="L26" sqref="L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528</v>
      </c>
    </row>
    <row r="8" spans="1:11" ht="409.5">
      <c r="A8"/>
      <c r="B8">
        <v>2</v>
      </c>
      <c r="C8">
        <v>2</v>
      </c>
      <c r="D8" t="s">
        <v>61</v>
      </c>
      <c r="E8" t="s">
        <v>61</v>
      </c>
      <c r="H8" t="s">
        <v>73</v>
      </c>
      <c r="J8" t="s">
        <v>175</v>
      </c>
      <c r="K8" s="13" t="s">
        <v>529</v>
      </c>
    </row>
    <row r="9" spans="1:11" ht="409.5">
      <c r="A9"/>
      <c r="B9">
        <v>3</v>
      </c>
      <c r="C9">
        <v>4</v>
      </c>
      <c r="D9" t="s">
        <v>62</v>
      </c>
      <c r="E9" t="s">
        <v>62</v>
      </c>
      <c r="H9" t="s">
        <v>74</v>
      </c>
      <c r="J9" t="s">
        <v>176</v>
      </c>
      <c r="K9" s="13"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13" t="s">
        <v>541</v>
      </c>
    </row>
    <row r="21" spans="4:11" ht="409.5">
      <c r="D21">
        <v>9</v>
      </c>
      <c r="H21">
        <v>9</v>
      </c>
      <c r="J21" t="s">
        <v>188</v>
      </c>
      <c r="K21" s="13" t="s">
        <v>542</v>
      </c>
    </row>
    <row r="22" spans="4:11" ht="409.5">
      <c r="D22">
        <v>10</v>
      </c>
      <c r="J22" t="s">
        <v>189</v>
      </c>
      <c r="K22" s="13" t="s">
        <v>543</v>
      </c>
    </row>
    <row r="23" spans="4:11" ht="409.5">
      <c r="D23">
        <v>11</v>
      </c>
      <c r="J23" t="s">
        <v>190</v>
      </c>
      <c r="K23" s="13" t="s">
        <v>578</v>
      </c>
    </row>
    <row r="24" spans="10:11" ht="15">
      <c r="J24" t="s">
        <v>191</v>
      </c>
      <c r="K24">
        <v>19</v>
      </c>
    </row>
    <row r="25" spans="10:11" ht="15">
      <c r="J25" t="s">
        <v>193</v>
      </c>
      <c r="K25" t="s">
        <v>573</v>
      </c>
    </row>
    <row r="26" spans="10:11" ht="409.5">
      <c r="J26" t="s">
        <v>194</v>
      </c>
      <c r="K26" s="13" t="s">
        <v>574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F5E2-36F9-4E23-A5D0-F615272CB0D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520</v>
      </c>
      <c r="B1" s="13" t="s">
        <v>17</v>
      </c>
    </row>
    <row r="2" spans="1:2" ht="15">
      <c r="A2" s="80" t="s">
        <v>521</v>
      </c>
      <c r="B2" s="80"/>
    </row>
    <row r="3" spans="1:2" ht="15">
      <c r="A3" s="81" t="s">
        <v>522</v>
      </c>
      <c r="B3" s="80"/>
    </row>
    <row r="4" spans="1:2" ht="15">
      <c r="A4" s="81" t="s">
        <v>523</v>
      </c>
      <c r="B4" s="80"/>
    </row>
    <row r="5" spans="1:2" ht="15">
      <c r="A5" s="81" t="s">
        <v>524</v>
      </c>
      <c r="B5" s="80"/>
    </row>
    <row r="6" spans="1:2" ht="15">
      <c r="A6" s="81" t="s">
        <v>525</v>
      </c>
      <c r="B6" s="80"/>
    </row>
    <row r="7" spans="1:2" ht="15">
      <c r="A7" s="81" t="s">
        <v>526</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B8B5-C97A-48A8-A5EE-E46BE1476D7E}">
  <dimension ref="A1:B11"/>
  <sheetViews>
    <sheetView tabSelected="1" workbookViewId="0" topLeftCell="A1">
      <selection activeCell="I29" sqref="I29"/>
    </sheetView>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03" t="s">
        <v>209</v>
      </c>
      <c r="B2" s="80">
        <v>9143.109524</v>
      </c>
    </row>
    <row r="3" spans="1:2" ht="15">
      <c r="A3" s="104" t="s">
        <v>205</v>
      </c>
      <c r="B3" s="80">
        <v>3826.12381</v>
      </c>
    </row>
    <row r="4" spans="1:2" ht="15">
      <c r="A4" s="104" t="s">
        <v>202</v>
      </c>
      <c r="B4" s="80">
        <v>2424</v>
      </c>
    </row>
    <row r="5" spans="1:2" ht="15">
      <c r="A5" s="104" t="s">
        <v>206</v>
      </c>
      <c r="B5" s="80">
        <v>1790.9</v>
      </c>
    </row>
    <row r="6" spans="1:2" ht="15">
      <c r="A6" s="104" t="s">
        <v>208</v>
      </c>
      <c r="B6" s="80">
        <v>1218</v>
      </c>
    </row>
    <row r="7" spans="1:2" ht="15">
      <c r="A7" s="104" t="s">
        <v>207</v>
      </c>
      <c r="B7" s="80">
        <v>1020</v>
      </c>
    </row>
    <row r="8" spans="1:2" ht="15">
      <c r="A8" s="104" t="s">
        <v>199</v>
      </c>
      <c r="B8" s="80">
        <v>730.97619</v>
      </c>
    </row>
    <row r="9" spans="1:2" ht="15">
      <c r="A9" s="104" t="s">
        <v>204</v>
      </c>
      <c r="B9" s="80">
        <v>618</v>
      </c>
    </row>
    <row r="10" spans="1:2" ht="15">
      <c r="A10" s="104" t="s">
        <v>201</v>
      </c>
      <c r="B10" s="80">
        <v>414</v>
      </c>
    </row>
    <row r="11" spans="1:2" ht="15">
      <c r="A11" s="104" t="s">
        <v>233</v>
      </c>
      <c r="B11" s="80">
        <v>279.5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